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drawings/drawing4.xml" ContentType="application/vnd.openxmlformats-officedocument.drawing+xml"/>
  <Override PartName="/xl/ink/ink31.xml" ContentType="application/inkml+xml"/>
  <Override PartName="/xl/ink/ink32.xml" ContentType="application/inkml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e4e9057fa51e59/Documents/"/>
    </mc:Choice>
  </mc:AlternateContent>
  <xr:revisionPtr revIDLastSave="0" documentId="8_{21F38209-9EE2-4D95-8B0B-D2BC7F5542EF}" xr6:coauthVersionLast="47" xr6:coauthVersionMax="47" xr10:uidLastSave="{00000000-0000-0000-0000-000000000000}"/>
  <bookViews>
    <workbookView xWindow="-120" yWindow="-120" windowWidth="29040" windowHeight="15840" tabRatio="305" firstSheet="3" activeTab="3" xr2:uid="{059BD9A4-0666-4AF2-84B4-4AC4C47F87D1}"/>
  </bookViews>
  <sheets>
    <sheet name="Données" sheetId="4" r:id="rId1"/>
    <sheet name="Bouche GP-GE " sheetId="9" r:id="rId2"/>
    <sheet name="PDC répartie-Dimension gaine" sheetId="10" r:id="rId3"/>
    <sheet name="PDC singuliere-Clapet" sheetId="12" r:id="rId4"/>
    <sheet name="PDC total-Equilibrage" sheetId="11" r:id="rId5"/>
    <sheet name="Ventilateur" sheetId="8" r:id="rId6"/>
    <sheet name="PRESENTATION" sheetId="13" r:id="rId7"/>
    <sheet name="Feuil1" sheetId="14" r:id="rId8"/>
    <sheet name="Métré" sheetId="6" r:id="rId9"/>
    <sheet name="Feuil2" sheetId="1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2" l="1"/>
  <c r="D32" i="13"/>
  <c r="D31" i="13"/>
  <c r="D33" i="13"/>
  <c r="P42" i="13"/>
  <c r="Q42" i="13" s="1"/>
  <c r="D30" i="13"/>
  <c r="L83" i="11" l="1"/>
  <c r="O47" i="13"/>
  <c r="P47" i="13"/>
  <c r="Q47" i="13"/>
  <c r="N47" i="13"/>
  <c r="O37" i="13"/>
  <c r="O38" i="13"/>
  <c r="N37" i="13"/>
  <c r="O33" i="13"/>
  <c r="N33" i="13"/>
  <c r="H100" i="11"/>
  <c r="M176" i="11"/>
  <c r="M180" i="11"/>
  <c r="M177" i="11"/>
  <c r="M178" i="11"/>
  <c r="O36" i="13"/>
  <c r="O35" i="13"/>
  <c r="O34" i="13"/>
  <c r="N36" i="13"/>
  <c r="N35" i="13"/>
  <c r="N34" i="13"/>
  <c r="O39" i="13"/>
  <c r="O40" i="13"/>
  <c r="O41" i="13"/>
  <c r="N38" i="13"/>
  <c r="O42" i="13"/>
  <c r="O32" i="13"/>
  <c r="O31" i="13"/>
  <c r="O29" i="13"/>
  <c r="O30" i="13"/>
  <c r="P30" i="13"/>
  <c r="N32" i="13"/>
  <c r="N39" i="13"/>
  <c r="N40" i="13"/>
  <c r="N31" i="13"/>
  <c r="N41" i="13"/>
  <c r="N42" i="13"/>
  <c r="N30" i="13"/>
  <c r="N29" i="13"/>
  <c r="O27" i="13"/>
  <c r="O28" i="13"/>
  <c r="O26" i="13"/>
  <c r="O25" i="13"/>
  <c r="O24" i="13"/>
  <c r="N28" i="13"/>
  <c r="N27" i="13"/>
  <c r="N26" i="13"/>
  <c r="N24" i="13"/>
  <c r="N25" i="13"/>
  <c r="M26" i="13"/>
  <c r="M27" i="13"/>
  <c r="M28" i="13"/>
  <c r="M29" i="13"/>
  <c r="M30" i="13"/>
  <c r="M36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E42" i="13"/>
  <c r="E41" i="13"/>
  <c r="E40" i="13"/>
  <c r="G42" i="13"/>
  <c r="G41" i="13"/>
  <c r="G40" i="13"/>
  <c r="G39" i="13"/>
  <c r="E39" i="13"/>
  <c r="G38" i="13"/>
  <c r="G37" i="13"/>
  <c r="E37" i="13"/>
  <c r="E38" i="13"/>
  <c r="E36" i="13"/>
  <c r="E35" i="13"/>
  <c r="G36" i="13"/>
  <c r="G35" i="13"/>
  <c r="G34" i="13"/>
  <c r="G33" i="13"/>
  <c r="G32" i="13"/>
  <c r="E34" i="13"/>
  <c r="E33" i="13"/>
  <c r="G31" i="13"/>
  <c r="G30" i="13"/>
  <c r="E32" i="13"/>
  <c r="G29" i="13"/>
  <c r="G28" i="13"/>
  <c r="G27" i="13"/>
  <c r="E31" i="13"/>
  <c r="E30" i="13"/>
  <c r="G25" i="13"/>
  <c r="G24" i="13"/>
  <c r="E29" i="13"/>
  <c r="E28" i="13"/>
  <c r="E27" i="13"/>
  <c r="E24" i="13"/>
  <c r="D41" i="13"/>
  <c r="M41" i="13" s="1"/>
  <c r="D42" i="13"/>
  <c r="M42" i="13" s="1"/>
  <c r="E25" i="9"/>
  <c r="D40" i="13"/>
  <c r="M40" i="13" s="1"/>
  <c r="D39" i="13"/>
  <c r="M39" i="13" s="1"/>
  <c r="D38" i="13"/>
  <c r="M38" i="13" s="1"/>
  <c r="D37" i="13"/>
  <c r="M37" i="13" s="1"/>
  <c r="E26" i="13"/>
  <c r="D35" i="13"/>
  <c r="M35" i="13" s="1"/>
  <c r="D36" i="13"/>
  <c r="D34" i="13"/>
  <c r="M34" i="13" s="1"/>
  <c r="E25" i="13"/>
  <c r="D26" i="13"/>
  <c r="D25" i="13"/>
  <c r="M25" i="13" s="1"/>
  <c r="D27" i="13"/>
  <c r="D28" i="13"/>
  <c r="D29" i="13"/>
  <c r="M31" i="13"/>
  <c r="M32" i="13"/>
  <c r="M33" i="13"/>
  <c r="D24" i="13"/>
  <c r="M24" i="13" s="1"/>
  <c r="E5" i="11"/>
  <c r="Y20" i="11" s="1"/>
  <c r="AG75" i="10"/>
  <c r="AV174" i="11"/>
  <c r="AW174" i="11"/>
  <c r="R42" i="13" l="1"/>
  <c r="G96" i="6"/>
  <c r="G111" i="6"/>
  <c r="E32" i="8"/>
  <c r="F32" i="8" s="1"/>
  <c r="D32" i="8"/>
  <c r="C32" i="8"/>
  <c r="G230" i="11"/>
  <c r="G229" i="11"/>
  <c r="G228" i="11"/>
  <c r="E230" i="11"/>
  <c r="E229" i="11"/>
  <c r="E228" i="11"/>
  <c r="E227" i="11"/>
  <c r="B230" i="11"/>
  <c r="B229" i="11"/>
  <c r="B228" i="11"/>
  <c r="B227" i="11"/>
  <c r="O204" i="11"/>
  <c r="E205" i="11"/>
  <c r="D213" i="11"/>
  <c r="D215" i="11"/>
  <c r="D216" i="11"/>
  <c r="D217" i="11"/>
  <c r="D211" i="11"/>
  <c r="C211" i="11"/>
  <c r="O203" i="11"/>
  <c r="N197" i="11"/>
  <c r="M199" i="11"/>
  <c r="N199" i="11"/>
  <c r="N200" i="11"/>
  <c r="N201" i="11"/>
  <c r="N202" i="11"/>
  <c r="N195" i="11"/>
  <c r="M195" i="11"/>
  <c r="I197" i="11"/>
  <c r="J197" i="11"/>
  <c r="H199" i="11"/>
  <c r="I199" i="11"/>
  <c r="H200" i="11"/>
  <c r="I200" i="11"/>
  <c r="I201" i="11"/>
  <c r="I202" i="11"/>
  <c r="I203" i="11"/>
  <c r="I195" i="11"/>
  <c r="E204" i="11"/>
  <c r="E203" i="11"/>
  <c r="J203" i="11" s="1"/>
  <c r="E202" i="11"/>
  <c r="O202" i="11" s="1"/>
  <c r="E201" i="11"/>
  <c r="E217" i="11" s="1"/>
  <c r="E200" i="11"/>
  <c r="O200" i="11" s="1"/>
  <c r="E199" i="11"/>
  <c r="E215" i="11" s="1"/>
  <c r="E198" i="11"/>
  <c r="O198" i="11" s="1"/>
  <c r="E197" i="11"/>
  <c r="E213" i="11" s="1"/>
  <c r="E147" i="12"/>
  <c r="G147" i="12" s="1"/>
  <c r="E146" i="12"/>
  <c r="G146" i="12"/>
  <c r="E196" i="11" s="1"/>
  <c r="O196" i="11" s="1"/>
  <c r="D218" i="11"/>
  <c r="N204" i="11"/>
  <c r="I204" i="11"/>
  <c r="D205" i="11"/>
  <c r="D198" i="11"/>
  <c r="N198" i="11" s="1"/>
  <c r="C205" i="11"/>
  <c r="C204" i="11"/>
  <c r="C203" i="11"/>
  <c r="H203" i="11" s="1"/>
  <c r="C202" i="11"/>
  <c r="M202" i="11" s="1"/>
  <c r="C201" i="11"/>
  <c r="M201" i="11" s="1"/>
  <c r="C200" i="11"/>
  <c r="C216" i="11" s="1"/>
  <c r="C199" i="11"/>
  <c r="C215" i="11" s="1"/>
  <c r="C198" i="11"/>
  <c r="M198" i="11" s="1"/>
  <c r="C197" i="11"/>
  <c r="M197" i="11" s="1"/>
  <c r="C196" i="11"/>
  <c r="M196" i="11" s="1"/>
  <c r="C195" i="11"/>
  <c r="H195" i="11" s="1"/>
  <c r="D196" i="11"/>
  <c r="N196" i="11" s="1"/>
  <c r="E145" i="12"/>
  <c r="G145" i="12"/>
  <c r="D31" i="8"/>
  <c r="D30" i="8"/>
  <c r="I13" i="4"/>
  <c r="I3" i="4"/>
  <c r="J201" i="11" l="1"/>
  <c r="J199" i="11"/>
  <c r="M200" i="11"/>
  <c r="O197" i="11"/>
  <c r="I196" i="11"/>
  <c r="O201" i="11"/>
  <c r="O199" i="11"/>
  <c r="E214" i="11"/>
  <c r="D214" i="11"/>
  <c r="J202" i="11"/>
  <c r="J198" i="11"/>
  <c r="C214" i="11"/>
  <c r="I198" i="11"/>
  <c r="H202" i="11"/>
  <c r="H198" i="11"/>
  <c r="C213" i="11"/>
  <c r="E216" i="11"/>
  <c r="E212" i="11"/>
  <c r="C217" i="11"/>
  <c r="H201" i="11"/>
  <c r="H197" i="11"/>
  <c r="D212" i="11"/>
  <c r="J200" i="11"/>
  <c r="J196" i="11"/>
  <c r="C212" i="11"/>
  <c r="H196" i="11"/>
  <c r="E195" i="11"/>
  <c r="H24" i="4"/>
  <c r="H32" i="9"/>
  <c r="H16" i="12"/>
  <c r="J66" i="10"/>
  <c r="K148" i="10"/>
  <c r="K149" i="10"/>
  <c r="K150" i="10"/>
  <c r="J13" i="10"/>
  <c r="I148" i="10"/>
  <c r="I149" i="10"/>
  <c r="I150" i="10"/>
  <c r="C218" i="11"/>
  <c r="M203" i="11"/>
  <c r="H204" i="11"/>
  <c r="M204" i="11"/>
  <c r="E135" i="12"/>
  <c r="K137" i="10"/>
  <c r="K138" i="10"/>
  <c r="K139" i="10"/>
  <c r="K136" i="10"/>
  <c r="K142" i="10"/>
  <c r="D150" i="12" s="1"/>
  <c r="K145" i="10"/>
  <c r="D152" i="12" s="1"/>
  <c r="K143" i="10"/>
  <c r="K144" i="10"/>
  <c r="K146" i="10"/>
  <c r="K147" i="10"/>
  <c r="K141" i="10"/>
  <c r="K140" i="10"/>
  <c r="E134" i="12"/>
  <c r="I136" i="10"/>
  <c r="I137" i="10"/>
  <c r="I138" i="10"/>
  <c r="I139" i="10"/>
  <c r="I140" i="10"/>
  <c r="I141" i="10"/>
  <c r="I142" i="10"/>
  <c r="I143" i="10"/>
  <c r="I144" i="10"/>
  <c r="G145" i="10"/>
  <c r="I145" i="10"/>
  <c r="I146" i="10"/>
  <c r="G147" i="10"/>
  <c r="I147" i="10"/>
  <c r="E146" i="10"/>
  <c r="G146" i="10" s="1"/>
  <c r="G21" i="4"/>
  <c r="E142" i="10"/>
  <c r="G142" i="10" s="1"/>
  <c r="E144" i="10"/>
  <c r="G144" i="10" s="1"/>
  <c r="E145" i="10"/>
  <c r="J195" i="11" l="1"/>
  <c r="E211" i="11"/>
  <c r="O195" i="11"/>
  <c r="D151" i="12"/>
  <c r="E141" i="10"/>
  <c r="G141" i="10"/>
  <c r="E152" i="12"/>
  <c r="L146" i="10"/>
  <c r="E219" i="11"/>
  <c r="E206" i="11"/>
  <c r="L142" i="10"/>
  <c r="I150" i="12" s="1"/>
  <c r="L150" i="12" s="1"/>
  <c r="L141" i="10"/>
  <c r="H151" i="12" s="1"/>
  <c r="L145" i="10"/>
  <c r="I152" i="12" s="1"/>
  <c r="L152" i="12" s="1"/>
  <c r="G108" i="6"/>
  <c r="G54" i="6"/>
  <c r="G20" i="6"/>
  <c r="G38" i="6"/>
  <c r="D106" i="12"/>
  <c r="C17" i="8"/>
  <c r="D10" i="8"/>
  <c r="D63" i="10"/>
  <c r="J75" i="10"/>
  <c r="J76" i="10"/>
  <c r="J77" i="10"/>
  <c r="J78" i="10"/>
  <c r="J79" i="10"/>
  <c r="J80" i="10"/>
  <c r="J81" i="10"/>
  <c r="W106" i="11" s="1"/>
  <c r="C122" i="11" s="1"/>
  <c r="H122" i="11" s="1"/>
  <c r="M122" i="11" s="1"/>
  <c r="R122" i="11" s="1"/>
  <c r="W122" i="11" s="1"/>
  <c r="J82" i="10"/>
  <c r="J83" i="10"/>
  <c r="J84" i="10"/>
  <c r="J85" i="10"/>
  <c r="J86" i="10"/>
  <c r="M126" i="11" s="1"/>
  <c r="R126" i="11" s="1"/>
  <c r="W126" i="11" s="1"/>
  <c r="J87" i="10"/>
  <c r="R127" i="11" s="1"/>
  <c r="W127" i="11" s="1"/>
  <c r="J88" i="10"/>
  <c r="J89" i="10"/>
  <c r="J90" i="10"/>
  <c r="J91" i="10"/>
  <c r="J92" i="10"/>
  <c r="J93" i="10"/>
  <c r="C108" i="11" s="1"/>
  <c r="J94" i="10"/>
  <c r="J95" i="10"/>
  <c r="J96" i="10"/>
  <c r="H111" i="11" s="1"/>
  <c r="J97" i="10"/>
  <c r="C147" i="11" s="1"/>
  <c r="J98" i="10"/>
  <c r="J99" i="10"/>
  <c r="J100" i="10"/>
  <c r="J101" i="10"/>
  <c r="J102" i="10"/>
  <c r="C144" i="11" s="1"/>
  <c r="J103" i="10"/>
  <c r="J104" i="10"/>
  <c r="W142" i="11" s="1"/>
  <c r="J105" i="10"/>
  <c r="C143" i="11" s="1"/>
  <c r="H143" i="11" s="1"/>
  <c r="J106" i="10"/>
  <c r="J107" i="10"/>
  <c r="J108" i="10"/>
  <c r="J109" i="10"/>
  <c r="J110" i="10"/>
  <c r="J112" i="10"/>
  <c r="H159" i="11" s="1"/>
  <c r="M159" i="11" s="1"/>
  <c r="J113" i="10"/>
  <c r="M160" i="11" s="1"/>
  <c r="J115" i="10"/>
  <c r="C137" i="11" s="1"/>
  <c r="W137" i="11" s="1"/>
  <c r="J116" i="10"/>
  <c r="J117" i="10"/>
  <c r="J118" i="10"/>
  <c r="C159" i="11" s="1"/>
  <c r="J119" i="10"/>
  <c r="C140" i="11" s="1"/>
  <c r="M140" i="11" s="1"/>
  <c r="J120" i="10"/>
  <c r="C141" i="11" s="1"/>
  <c r="J121" i="10"/>
  <c r="C103" i="11" s="1"/>
  <c r="J124" i="10"/>
  <c r="J127" i="10"/>
  <c r="H154" i="11" s="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I161" i="11"/>
  <c r="S160" i="11" s="1"/>
  <c r="D159" i="11"/>
  <c r="N160" i="11" s="1"/>
  <c r="X143" i="11"/>
  <c r="S143" i="11"/>
  <c r="N145" i="11"/>
  <c r="I146" i="11"/>
  <c r="D147" i="11"/>
  <c r="X128" i="11"/>
  <c r="S128" i="11"/>
  <c r="N127" i="11"/>
  <c r="I126" i="11"/>
  <c r="D125" i="11"/>
  <c r="X108" i="11"/>
  <c r="H58" i="9"/>
  <c r="H57" i="9"/>
  <c r="S108" i="11"/>
  <c r="N109" i="11"/>
  <c r="I111" i="11"/>
  <c r="D110" i="11"/>
  <c r="D144" i="11"/>
  <c r="N144" i="11" s="1"/>
  <c r="D47" i="11"/>
  <c r="N47" i="11" s="1"/>
  <c r="I158" i="11"/>
  <c r="S158" i="11" s="1"/>
  <c r="X106" i="11"/>
  <c r="D122" i="11" s="1"/>
  <c r="I122" i="11" s="1"/>
  <c r="N122" i="11" s="1"/>
  <c r="S122" i="11" s="1"/>
  <c r="X122" i="11" s="1"/>
  <c r="D137" i="11"/>
  <c r="S137" i="11" s="1"/>
  <c r="D101" i="11"/>
  <c r="X101" i="11" s="1"/>
  <c r="D117" i="11" s="1"/>
  <c r="I117" i="11" s="1"/>
  <c r="N117" i="11" s="1"/>
  <c r="S117" i="11" s="1"/>
  <c r="X117" i="11" s="1"/>
  <c r="H158" i="11"/>
  <c r="R158" i="11" s="1"/>
  <c r="H126" i="11"/>
  <c r="W107" i="11"/>
  <c r="C123" i="11" s="1"/>
  <c r="H123" i="11" s="1"/>
  <c r="M123" i="11" s="1"/>
  <c r="R123" i="11" s="1"/>
  <c r="W123" i="11" s="1"/>
  <c r="D104" i="11"/>
  <c r="S104" i="11" s="1"/>
  <c r="E75" i="12"/>
  <c r="E74" i="12"/>
  <c r="E73" i="12"/>
  <c r="E72" i="12"/>
  <c r="E71" i="12"/>
  <c r="E70" i="12"/>
  <c r="E69" i="12"/>
  <c r="E68" i="12"/>
  <c r="C76" i="12"/>
  <c r="C75" i="12"/>
  <c r="C74" i="12"/>
  <c r="C73" i="12"/>
  <c r="C72" i="12"/>
  <c r="C71" i="12"/>
  <c r="C70" i="12"/>
  <c r="C69" i="12"/>
  <c r="C68" i="12"/>
  <c r="K125" i="10"/>
  <c r="K126" i="10" s="1"/>
  <c r="I125" i="10"/>
  <c r="I126" i="10" s="1"/>
  <c r="J126" i="10" s="1"/>
  <c r="H157" i="11" s="1"/>
  <c r="M157" i="11" s="1"/>
  <c r="L124" i="10"/>
  <c r="H155" i="11"/>
  <c r="K123" i="10"/>
  <c r="K122" i="10"/>
  <c r="I122" i="10"/>
  <c r="I123" i="10" s="1"/>
  <c r="L121" i="10"/>
  <c r="L129" i="10"/>
  <c r="I129" i="10"/>
  <c r="J129" i="10" s="1"/>
  <c r="L128" i="10"/>
  <c r="K128" i="10"/>
  <c r="K129" i="10" s="1"/>
  <c r="I128" i="10"/>
  <c r="J128" i="10" s="1"/>
  <c r="L127" i="10"/>
  <c r="L120" i="10"/>
  <c r="L119" i="10"/>
  <c r="L117" i="10"/>
  <c r="L115" i="10"/>
  <c r="L118" i="10"/>
  <c r="D111" i="12" s="1"/>
  <c r="L113" i="10"/>
  <c r="D110" i="12" s="1"/>
  <c r="L112" i="10"/>
  <c r="K111" i="10"/>
  <c r="I111" i="10"/>
  <c r="J111" i="10" s="1"/>
  <c r="K114" i="10"/>
  <c r="I114" i="10"/>
  <c r="J114" i="10" s="1"/>
  <c r="H160" i="11" s="1"/>
  <c r="L110" i="10"/>
  <c r="L125" i="10" s="1"/>
  <c r="L126" i="10" s="1"/>
  <c r="L109" i="10"/>
  <c r="L114" i="10" s="1"/>
  <c r="L108" i="10"/>
  <c r="L107" i="10"/>
  <c r="C142" i="11"/>
  <c r="R142" i="11" s="1"/>
  <c r="L106" i="10"/>
  <c r="R143" i="11"/>
  <c r="L105" i="10"/>
  <c r="L104" i="10"/>
  <c r="L103" i="10"/>
  <c r="W143" i="11"/>
  <c r="L102" i="10"/>
  <c r="L100" i="10"/>
  <c r="C145" i="11"/>
  <c r="H145" i="11" s="1"/>
  <c r="L99" i="10"/>
  <c r="H146" i="11"/>
  <c r="L101" i="10"/>
  <c r="D114" i="12" s="1"/>
  <c r="M145" i="11"/>
  <c r="L98" i="10"/>
  <c r="D115" i="12" s="1"/>
  <c r="C146" i="11"/>
  <c r="L97" i="10"/>
  <c r="L96" i="10"/>
  <c r="D108" i="12" s="1"/>
  <c r="L95" i="10"/>
  <c r="H110" i="11"/>
  <c r="L94" i="10"/>
  <c r="C109" i="11"/>
  <c r="H109" i="11" s="1"/>
  <c r="L93" i="10"/>
  <c r="L92" i="10"/>
  <c r="R108" i="11"/>
  <c r="L91" i="10"/>
  <c r="L88" i="10"/>
  <c r="C104" i="11"/>
  <c r="R104" i="11" s="1"/>
  <c r="L87" i="10"/>
  <c r="L86" i="10"/>
  <c r="L85" i="10"/>
  <c r="D103" i="12" s="1"/>
  <c r="L84" i="10"/>
  <c r="L83" i="10"/>
  <c r="C124" i="11"/>
  <c r="H124" i="11" s="1"/>
  <c r="M124" i="11" s="1"/>
  <c r="R124" i="11" s="1"/>
  <c r="W124" i="11" s="1"/>
  <c r="L82" i="10"/>
  <c r="L81" i="10"/>
  <c r="L122" i="10" s="1"/>
  <c r="L123" i="10" s="1"/>
  <c r="L74" i="10"/>
  <c r="W128" i="11"/>
  <c r="R160" i="11"/>
  <c r="H161" i="11"/>
  <c r="C138" i="11"/>
  <c r="R138" i="11" s="1"/>
  <c r="C139" i="11"/>
  <c r="L116" i="10"/>
  <c r="L90" i="10"/>
  <c r="L89" i="10"/>
  <c r="L80" i="10"/>
  <c r="L79" i="10"/>
  <c r="L78" i="10"/>
  <c r="D105" i="12" s="1"/>
  <c r="L76" i="10"/>
  <c r="L77" i="10" s="1"/>
  <c r="D104" i="12" s="1"/>
  <c r="L75" i="10"/>
  <c r="E99" i="10"/>
  <c r="G99" i="10" s="1"/>
  <c r="H99" i="10" s="1"/>
  <c r="E97" i="10"/>
  <c r="E98" i="10" s="1"/>
  <c r="E96" i="10"/>
  <c r="E95" i="10" s="1"/>
  <c r="G95" i="10" s="1"/>
  <c r="E92" i="10"/>
  <c r="G92" i="10" s="1"/>
  <c r="E85" i="10"/>
  <c r="E80" i="10"/>
  <c r="G80" i="10" s="1"/>
  <c r="H80" i="10" s="1"/>
  <c r="E79" i="10"/>
  <c r="G79" i="10" s="1"/>
  <c r="E78" i="10"/>
  <c r="G78" i="10" s="1"/>
  <c r="E77" i="10"/>
  <c r="G77" i="10" s="1"/>
  <c r="E76" i="10"/>
  <c r="G76" i="10" s="1"/>
  <c r="E75" i="10"/>
  <c r="G75" i="10" s="1"/>
  <c r="E74" i="10"/>
  <c r="D68" i="12" s="1"/>
  <c r="F93" i="11"/>
  <c r="F92" i="11"/>
  <c r="F91" i="11"/>
  <c r="F90" i="11"/>
  <c r="F89" i="11"/>
  <c r="F88" i="11"/>
  <c r="F87" i="11"/>
  <c r="F86" i="11"/>
  <c r="F85" i="11"/>
  <c r="F82" i="11"/>
  <c r="F81" i="11"/>
  <c r="F80" i="11"/>
  <c r="F79" i="11"/>
  <c r="F78" i="11"/>
  <c r="F77" i="11"/>
  <c r="F76" i="11"/>
  <c r="F75" i="11"/>
  <c r="E93" i="11"/>
  <c r="E92" i="11"/>
  <c r="E91" i="11"/>
  <c r="E90" i="11"/>
  <c r="E89" i="11"/>
  <c r="E88" i="11"/>
  <c r="E87" i="11"/>
  <c r="E86" i="11"/>
  <c r="E85" i="11"/>
  <c r="E83" i="11"/>
  <c r="E82" i="11"/>
  <c r="E81" i="11"/>
  <c r="E80" i="11"/>
  <c r="E79" i="11"/>
  <c r="E78" i="11"/>
  <c r="E77" i="11"/>
  <c r="E76" i="11"/>
  <c r="E75" i="11"/>
  <c r="X43" i="11"/>
  <c r="S45" i="11"/>
  <c r="N48" i="11"/>
  <c r="I50" i="11"/>
  <c r="D52" i="11"/>
  <c r="D61" i="11"/>
  <c r="S61" i="11" s="1"/>
  <c r="D40" i="11"/>
  <c r="X40" i="11" s="1"/>
  <c r="X30" i="11"/>
  <c r="S30" i="11"/>
  <c r="N30" i="11"/>
  <c r="I28" i="11"/>
  <c r="X11" i="11"/>
  <c r="X9" i="11"/>
  <c r="N24" i="11" s="1"/>
  <c r="N64" i="11"/>
  <c r="I64" i="11"/>
  <c r="D64" i="11"/>
  <c r="S62" i="11"/>
  <c r="D27" i="11"/>
  <c r="S11" i="11"/>
  <c r="E47" i="12"/>
  <c r="N12" i="11"/>
  <c r="I13" i="11"/>
  <c r="S9" i="11"/>
  <c r="N9" i="11"/>
  <c r="I9" i="11"/>
  <c r="D15" i="11"/>
  <c r="D9" i="11"/>
  <c r="D6" i="11"/>
  <c r="X6" i="11" s="1"/>
  <c r="J62" i="10"/>
  <c r="C8" i="11" s="1"/>
  <c r="S57" i="11"/>
  <c r="S59" i="11"/>
  <c r="N57" i="11"/>
  <c r="N59" i="11"/>
  <c r="I57" i="11"/>
  <c r="I59" i="11"/>
  <c r="D57" i="11"/>
  <c r="D59" i="11"/>
  <c r="X36" i="11"/>
  <c r="X38" i="11"/>
  <c r="S36" i="11"/>
  <c r="S38" i="11"/>
  <c r="N36" i="11"/>
  <c r="N38" i="11"/>
  <c r="I36" i="11"/>
  <c r="I38" i="11"/>
  <c r="B20" i="11"/>
  <c r="D20" i="11"/>
  <c r="B21" i="11"/>
  <c r="B22" i="11"/>
  <c r="D22" i="11"/>
  <c r="V20" i="11"/>
  <c r="X20" i="11"/>
  <c r="V21" i="11"/>
  <c r="V22" i="11"/>
  <c r="X22" i="11"/>
  <c r="Q20" i="11"/>
  <c r="S20" i="11"/>
  <c r="Q21" i="11"/>
  <c r="Q22" i="11"/>
  <c r="S22" i="11"/>
  <c r="G20" i="11"/>
  <c r="I20" i="11"/>
  <c r="G21" i="11"/>
  <c r="G22" i="11"/>
  <c r="I22" i="11"/>
  <c r="V5" i="11"/>
  <c r="X5" i="11"/>
  <c r="V6" i="11"/>
  <c r="V7" i="11"/>
  <c r="X7" i="11"/>
  <c r="L5" i="11"/>
  <c r="N5" i="11"/>
  <c r="L6" i="11"/>
  <c r="L7" i="11"/>
  <c r="N7" i="11"/>
  <c r="G5" i="11"/>
  <c r="L20" i="11" s="1"/>
  <c r="I5" i="11"/>
  <c r="N20" i="11" s="1"/>
  <c r="G6" i="11"/>
  <c r="L21" i="11" s="1"/>
  <c r="G7" i="11"/>
  <c r="L22" i="11" s="1"/>
  <c r="I7" i="11"/>
  <c r="N22" i="11" s="1"/>
  <c r="L61" i="10"/>
  <c r="L62" i="10"/>
  <c r="L63" i="10"/>
  <c r="L64" i="10"/>
  <c r="L65" i="10"/>
  <c r="K64" i="10"/>
  <c r="E15" i="12" s="1"/>
  <c r="I65" i="10"/>
  <c r="J65" i="10" s="1"/>
  <c r="I64" i="10"/>
  <c r="D64" i="10"/>
  <c r="J63" i="10"/>
  <c r="C7" i="11" s="1"/>
  <c r="K56" i="10"/>
  <c r="I56" i="10"/>
  <c r="L54" i="10"/>
  <c r="L53" i="10"/>
  <c r="J205" i="11" l="1"/>
  <c r="D112" i="12"/>
  <c r="D116" i="12"/>
  <c r="D102" i="12"/>
  <c r="D113" i="12"/>
  <c r="D109" i="12"/>
  <c r="D107" i="12"/>
  <c r="O205" i="11"/>
  <c r="C133" i="11"/>
  <c r="C152" i="11" s="1"/>
  <c r="H152" i="11"/>
  <c r="R152" i="11" s="1"/>
  <c r="C135" i="11"/>
  <c r="W135" i="11" s="1"/>
  <c r="H152" i="12"/>
  <c r="K152" i="12" s="1"/>
  <c r="M152" i="12" s="1"/>
  <c r="J125" i="10"/>
  <c r="H156" i="11" s="1"/>
  <c r="M156" i="11" s="1"/>
  <c r="R159" i="11"/>
  <c r="J123" i="10"/>
  <c r="W105" i="11" s="1"/>
  <c r="C121" i="11" s="1"/>
  <c r="H121" i="11" s="1"/>
  <c r="M121" i="11" s="1"/>
  <c r="R121" i="11" s="1"/>
  <c r="W121" i="11" s="1"/>
  <c r="D69" i="12"/>
  <c r="J122" i="10"/>
  <c r="W104" i="11" s="1"/>
  <c r="C120" i="11" s="1"/>
  <c r="H120" i="11" s="1"/>
  <c r="M120" i="11" s="1"/>
  <c r="R120" i="11" s="1"/>
  <c r="W120" i="11" s="1"/>
  <c r="N104" i="11"/>
  <c r="N101" i="11"/>
  <c r="I101" i="11"/>
  <c r="S101" i="11"/>
  <c r="I153" i="11"/>
  <c r="S153" i="11" s="1"/>
  <c r="I47" i="11"/>
  <c r="L147" i="10"/>
  <c r="E144" i="12" s="1"/>
  <c r="G144" i="12" s="1"/>
  <c r="R157" i="11"/>
  <c r="L144" i="10"/>
  <c r="E143" i="10"/>
  <c r="N158" i="11"/>
  <c r="I137" i="11"/>
  <c r="I104" i="11"/>
  <c r="N137" i="11"/>
  <c r="X137" i="11"/>
  <c r="D156" i="11"/>
  <c r="C101" i="11"/>
  <c r="H101" i="11" s="1"/>
  <c r="W100" i="11"/>
  <c r="C116" i="11" s="1"/>
  <c r="H116" i="11" s="1"/>
  <c r="M116" i="11" s="1"/>
  <c r="R116" i="11" s="1"/>
  <c r="W116" i="11" s="1"/>
  <c r="W139" i="11"/>
  <c r="C158" i="11"/>
  <c r="C134" i="11"/>
  <c r="M134" i="11" s="1"/>
  <c r="H153" i="11"/>
  <c r="W101" i="11"/>
  <c r="C117" i="11" s="1"/>
  <c r="H117" i="11" s="1"/>
  <c r="M117" i="11" s="1"/>
  <c r="R117" i="11" s="1"/>
  <c r="W117" i="11" s="1"/>
  <c r="E76" i="12"/>
  <c r="C100" i="11"/>
  <c r="R100" i="11" s="1"/>
  <c r="H137" i="11"/>
  <c r="M143" i="11"/>
  <c r="C156" i="11"/>
  <c r="H144" i="11"/>
  <c r="M144" i="11"/>
  <c r="M137" i="11"/>
  <c r="R137" i="11"/>
  <c r="H142" i="11"/>
  <c r="M142" i="11"/>
  <c r="M141" i="11"/>
  <c r="W141" i="11"/>
  <c r="H141" i="11"/>
  <c r="R141" i="11"/>
  <c r="W140" i="11"/>
  <c r="R140" i="11"/>
  <c r="H140" i="11"/>
  <c r="R139" i="11"/>
  <c r="H139" i="11"/>
  <c r="M139" i="11"/>
  <c r="M158" i="11"/>
  <c r="W138" i="11"/>
  <c r="M138" i="11"/>
  <c r="H138" i="11"/>
  <c r="C157" i="11"/>
  <c r="M155" i="11"/>
  <c r="R155" i="11"/>
  <c r="C136" i="11"/>
  <c r="M108" i="11"/>
  <c r="H108" i="11"/>
  <c r="H104" i="11"/>
  <c r="R154" i="11"/>
  <c r="M154" i="11"/>
  <c r="C102" i="11"/>
  <c r="W102" i="11"/>
  <c r="C118" i="11" s="1"/>
  <c r="H118" i="11" s="1"/>
  <c r="M118" i="11" s="1"/>
  <c r="R118" i="11" s="1"/>
  <c r="W118" i="11" s="1"/>
  <c r="M104" i="11"/>
  <c r="M103" i="11"/>
  <c r="R103" i="11"/>
  <c r="H103" i="11"/>
  <c r="W103" i="11"/>
  <c r="C119" i="11" s="1"/>
  <c r="H119" i="11" s="1"/>
  <c r="M119" i="11" s="1"/>
  <c r="R119" i="11" s="1"/>
  <c r="W119" i="11" s="1"/>
  <c r="I144" i="11"/>
  <c r="D134" i="11"/>
  <c r="N40" i="11"/>
  <c r="S40" i="11"/>
  <c r="S24" i="11"/>
  <c r="X24" i="11"/>
  <c r="D24" i="11"/>
  <c r="I24" i="11"/>
  <c r="I40" i="11"/>
  <c r="I61" i="11"/>
  <c r="D37" i="11"/>
  <c r="N61" i="11"/>
  <c r="D21" i="11"/>
  <c r="L111" i="10"/>
  <c r="M85" i="10"/>
  <c r="G175" i="11" s="1"/>
  <c r="M96" i="10"/>
  <c r="M76" i="10"/>
  <c r="M74" i="10"/>
  <c r="M75" i="10"/>
  <c r="M79" i="10"/>
  <c r="G171" i="11" s="1"/>
  <c r="M97" i="10"/>
  <c r="E97" i="12" s="1"/>
  <c r="G97" i="12" s="1"/>
  <c r="E146" i="11" s="1"/>
  <c r="G85" i="10"/>
  <c r="M99" i="10"/>
  <c r="M95" i="10"/>
  <c r="M78" i="10"/>
  <c r="G173" i="11" s="1"/>
  <c r="M80" i="10"/>
  <c r="M92" i="10"/>
  <c r="G172" i="11" s="1"/>
  <c r="E100" i="10"/>
  <c r="E115" i="12" s="1"/>
  <c r="M98" i="10"/>
  <c r="H115" i="12" s="1"/>
  <c r="M77" i="10"/>
  <c r="G174" i="11" s="1"/>
  <c r="E87" i="10"/>
  <c r="E86" i="10" s="1"/>
  <c r="G96" i="10"/>
  <c r="G98" i="10"/>
  <c r="H98" i="10" s="1"/>
  <c r="G97" i="10"/>
  <c r="H97" i="10" s="1"/>
  <c r="G74" i="10"/>
  <c r="H74" i="10" s="1"/>
  <c r="E94" i="10"/>
  <c r="M94" i="10" s="1"/>
  <c r="H107" i="12" s="1"/>
  <c r="J64" i="10"/>
  <c r="C36" i="11"/>
  <c r="C57" i="11" s="1"/>
  <c r="C5" i="11"/>
  <c r="H5" i="11" s="1"/>
  <c r="M20" i="11" s="1"/>
  <c r="D55" i="12"/>
  <c r="K65" i="10"/>
  <c r="M7" i="11"/>
  <c r="C38" i="11"/>
  <c r="H59" i="11" s="1"/>
  <c r="M23" i="11"/>
  <c r="R8" i="11"/>
  <c r="C23" i="11"/>
  <c r="H23" i="11"/>
  <c r="M8" i="11"/>
  <c r="W23" i="11"/>
  <c r="H8" i="11"/>
  <c r="W8" i="11"/>
  <c r="D53" i="12"/>
  <c r="R23" i="11"/>
  <c r="I6" i="11"/>
  <c r="N21" i="11" s="1"/>
  <c r="X21" i="11"/>
  <c r="N6" i="11"/>
  <c r="I21" i="11"/>
  <c r="S21" i="11"/>
  <c r="Q7" i="11"/>
  <c r="Q5" i="11"/>
  <c r="Q6" i="11"/>
  <c r="S5" i="11"/>
  <c r="S7" i="11"/>
  <c r="L44" i="10"/>
  <c r="L35" i="10"/>
  <c r="M35" i="10" s="1"/>
  <c r="E14" i="12"/>
  <c r="E9" i="12"/>
  <c r="E8" i="12"/>
  <c r="D8" i="12"/>
  <c r="C9" i="12"/>
  <c r="C8" i="12"/>
  <c r="C7" i="12"/>
  <c r="C35" i="10"/>
  <c r="C14" i="12"/>
  <c r="C13" i="12"/>
  <c r="E13" i="12"/>
  <c r="C12" i="12"/>
  <c r="E12" i="12"/>
  <c r="C11" i="12"/>
  <c r="E11" i="12"/>
  <c r="C43" i="10"/>
  <c r="C42" i="10"/>
  <c r="I16" i="10"/>
  <c r="J16" i="10" s="1"/>
  <c r="M30" i="11" s="1"/>
  <c r="I54" i="9"/>
  <c r="H54" i="9"/>
  <c r="I50" i="9"/>
  <c r="H50" i="9"/>
  <c r="S43" i="9"/>
  <c r="S42" i="9"/>
  <c r="S45" i="9"/>
  <c r="S44" i="9"/>
  <c r="R45" i="9"/>
  <c r="R44" i="9"/>
  <c r="L32" i="10"/>
  <c r="J31" i="10"/>
  <c r="R11" i="11" s="1"/>
  <c r="J32" i="10"/>
  <c r="C11" i="11" s="1"/>
  <c r="L27" i="10"/>
  <c r="L30" i="10"/>
  <c r="J30" i="10"/>
  <c r="C10" i="11" s="1"/>
  <c r="L29" i="10"/>
  <c r="L28" i="10"/>
  <c r="L22" i="10"/>
  <c r="J29" i="10"/>
  <c r="C9" i="11" s="1"/>
  <c r="J28" i="10"/>
  <c r="L23" i="10"/>
  <c r="L51" i="10"/>
  <c r="D42" i="12" s="1"/>
  <c r="L50" i="10"/>
  <c r="L48" i="10"/>
  <c r="L47" i="10"/>
  <c r="L46" i="10"/>
  <c r="L45" i="10"/>
  <c r="L60" i="10"/>
  <c r="L59" i="10"/>
  <c r="L58" i="10"/>
  <c r="L57" i="10"/>
  <c r="L55" i="10"/>
  <c r="L43" i="10"/>
  <c r="L41" i="10"/>
  <c r="L40" i="10"/>
  <c r="L52" i="10"/>
  <c r="L39" i="10"/>
  <c r="M39" i="10" s="1"/>
  <c r="L38" i="10"/>
  <c r="M38" i="10" s="1"/>
  <c r="L37" i="10"/>
  <c r="M37" i="10" s="1"/>
  <c r="E28" i="12" s="1"/>
  <c r="G28" i="12" s="1"/>
  <c r="E51" i="11" s="1"/>
  <c r="L36" i="10"/>
  <c r="M36" i="10" s="1"/>
  <c r="G85" i="11" s="1"/>
  <c r="L42" i="10"/>
  <c r="L21" i="10"/>
  <c r="L26" i="10"/>
  <c r="J52" i="10"/>
  <c r="R62" i="11" s="1"/>
  <c r="J53" i="10"/>
  <c r="J54" i="10"/>
  <c r="J55" i="10"/>
  <c r="C64" i="11" s="1"/>
  <c r="J56" i="10"/>
  <c r="M63" i="11" s="1"/>
  <c r="J57" i="10"/>
  <c r="J58" i="10"/>
  <c r="J59" i="10"/>
  <c r="J60" i="10"/>
  <c r="J61" i="10"/>
  <c r="J51" i="10"/>
  <c r="I50" i="10"/>
  <c r="J50" i="10" s="1"/>
  <c r="H64" i="11" s="1"/>
  <c r="J42" i="10"/>
  <c r="C47" i="11" s="1"/>
  <c r="E10" i="12"/>
  <c r="J40" i="10"/>
  <c r="J39" i="10"/>
  <c r="C50" i="11" s="1"/>
  <c r="C39" i="10"/>
  <c r="C40" i="10" s="1"/>
  <c r="C37" i="10"/>
  <c r="F35" i="10"/>
  <c r="F36" i="10"/>
  <c r="H36" i="10" s="1"/>
  <c r="F37" i="10"/>
  <c r="H37" i="10" s="1"/>
  <c r="F38" i="10"/>
  <c r="H38" i="10" s="1"/>
  <c r="F39" i="10"/>
  <c r="H39" i="10" s="1"/>
  <c r="C55" i="10"/>
  <c r="C60" i="10"/>
  <c r="C59" i="10"/>
  <c r="C58" i="10"/>
  <c r="C57" i="10"/>
  <c r="C56" i="10"/>
  <c r="C54" i="10"/>
  <c r="C53" i="10"/>
  <c r="C51" i="10"/>
  <c r="E41" i="10"/>
  <c r="E101" i="10" s="1"/>
  <c r="E40" i="10"/>
  <c r="E43" i="10" s="1"/>
  <c r="F43" i="10" s="1"/>
  <c r="H43" i="10" s="1"/>
  <c r="J37" i="10"/>
  <c r="C51" i="11" s="1"/>
  <c r="C50" i="10"/>
  <c r="C49" i="10"/>
  <c r="J43" i="10"/>
  <c r="L19" i="10"/>
  <c r="L18" i="10"/>
  <c r="L17" i="10"/>
  <c r="L15" i="10"/>
  <c r="L16" i="10" s="1"/>
  <c r="L14" i="10"/>
  <c r="L49" i="10"/>
  <c r="L56" i="10" s="1"/>
  <c r="L34" i="10"/>
  <c r="L33" i="10"/>
  <c r="L31" i="10"/>
  <c r="L25" i="10"/>
  <c r="L24" i="10"/>
  <c r="L20" i="10"/>
  <c r="L13" i="10"/>
  <c r="C10" i="12"/>
  <c r="E7" i="12"/>
  <c r="J34" i="10"/>
  <c r="C13" i="11" s="1"/>
  <c r="J33" i="10"/>
  <c r="C12" i="11" s="1"/>
  <c r="J48" i="10"/>
  <c r="J47" i="10"/>
  <c r="J17" i="10"/>
  <c r="H28" i="11" s="1"/>
  <c r="J18" i="10"/>
  <c r="W11" i="11" s="1"/>
  <c r="J21" i="10"/>
  <c r="C14" i="11" s="1"/>
  <c r="J22" i="10"/>
  <c r="J23" i="10"/>
  <c r="J24" i="10"/>
  <c r="C27" i="11" s="1"/>
  <c r="J26" i="10"/>
  <c r="J27" i="10"/>
  <c r="J36" i="10"/>
  <c r="C52" i="11" s="1"/>
  <c r="J38" i="10"/>
  <c r="H50" i="11" s="1"/>
  <c r="J41" i="10"/>
  <c r="M48" i="11" s="1"/>
  <c r="J44" i="10"/>
  <c r="W43" i="11" s="1"/>
  <c r="J45" i="10"/>
  <c r="J46" i="10"/>
  <c r="R45" i="11" s="1"/>
  <c r="J49" i="10"/>
  <c r="M64" i="11" s="1"/>
  <c r="D35" i="10"/>
  <c r="J35" i="10" s="1"/>
  <c r="H13" i="11" s="1"/>
  <c r="C44" i="10"/>
  <c r="H17" i="9"/>
  <c r="I17" i="9"/>
  <c r="I23" i="9"/>
  <c r="P20" i="9"/>
  <c r="N21" i="9"/>
  <c r="M21" i="9"/>
  <c r="J21" i="9"/>
  <c r="I21" i="9"/>
  <c r="H21" i="9"/>
  <c r="D25" i="10"/>
  <c r="J25" i="10" s="1"/>
  <c r="H3" i="4"/>
  <c r="E13" i="10"/>
  <c r="P9" i="9"/>
  <c r="D20" i="10"/>
  <c r="J20" i="10" s="1"/>
  <c r="C15" i="11" s="1"/>
  <c r="D19" i="10"/>
  <c r="J19" i="10" s="1"/>
  <c r="M12" i="11" s="1"/>
  <c r="D14" i="10"/>
  <c r="J14" i="10" s="1"/>
  <c r="R30" i="11" s="1"/>
  <c r="D15" i="10"/>
  <c r="J15" i="10" s="1"/>
  <c r="M29" i="11" s="1"/>
  <c r="D13" i="10"/>
  <c r="W30" i="11" s="1"/>
  <c r="C20" i="10"/>
  <c r="C21" i="10" s="1"/>
  <c r="P12" i="9"/>
  <c r="P13" i="9"/>
  <c r="P15" i="9"/>
  <c r="P16" i="9"/>
  <c r="P17" i="9"/>
  <c r="P22" i="9"/>
  <c r="P23" i="9"/>
  <c r="P24" i="9"/>
  <c r="L4" i="9"/>
  <c r="P19" i="9" s="1"/>
  <c r="P21" i="9" s="1"/>
  <c r="P10" i="9"/>
  <c r="P25" i="9"/>
  <c r="G19" i="4"/>
  <c r="G18" i="4"/>
  <c r="G20" i="4"/>
  <c r="J3" i="4"/>
  <c r="J14" i="4"/>
  <c r="I24" i="9"/>
  <c r="H68" i="4"/>
  <c r="H69" i="4" s="1"/>
  <c r="C14" i="10"/>
  <c r="C15" i="10"/>
  <c r="C16" i="10" s="1"/>
  <c r="C17" i="10"/>
  <c r="C18" i="10"/>
  <c r="C19" i="10"/>
  <c r="C52" i="10"/>
  <c r="C13" i="10"/>
  <c r="J74" i="10"/>
  <c r="R128" i="11" s="1"/>
  <c r="M127" i="11"/>
  <c r="C125" i="11"/>
  <c r="W108" i="11"/>
  <c r="M109" i="11"/>
  <c r="C110" i="11"/>
  <c r="H125" i="11"/>
  <c r="M125" i="11" s="1"/>
  <c r="R125" i="11" s="1"/>
  <c r="W125" i="11" s="1"/>
  <c r="C105" i="11"/>
  <c r="C106" i="11"/>
  <c r="C107" i="11"/>
  <c r="AA76" i="10"/>
  <c r="H25" i="9"/>
  <c r="I25" i="9"/>
  <c r="H23" i="9"/>
  <c r="H24" i="9"/>
  <c r="H9" i="9"/>
  <c r="E22" i="9"/>
  <c r="E9" i="9"/>
  <c r="I22" i="9"/>
  <c r="H22" i="9"/>
  <c r="I12" i="9"/>
  <c r="H12" i="9"/>
  <c r="I50" i="4"/>
  <c r="H50" i="4"/>
  <c r="H13" i="4" s="1"/>
  <c r="J13" i="4" s="1"/>
  <c r="I51" i="4"/>
  <c r="I14" i="4" s="1"/>
  <c r="H51" i="4"/>
  <c r="H12" i="4"/>
  <c r="E18" i="9" s="1"/>
  <c r="J12" i="4"/>
  <c r="H4" i="4"/>
  <c r="H16" i="4"/>
  <c r="E24" i="9" s="1"/>
  <c r="E49" i="10" s="1"/>
  <c r="E108" i="10" s="1"/>
  <c r="J16" i="4"/>
  <c r="D25" i="4"/>
  <c r="F25" i="4"/>
  <c r="I10" i="4"/>
  <c r="I4" i="4"/>
  <c r="I5" i="4"/>
  <c r="K5" i="4" s="1"/>
  <c r="I6" i="4"/>
  <c r="I7" i="4"/>
  <c r="I8" i="4"/>
  <c r="I9" i="4"/>
  <c r="I11" i="4"/>
  <c r="I15" i="4"/>
  <c r="I16" i="4"/>
  <c r="I17" i="4"/>
  <c r="I18" i="4"/>
  <c r="I19" i="4"/>
  <c r="I20" i="4"/>
  <c r="I21" i="4"/>
  <c r="I22" i="4"/>
  <c r="K22" i="4" s="1"/>
  <c r="I23" i="4"/>
  <c r="K23" i="4" s="1"/>
  <c r="H5" i="4"/>
  <c r="H6" i="4"/>
  <c r="H7" i="4"/>
  <c r="H8" i="4"/>
  <c r="H9" i="4"/>
  <c r="H10" i="4"/>
  <c r="H11" i="4"/>
  <c r="H15" i="4"/>
  <c r="H17" i="4"/>
  <c r="H18" i="4"/>
  <c r="H19" i="4"/>
  <c r="H20" i="4"/>
  <c r="H21" i="4"/>
  <c r="H22" i="4"/>
  <c r="H23" i="4"/>
  <c r="G17" i="4"/>
  <c r="G16" i="4"/>
  <c r="G14" i="4"/>
  <c r="G12" i="4"/>
  <c r="G11" i="4"/>
  <c r="G9" i="4"/>
  <c r="G8" i="4"/>
  <c r="G7" i="4"/>
  <c r="G6" i="4"/>
  <c r="G4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D24" i="4"/>
  <c r="G114" i="6"/>
  <c r="I24" i="4"/>
  <c r="F3" i="4"/>
  <c r="F24" i="4"/>
  <c r="E224" i="11" l="1"/>
  <c r="D227" i="11" s="1"/>
  <c r="R133" i="11"/>
  <c r="M135" i="11"/>
  <c r="R135" i="11"/>
  <c r="W133" i="11"/>
  <c r="M152" i="11"/>
  <c r="R101" i="11"/>
  <c r="H133" i="11"/>
  <c r="M133" i="11"/>
  <c r="E108" i="12"/>
  <c r="C37" i="11"/>
  <c r="M58" i="11" s="1"/>
  <c r="C6" i="11"/>
  <c r="M6" i="11" s="1"/>
  <c r="F69" i="12"/>
  <c r="G170" i="11"/>
  <c r="I108" i="12"/>
  <c r="L108" i="12" s="1"/>
  <c r="E140" i="10"/>
  <c r="G143" i="10"/>
  <c r="E151" i="12"/>
  <c r="C154" i="11"/>
  <c r="R156" i="11"/>
  <c r="G124" i="12"/>
  <c r="J124" i="12" s="1"/>
  <c r="D34" i="12"/>
  <c r="E102" i="12"/>
  <c r="H108" i="12"/>
  <c r="G169" i="11"/>
  <c r="H124" i="12"/>
  <c r="K124" i="12" s="1"/>
  <c r="H102" i="12"/>
  <c r="H135" i="11"/>
  <c r="N153" i="11"/>
  <c r="H134" i="11"/>
  <c r="C153" i="11"/>
  <c r="M101" i="11"/>
  <c r="L143" i="10"/>
  <c r="X134" i="11"/>
  <c r="N134" i="11"/>
  <c r="S134" i="11"/>
  <c r="I134" i="11"/>
  <c r="D153" i="11"/>
  <c r="M100" i="11"/>
  <c r="I105" i="12"/>
  <c r="L105" i="12" s="1"/>
  <c r="M153" i="11"/>
  <c r="R153" i="11"/>
  <c r="I103" i="12"/>
  <c r="I104" i="12"/>
  <c r="L104" i="12" s="1"/>
  <c r="R134" i="11"/>
  <c r="E87" i="12"/>
  <c r="M101" i="10"/>
  <c r="G86" i="10"/>
  <c r="M87" i="10"/>
  <c r="D122" i="12"/>
  <c r="I115" i="12"/>
  <c r="I107" i="12"/>
  <c r="L107" i="12" s="1"/>
  <c r="I102" i="12"/>
  <c r="F68" i="12"/>
  <c r="I106" i="12"/>
  <c r="L106" i="12" s="1"/>
  <c r="W134" i="11"/>
  <c r="M136" i="11"/>
  <c r="H136" i="11"/>
  <c r="W136" i="11"/>
  <c r="R136" i="11"/>
  <c r="C155" i="11"/>
  <c r="H107" i="11"/>
  <c r="M107" i="11"/>
  <c r="R107" i="11"/>
  <c r="M106" i="11"/>
  <c r="H106" i="11"/>
  <c r="R106" i="11"/>
  <c r="M105" i="11"/>
  <c r="H105" i="11"/>
  <c r="R105" i="11"/>
  <c r="M102" i="11"/>
  <c r="R102" i="11"/>
  <c r="H102" i="11"/>
  <c r="S6" i="11"/>
  <c r="I58" i="11"/>
  <c r="N37" i="11"/>
  <c r="N58" i="11"/>
  <c r="S37" i="11"/>
  <c r="S58" i="11"/>
  <c r="X37" i="11"/>
  <c r="D58" i="11"/>
  <c r="I37" i="11"/>
  <c r="H123" i="12"/>
  <c r="K123" i="12" s="1"/>
  <c r="W36" i="11"/>
  <c r="G123" i="12"/>
  <c r="J123" i="12" s="1"/>
  <c r="G100" i="10"/>
  <c r="H100" i="10" s="1"/>
  <c r="M100" i="10"/>
  <c r="H114" i="12" s="1"/>
  <c r="M86" i="10"/>
  <c r="H103" i="12" s="1"/>
  <c r="G108" i="10"/>
  <c r="M108" i="10"/>
  <c r="G187" i="11" s="1"/>
  <c r="D40" i="12"/>
  <c r="H36" i="11"/>
  <c r="G87" i="10"/>
  <c r="E102" i="10"/>
  <c r="E114" i="12" s="1"/>
  <c r="G101" i="10"/>
  <c r="H101" i="10" s="1"/>
  <c r="E93" i="10"/>
  <c r="E107" i="12" s="1"/>
  <c r="G94" i="10"/>
  <c r="E84" i="10"/>
  <c r="W7" i="11"/>
  <c r="M57" i="11"/>
  <c r="E111" i="10"/>
  <c r="E109" i="10"/>
  <c r="M109" i="10" s="1"/>
  <c r="G185" i="11" s="1"/>
  <c r="C22" i="11"/>
  <c r="R57" i="11"/>
  <c r="W22" i="11"/>
  <c r="R22" i="11"/>
  <c r="H57" i="11"/>
  <c r="R36" i="11"/>
  <c r="H7" i="11"/>
  <c r="R7" i="11" s="1"/>
  <c r="H22" i="11"/>
  <c r="M36" i="11"/>
  <c r="D54" i="12"/>
  <c r="M5" i="11"/>
  <c r="C59" i="11"/>
  <c r="M59" i="11"/>
  <c r="C20" i="11"/>
  <c r="R38" i="11"/>
  <c r="W5" i="11"/>
  <c r="R20" i="11"/>
  <c r="H38" i="11"/>
  <c r="R59" i="11"/>
  <c r="D44" i="12"/>
  <c r="D38" i="12"/>
  <c r="D45" i="12"/>
  <c r="D36" i="12"/>
  <c r="W20" i="11"/>
  <c r="H20" i="11"/>
  <c r="R5" i="11"/>
  <c r="M38" i="11"/>
  <c r="W38" i="11"/>
  <c r="M42" i="11"/>
  <c r="C42" i="11"/>
  <c r="W42" i="11"/>
  <c r="H42" i="11"/>
  <c r="R42" i="11"/>
  <c r="R44" i="11"/>
  <c r="H44" i="11"/>
  <c r="C44" i="11"/>
  <c r="M44" i="11"/>
  <c r="M27" i="11"/>
  <c r="H27" i="11"/>
  <c r="W27" i="11"/>
  <c r="R27" i="11"/>
  <c r="H49" i="11"/>
  <c r="C49" i="11"/>
  <c r="R61" i="11"/>
  <c r="M61" i="11"/>
  <c r="H61" i="11"/>
  <c r="C61" i="11"/>
  <c r="M41" i="11"/>
  <c r="H41" i="11"/>
  <c r="C41" i="11"/>
  <c r="W41" i="11"/>
  <c r="R41" i="11"/>
  <c r="C63" i="11"/>
  <c r="H63" i="11"/>
  <c r="M9" i="11"/>
  <c r="H9" i="11"/>
  <c r="R9" i="11"/>
  <c r="H10" i="11"/>
  <c r="R10" i="11"/>
  <c r="M10" i="11"/>
  <c r="F8" i="12"/>
  <c r="G76" i="11"/>
  <c r="H12" i="11"/>
  <c r="W25" i="11"/>
  <c r="C25" i="11"/>
  <c r="R25" i="11"/>
  <c r="M25" i="11"/>
  <c r="H25" i="11"/>
  <c r="W10" i="11"/>
  <c r="W29" i="11"/>
  <c r="R29" i="11"/>
  <c r="M45" i="11"/>
  <c r="C45" i="11"/>
  <c r="H45" i="11"/>
  <c r="M47" i="11"/>
  <c r="C48" i="11"/>
  <c r="H48" i="11"/>
  <c r="H47" i="11"/>
  <c r="H60" i="11"/>
  <c r="M39" i="11"/>
  <c r="W39" i="11"/>
  <c r="C60" i="11"/>
  <c r="H39" i="11"/>
  <c r="R60" i="11"/>
  <c r="R39" i="11"/>
  <c r="M60" i="11"/>
  <c r="C39" i="11"/>
  <c r="M40" i="11"/>
  <c r="W40" i="11"/>
  <c r="C40" i="11"/>
  <c r="H40" i="11"/>
  <c r="R40" i="11"/>
  <c r="H62" i="11"/>
  <c r="C62" i="11"/>
  <c r="M62" i="11"/>
  <c r="I47" i="12"/>
  <c r="L47" i="12" s="1"/>
  <c r="G86" i="11"/>
  <c r="D35" i="12"/>
  <c r="M28" i="11"/>
  <c r="W28" i="11"/>
  <c r="R28" i="11"/>
  <c r="R26" i="11"/>
  <c r="M26" i="11"/>
  <c r="H26" i="11"/>
  <c r="C26" i="11"/>
  <c r="W26" i="11"/>
  <c r="C46" i="11"/>
  <c r="M46" i="11"/>
  <c r="H46" i="11"/>
  <c r="E42" i="10"/>
  <c r="F42" i="10" s="1"/>
  <c r="H42" i="10" s="1"/>
  <c r="E46" i="12"/>
  <c r="M43" i="11"/>
  <c r="H43" i="11"/>
  <c r="R43" i="11"/>
  <c r="C43" i="11"/>
  <c r="D46" i="12"/>
  <c r="W37" i="11"/>
  <c r="W24" i="11"/>
  <c r="W9" i="11"/>
  <c r="M24" i="11"/>
  <c r="R24" i="11"/>
  <c r="C24" i="11"/>
  <c r="H24" i="11"/>
  <c r="M11" i="11"/>
  <c r="H11" i="11"/>
  <c r="D33" i="12"/>
  <c r="D41" i="12"/>
  <c r="D37" i="12"/>
  <c r="D43" i="12"/>
  <c r="D47" i="12"/>
  <c r="D39" i="12"/>
  <c r="P18" i="9"/>
  <c r="P14" i="9"/>
  <c r="E31" i="9"/>
  <c r="J23" i="4"/>
  <c r="L23" i="4" s="1"/>
  <c r="E30" i="9"/>
  <c r="J22" i="4"/>
  <c r="L22" i="4" s="1"/>
  <c r="E29" i="9"/>
  <c r="J21" i="4"/>
  <c r="E28" i="9"/>
  <c r="J20" i="4"/>
  <c r="E27" i="9"/>
  <c r="J19" i="4"/>
  <c r="E26" i="9"/>
  <c r="J18" i="4"/>
  <c r="E52" i="10"/>
  <c r="E113" i="10" s="1"/>
  <c r="J17" i="4"/>
  <c r="E23" i="9"/>
  <c r="E46" i="10" s="1"/>
  <c r="E106" i="10" s="1"/>
  <c r="J15" i="4"/>
  <c r="E31" i="10"/>
  <c r="E24" i="10"/>
  <c r="M24" i="10" s="1"/>
  <c r="E17" i="9"/>
  <c r="J11" i="4"/>
  <c r="E20" i="10"/>
  <c r="F20" i="10" s="1"/>
  <c r="H20" i="10" s="1"/>
  <c r="E16" i="9"/>
  <c r="J10" i="4"/>
  <c r="E19" i="10"/>
  <c r="E15" i="9"/>
  <c r="J9" i="4"/>
  <c r="E18" i="10"/>
  <c r="E14" i="9"/>
  <c r="J8" i="4"/>
  <c r="E17" i="10"/>
  <c r="E13" i="9"/>
  <c r="J7" i="4"/>
  <c r="E15" i="10"/>
  <c r="J6" i="4"/>
  <c r="E12" i="9"/>
  <c r="E11" i="9"/>
  <c r="J5" i="4"/>
  <c r="L5" i="4" s="1"/>
  <c r="E14" i="10"/>
  <c r="E10" i="9"/>
  <c r="J4" i="4"/>
  <c r="D10" i="12"/>
  <c r="F10" i="12" s="1"/>
  <c r="E44" i="10"/>
  <c r="E103" i="10" s="1"/>
  <c r="C28" i="4"/>
  <c r="F40" i="10"/>
  <c r="H40" i="10" s="1"/>
  <c r="M40" i="10"/>
  <c r="H47" i="12" s="1"/>
  <c r="K47" i="12" s="1"/>
  <c r="M49" i="10"/>
  <c r="G92" i="11" s="1"/>
  <c r="F49" i="10"/>
  <c r="M41" i="10"/>
  <c r="F13" i="10"/>
  <c r="H13" i="10" s="1"/>
  <c r="F41" i="10"/>
  <c r="H41" i="10" s="1"/>
  <c r="D7" i="12"/>
  <c r="M13" i="10"/>
  <c r="E50" i="10"/>
  <c r="H58" i="11" l="1"/>
  <c r="D230" i="11"/>
  <c r="D229" i="11"/>
  <c r="D228" i="11"/>
  <c r="H37" i="11"/>
  <c r="R58" i="11"/>
  <c r="R37" i="11"/>
  <c r="C58" i="11"/>
  <c r="L124" i="12"/>
  <c r="E102" i="11" s="1"/>
  <c r="Y102" i="11" s="1"/>
  <c r="E118" i="11" s="1"/>
  <c r="I151" i="12"/>
  <c r="L151" i="12" s="1"/>
  <c r="E143" i="12"/>
  <c r="G143" i="12" s="1"/>
  <c r="M37" i="11"/>
  <c r="F52" i="10"/>
  <c r="G140" i="10"/>
  <c r="E139" i="10"/>
  <c r="L140" i="10"/>
  <c r="H150" i="12" s="1"/>
  <c r="K150" i="12" s="1"/>
  <c r="M150" i="12" s="1"/>
  <c r="M84" i="10"/>
  <c r="H104" i="12" s="1"/>
  <c r="E103" i="12"/>
  <c r="L123" i="12"/>
  <c r="J158" i="11" s="1"/>
  <c r="O158" i="11" s="1"/>
  <c r="I114" i="12"/>
  <c r="K108" i="12"/>
  <c r="M108" i="12" s="1"/>
  <c r="E109" i="11" s="1"/>
  <c r="J109" i="11" s="1"/>
  <c r="K103" i="12"/>
  <c r="L114" i="12"/>
  <c r="E91" i="12"/>
  <c r="G91" i="12" s="1"/>
  <c r="T159" i="11" s="1"/>
  <c r="M102" i="10"/>
  <c r="D70" i="12"/>
  <c r="J102" i="11"/>
  <c r="H21" i="11"/>
  <c r="R21" i="11"/>
  <c r="W6" i="11"/>
  <c r="H6" i="11"/>
  <c r="W21" i="11"/>
  <c r="M22" i="11"/>
  <c r="C21" i="11"/>
  <c r="M103" i="10"/>
  <c r="G183" i="11" s="1"/>
  <c r="G113" i="10"/>
  <c r="M113" i="10"/>
  <c r="G186" i="11" s="1"/>
  <c r="G93" i="10"/>
  <c r="M93" i="10"/>
  <c r="H106" i="12" s="1"/>
  <c r="G111" i="10"/>
  <c r="M111" i="10"/>
  <c r="M106" i="10"/>
  <c r="G106" i="10"/>
  <c r="H106" i="10" s="1"/>
  <c r="E104" i="10"/>
  <c r="D71" i="12" s="1"/>
  <c r="G103" i="10"/>
  <c r="E114" i="10"/>
  <c r="G109" i="10"/>
  <c r="E83" i="10"/>
  <c r="E104" i="12" s="1"/>
  <c r="G84" i="10"/>
  <c r="E105" i="10"/>
  <c r="G102" i="10"/>
  <c r="H102" i="10" s="1"/>
  <c r="E118" i="10"/>
  <c r="M20" i="10"/>
  <c r="G75" i="11" s="1"/>
  <c r="M47" i="12"/>
  <c r="E49" i="11" s="1"/>
  <c r="J49" i="11" s="1"/>
  <c r="D9" i="12"/>
  <c r="E48" i="10"/>
  <c r="F48" i="10" s="1"/>
  <c r="H48" i="10" s="1"/>
  <c r="E47" i="10"/>
  <c r="F47" i="10" s="1"/>
  <c r="H47" i="10" s="1"/>
  <c r="I38" i="12"/>
  <c r="L38" i="12" s="1"/>
  <c r="G80" i="11"/>
  <c r="M44" i="10"/>
  <c r="M17" i="10"/>
  <c r="F24" i="10"/>
  <c r="E45" i="10"/>
  <c r="F45" i="10" s="1"/>
  <c r="H45" i="10" s="1"/>
  <c r="M18" i="10"/>
  <c r="I46" i="12"/>
  <c r="L46" i="12" s="1"/>
  <c r="G87" i="11"/>
  <c r="F19" i="10"/>
  <c r="M52" i="10"/>
  <c r="E55" i="10"/>
  <c r="F55" i="10" s="1"/>
  <c r="F14" i="10"/>
  <c r="M19" i="10"/>
  <c r="G77" i="11" s="1"/>
  <c r="F7" i="12"/>
  <c r="I54" i="12"/>
  <c r="L54" i="12" s="1"/>
  <c r="F15" i="10"/>
  <c r="F16" i="10" s="1"/>
  <c r="E16" i="10"/>
  <c r="E21" i="10"/>
  <c r="E29" i="10" s="1"/>
  <c r="D12" i="12" s="1"/>
  <c r="M15" i="10"/>
  <c r="E32" i="10"/>
  <c r="E34" i="12" s="1"/>
  <c r="E22" i="10"/>
  <c r="E25" i="10" s="1"/>
  <c r="E39" i="12" s="1"/>
  <c r="M14" i="10"/>
  <c r="M46" i="10"/>
  <c r="E28" i="4"/>
  <c r="F44" i="10"/>
  <c r="F17" i="10"/>
  <c r="F18" i="10"/>
  <c r="F31" i="10"/>
  <c r="M31" i="10"/>
  <c r="F46" i="10"/>
  <c r="H46" i="10" s="1"/>
  <c r="E56" i="10"/>
  <c r="F50" i="10"/>
  <c r="M50" i="10"/>
  <c r="M42" i="10"/>
  <c r="J154" i="11" l="1"/>
  <c r="O154" i="11" s="1"/>
  <c r="E135" i="11"/>
  <c r="Y135" i="11" s="1"/>
  <c r="T102" i="11"/>
  <c r="O102" i="11"/>
  <c r="T158" i="11"/>
  <c r="I113" i="12"/>
  <c r="L113" i="12" s="1"/>
  <c r="G182" i="11"/>
  <c r="E150" i="12"/>
  <c r="L139" i="10"/>
  <c r="E142" i="12" s="1"/>
  <c r="G142" i="12" s="1"/>
  <c r="E138" i="10"/>
  <c r="G139" i="10"/>
  <c r="I110" i="12"/>
  <c r="L103" i="12"/>
  <c r="M103" i="12" s="1"/>
  <c r="J125" i="11" s="1"/>
  <c r="O125" i="11" s="1"/>
  <c r="T125" i="11" s="1"/>
  <c r="Y125" i="11" s="1"/>
  <c r="K107" i="12"/>
  <c r="M107" i="12" s="1"/>
  <c r="E108" i="11" s="1"/>
  <c r="L115" i="12"/>
  <c r="F71" i="12"/>
  <c r="I112" i="12"/>
  <c r="E23" i="12"/>
  <c r="G23" i="12" s="1"/>
  <c r="E14" i="11" s="1"/>
  <c r="E96" i="12"/>
  <c r="G96" i="12" s="1"/>
  <c r="E143" i="11" s="1"/>
  <c r="F70" i="12"/>
  <c r="M47" i="10"/>
  <c r="E154" i="11"/>
  <c r="T135" i="11"/>
  <c r="J135" i="11"/>
  <c r="O135" i="11"/>
  <c r="J118" i="11"/>
  <c r="M45" i="10"/>
  <c r="H45" i="12" s="1"/>
  <c r="K45" i="12" s="1"/>
  <c r="R6" i="11"/>
  <c r="M21" i="11"/>
  <c r="G105" i="10"/>
  <c r="H105" i="10" s="1"/>
  <c r="M105" i="10"/>
  <c r="H113" i="12" s="1"/>
  <c r="G114" i="10"/>
  <c r="M114" i="10"/>
  <c r="H110" i="12" s="1"/>
  <c r="G118" i="10"/>
  <c r="M118" i="10"/>
  <c r="M83" i="10"/>
  <c r="H105" i="12" s="1"/>
  <c r="G104" i="10"/>
  <c r="M104" i="10"/>
  <c r="E95" i="12" s="1"/>
  <c r="G95" i="12" s="1"/>
  <c r="Y142" i="11" s="1"/>
  <c r="E112" i="10"/>
  <c r="E110" i="12" s="1"/>
  <c r="M48" i="10"/>
  <c r="E26" i="12" s="1"/>
  <c r="G26" i="12" s="1"/>
  <c r="E45" i="11" s="1"/>
  <c r="J45" i="11" s="1"/>
  <c r="E82" i="10"/>
  <c r="G83" i="10"/>
  <c r="E107" i="10"/>
  <c r="E113" i="12" s="1"/>
  <c r="F32" i="10"/>
  <c r="M32" i="10"/>
  <c r="H36" i="12" s="1"/>
  <c r="K36" i="12" s="1"/>
  <c r="F21" i="10"/>
  <c r="H21" i="10" s="1"/>
  <c r="E58" i="10"/>
  <c r="E57" i="10" s="1"/>
  <c r="E60" i="10"/>
  <c r="E44" i="12" s="1"/>
  <c r="M21" i="10"/>
  <c r="E45" i="12"/>
  <c r="E34" i="10"/>
  <c r="F34" i="10" s="1"/>
  <c r="M55" i="10"/>
  <c r="G90" i="11" s="1"/>
  <c r="E54" i="10"/>
  <c r="M54" i="10" s="1"/>
  <c r="E33" i="10"/>
  <c r="E35" i="12" s="1"/>
  <c r="E51" i="10"/>
  <c r="D13" i="12" s="1"/>
  <c r="E40" i="12"/>
  <c r="I44" i="12"/>
  <c r="L44" i="12" s="1"/>
  <c r="G89" i="11"/>
  <c r="I43" i="12"/>
  <c r="L43" i="12" s="1"/>
  <c r="G91" i="11"/>
  <c r="G78" i="11"/>
  <c r="I34" i="12"/>
  <c r="L34" i="12" s="1"/>
  <c r="M29" i="10"/>
  <c r="F12" i="12" s="1"/>
  <c r="I45" i="12"/>
  <c r="L45" i="12" s="1"/>
  <c r="G88" i="11"/>
  <c r="I42" i="12"/>
  <c r="L42" i="12" s="1"/>
  <c r="G93" i="11"/>
  <c r="I37" i="12"/>
  <c r="L37" i="12" s="1"/>
  <c r="G79" i="11"/>
  <c r="I39" i="12"/>
  <c r="L39" i="12" s="1"/>
  <c r="G81" i="11"/>
  <c r="E43" i="12"/>
  <c r="I55" i="12"/>
  <c r="L55" i="12" s="1"/>
  <c r="H54" i="12"/>
  <c r="K54" i="12" s="1"/>
  <c r="M54" i="12" s="1"/>
  <c r="T29" i="11" s="1"/>
  <c r="Y29" i="11" s="1"/>
  <c r="H46" i="12"/>
  <c r="K46" i="12" s="1"/>
  <c r="M46" i="12" s="1"/>
  <c r="E47" i="11" s="1"/>
  <c r="F9" i="12"/>
  <c r="F22" i="10"/>
  <c r="E54" i="12"/>
  <c r="H55" i="12"/>
  <c r="K55" i="12" s="1"/>
  <c r="M16" i="10"/>
  <c r="E30" i="10"/>
  <c r="M22" i="10"/>
  <c r="I40" i="12" s="1"/>
  <c r="L40" i="12" s="1"/>
  <c r="M25" i="10"/>
  <c r="H40" i="12" s="1"/>
  <c r="K40" i="12" s="1"/>
  <c r="F29" i="10"/>
  <c r="M56" i="10"/>
  <c r="F56" i="10"/>
  <c r="E23" i="10"/>
  <c r="F25" i="10"/>
  <c r="M43" i="10"/>
  <c r="M45" i="12" l="1"/>
  <c r="E44" i="11" s="1"/>
  <c r="T154" i="11"/>
  <c r="L138" i="10"/>
  <c r="E141" i="12" s="1"/>
  <c r="G141" i="12" s="1"/>
  <c r="E137" i="10"/>
  <c r="G138" i="10"/>
  <c r="I111" i="12"/>
  <c r="L111" i="12" s="1"/>
  <c r="G184" i="11"/>
  <c r="K151" i="12"/>
  <c r="M151" i="12" s="1"/>
  <c r="M107" i="10"/>
  <c r="H112" i="12" s="1"/>
  <c r="M82" i="10"/>
  <c r="K105" i="12" s="1"/>
  <c r="M105" i="12" s="1"/>
  <c r="Y107" i="11" s="1"/>
  <c r="E123" i="11" s="1"/>
  <c r="J123" i="11" s="1"/>
  <c r="O123" i="11" s="1"/>
  <c r="T123" i="11" s="1"/>
  <c r="Y123" i="11" s="1"/>
  <c r="E105" i="12"/>
  <c r="K104" i="12"/>
  <c r="M104" i="12" s="1"/>
  <c r="E124" i="11" s="1"/>
  <c r="J124" i="11" s="1"/>
  <c r="O124" i="11" s="1"/>
  <c r="T124" i="11" s="1"/>
  <c r="Y124" i="11" s="1"/>
  <c r="E90" i="12"/>
  <c r="G90" i="12" s="1"/>
  <c r="J160" i="11" s="1"/>
  <c r="J143" i="11"/>
  <c r="O143" i="11"/>
  <c r="J108" i="11"/>
  <c r="O108" i="11"/>
  <c r="O118" i="11"/>
  <c r="O45" i="11"/>
  <c r="F60" i="10"/>
  <c r="M58" i="10"/>
  <c r="E25" i="12" s="1"/>
  <c r="G25" i="12" s="1"/>
  <c r="E41" i="11" s="1"/>
  <c r="T41" i="11" s="1"/>
  <c r="E59" i="10"/>
  <c r="F59" i="10" s="1"/>
  <c r="M51" i="10"/>
  <c r="F13" i="12" s="1"/>
  <c r="M112" i="10"/>
  <c r="K115" i="12"/>
  <c r="M115" i="12" s="1"/>
  <c r="E145" i="11" s="1"/>
  <c r="J145" i="11" s="1"/>
  <c r="H35" i="12"/>
  <c r="K35" i="12" s="1"/>
  <c r="G112" i="10"/>
  <c r="E110" i="10"/>
  <c r="E81" i="10"/>
  <c r="G82" i="10"/>
  <c r="G107" i="10"/>
  <c r="H107" i="10" s="1"/>
  <c r="E120" i="10"/>
  <c r="E112" i="12" s="1"/>
  <c r="F58" i="10"/>
  <c r="M33" i="10"/>
  <c r="I36" i="12" s="1"/>
  <c r="L36" i="12" s="1"/>
  <c r="M36" i="12" s="1"/>
  <c r="F33" i="10"/>
  <c r="E36" i="12"/>
  <c r="M34" i="10"/>
  <c r="F51" i="10"/>
  <c r="M60" i="10"/>
  <c r="I33" i="12"/>
  <c r="L33" i="12" s="1"/>
  <c r="F54" i="10"/>
  <c r="E53" i="10"/>
  <c r="E53" i="12" s="1"/>
  <c r="D14" i="12"/>
  <c r="E41" i="12"/>
  <c r="E22" i="12"/>
  <c r="G20" i="12"/>
  <c r="G82" i="11"/>
  <c r="O44" i="11"/>
  <c r="J44" i="11"/>
  <c r="T44" i="11"/>
  <c r="M55" i="12"/>
  <c r="E7" i="11" s="1"/>
  <c r="O47" i="11"/>
  <c r="J47" i="11"/>
  <c r="M40" i="12"/>
  <c r="O28" i="11" s="1"/>
  <c r="M30" i="10"/>
  <c r="H34" i="12" s="1"/>
  <c r="K34" i="12" s="1"/>
  <c r="M34" i="12" s="1"/>
  <c r="F30" i="10"/>
  <c r="E27" i="12"/>
  <c r="G27" i="12" s="1"/>
  <c r="O63" i="11" s="1"/>
  <c r="I53" i="12"/>
  <c r="L53" i="12" s="1"/>
  <c r="L56" i="12" s="1"/>
  <c r="H43" i="12"/>
  <c r="K43" i="12" s="1"/>
  <c r="M43" i="12" s="1"/>
  <c r="E63" i="11" s="1"/>
  <c r="J63" i="11" s="1"/>
  <c r="H53" i="12"/>
  <c r="K53" i="12" s="1"/>
  <c r="K56" i="12" s="1"/>
  <c r="E61" i="10"/>
  <c r="F57" i="10"/>
  <c r="M57" i="10"/>
  <c r="F23" i="10"/>
  <c r="M23" i="10"/>
  <c r="H39" i="12" s="1"/>
  <c r="K39" i="12" s="1"/>
  <c r="M39" i="12" s="1"/>
  <c r="J27" i="11" s="1"/>
  <c r="E26" i="10"/>
  <c r="O29" i="11" l="1"/>
  <c r="G26" i="13" s="1"/>
  <c r="D135" i="12"/>
  <c r="L137" i="10"/>
  <c r="F135" i="12" s="1"/>
  <c r="E136" i="10"/>
  <c r="E148" i="10" s="1"/>
  <c r="G137" i="10"/>
  <c r="G22" i="12"/>
  <c r="T9" i="11" s="1"/>
  <c r="E126" i="10"/>
  <c r="M126" i="10" s="1"/>
  <c r="D74" i="12"/>
  <c r="D123" i="12"/>
  <c r="E123" i="10"/>
  <c r="E122" i="10" s="1"/>
  <c r="D72" i="12"/>
  <c r="L112" i="12"/>
  <c r="K114" i="12"/>
  <c r="M114" i="12" s="1"/>
  <c r="E144" i="11" s="1"/>
  <c r="T118" i="11"/>
  <c r="M123" i="10"/>
  <c r="E125" i="10"/>
  <c r="G126" i="10"/>
  <c r="I35" i="12"/>
  <c r="L35" i="12" s="1"/>
  <c r="M35" i="12" s="1"/>
  <c r="O11" i="11" s="1"/>
  <c r="J41" i="11"/>
  <c r="F53" i="10"/>
  <c r="E24" i="12"/>
  <c r="G24" i="12" s="1"/>
  <c r="E40" i="11" s="1"/>
  <c r="T40" i="11" s="1"/>
  <c r="O41" i="11"/>
  <c r="Y41" i="11"/>
  <c r="M59" i="10"/>
  <c r="H44" i="12" s="1"/>
  <c r="K44" i="12" s="1"/>
  <c r="M44" i="12" s="1"/>
  <c r="E42" i="11" s="1"/>
  <c r="O42" i="11" s="1"/>
  <c r="H42" i="12"/>
  <c r="K42" i="12" s="1"/>
  <c r="M42" i="12" s="1"/>
  <c r="E61" i="11" s="1"/>
  <c r="J61" i="11" s="1"/>
  <c r="M120" i="10"/>
  <c r="G110" i="10"/>
  <c r="M110" i="10"/>
  <c r="G81" i="10"/>
  <c r="M81" i="10"/>
  <c r="E119" i="10"/>
  <c r="G120" i="10"/>
  <c r="E9" i="11"/>
  <c r="E42" i="12"/>
  <c r="M53" i="10"/>
  <c r="M61" i="10"/>
  <c r="H41" i="12" s="1"/>
  <c r="K41" i="12" s="1"/>
  <c r="E38" i="12"/>
  <c r="E37" i="12"/>
  <c r="O10" i="11"/>
  <c r="J10" i="11"/>
  <c r="T10" i="11"/>
  <c r="E10" i="11"/>
  <c r="E38" i="11"/>
  <c r="J59" i="11" s="1"/>
  <c r="J12" i="11"/>
  <c r="E12" i="11"/>
  <c r="Y27" i="11"/>
  <c r="T27" i="11"/>
  <c r="O27" i="11"/>
  <c r="Y28" i="11"/>
  <c r="T28" i="11"/>
  <c r="M53" i="12"/>
  <c r="Y7" i="11"/>
  <c r="J22" i="11"/>
  <c r="O7" i="11"/>
  <c r="Y22" i="11"/>
  <c r="E22" i="11"/>
  <c r="T22" i="11"/>
  <c r="J7" i="11"/>
  <c r="I41" i="12"/>
  <c r="L41" i="12" s="1"/>
  <c r="F14" i="12"/>
  <c r="F61" i="10"/>
  <c r="E27" i="10"/>
  <c r="M26" i="10"/>
  <c r="H38" i="12" s="1"/>
  <c r="K38" i="12" s="1"/>
  <c r="M38" i="12" s="1"/>
  <c r="E26" i="11" s="1"/>
  <c r="F26" i="10"/>
  <c r="E62" i="11" l="1"/>
  <c r="J62" i="11" s="1"/>
  <c r="M56" i="12"/>
  <c r="L48" i="12"/>
  <c r="J9" i="11"/>
  <c r="G148" i="10"/>
  <c r="E149" i="10"/>
  <c r="L148" i="10"/>
  <c r="L136" i="10"/>
  <c r="G136" i="10"/>
  <c r="D134" i="12"/>
  <c r="O9" i="11"/>
  <c r="F72" i="12"/>
  <c r="E82" i="12"/>
  <c r="E81" i="12"/>
  <c r="G81" i="12" s="1"/>
  <c r="Y106" i="11" s="1"/>
  <c r="E122" i="11" s="1"/>
  <c r="J122" i="11" s="1"/>
  <c r="O122" i="11" s="1"/>
  <c r="T122" i="11" s="1"/>
  <c r="Y122" i="11" s="1"/>
  <c r="G123" i="10"/>
  <c r="G87" i="12"/>
  <c r="J110" i="11" s="1"/>
  <c r="F74" i="12"/>
  <c r="O144" i="11"/>
  <c r="J144" i="11"/>
  <c r="Y118" i="11"/>
  <c r="J40" i="11"/>
  <c r="G125" i="10"/>
  <c r="M125" i="10"/>
  <c r="T61" i="11"/>
  <c r="T42" i="11"/>
  <c r="Y40" i="11"/>
  <c r="J42" i="11"/>
  <c r="Y42" i="11"/>
  <c r="O61" i="11"/>
  <c r="E11" i="11"/>
  <c r="J11" i="11"/>
  <c r="M119" i="10"/>
  <c r="H111" i="12" s="1"/>
  <c r="L110" i="12"/>
  <c r="E117" i="10"/>
  <c r="G119" i="10"/>
  <c r="O59" i="11"/>
  <c r="Y38" i="11"/>
  <c r="M41" i="12"/>
  <c r="E39" i="11" s="1"/>
  <c r="O60" i="11" s="1"/>
  <c r="J38" i="11"/>
  <c r="T59" i="11"/>
  <c r="O38" i="11"/>
  <c r="E59" i="11"/>
  <c r="O26" i="11"/>
  <c r="T26" i="11"/>
  <c r="Y26" i="11"/>
  <c r="J26" i="11"/>
  <c r="T38" i="11"/>
  <c r="O62" i="11"/>
  <c r="O22" i="11"/>
  <c r="T7" i="11"/>
  <c r="E150" i="10" l="1"/>
  <c r="G149" i="10"/>
  <c r="L149" i="10"/>
  <c r="E88" i="12"/>
  <c r="E89" i="12" s="1"/>
  <c r="G89" i="12" s="1"/>
  <c r="J157" i="11" s="1"/>
  <c r="T157" i="11" s="1"/>
  <c r="H116" i="12"/>
  <c r="M117" i="10"/>
  <c r="K111" i="12" s="1"/>
  <c r="M111" i="12" s="1"/>
  <c r="E139" i="11" s="1"/>
  <c r="J139" i="11" s="1"/>
  <c r="E111" i="12"/>
  <c r="E140" i="12"/>
  <c r="G140" i="12" s="1"/>
  <c r="F134" i="12"/>
  <c r="E94" i="12"/>
  <c r="G94" i="12" s="1"/>
  <c r="E140" i="11" s="1"/>
  <c r="K112" i="12"/>
  <c r="M112" i="12" s="1"/>
  <c r="E141" i="11" s="1"/>
  <c r="G88" i="12"/>
  <c r="J156" i="11" s="1"/>
  <c r="H122" i="12"/>
  <c r="K122" i="12" s="1"/>
  <c r="E116" i="10"/>
  <c r="E115" i="10" s="1"/>
  <c r="G117" i="10"/>
  <c r="J39" i="11"/>
  <c r="Y39" i="11" s="1"/>
  <c r="E60" i="11"/>
  <c r="E91" i="10"/>
  <c r="E106" i="12" s="1"/>
  <c r="T39" i="11"/>
  <c r="O40" i="11"/>
  <c r="O39" i="11"/>
  <c r="J60" i="11"/>
  <c r="T60" i="11"/>
  <c r="F27" i="10"/>
  <c r="E28" i="10"/>
  <c r="D11" i="12" s="1"/>
  <c r="M27" i="10"/>
  <c r="G122" i="12" l="1"/>
  <c r="J122" i="12" s="1"/>
  <c r="O157" i="11"/>
  <c r="L150" i="10"/>
  <c r="G150" i="10"/>
  <c r="Y139" i="11"/>
  <c r="T139" i="11"/>
  <c r="E158" i="11"/>
  <c r="O139" i="11"/>
  <c r="D75" i="12"/>
  <c r="J140" i="11"/>
  <c r="Y140" i="11"/>
  <c r="O140" i="11"/>
  <c r="T140" i="11"/>
  <c r="T156" i="11"/>
  <c r="O156" i="11"/>
  <c r="T141" i="11"/>
  <c r="Y141" i="11"/>
  <c r="J141" i="11"/>
  <c r="O141" i="11"/>
  <c r="M115" i="10"/>
  <c r="G115" i="10"/>
  <c r="E124" i="10"/>
  <c r="E116" i="12" s="1"/>
  <c r="G91" i="10"/>
  <c r="M91" i="10"/>
  <c r="M116" i="10"/>
  <c r="L122" i="12"/>
  <c r="O126" i="11" s="1"/>
  <c r="T126" i="11" s="1"/>
  <c r="Y126" i="11" s="1"/>
  <c r="G116" i="10"/>
  <c r="E21" i="12"/>
  <c r="G21" i="12" s="1"/>
  <c r="H37" i="12"/>
  <c r="K37" i="12" s="1"/>
  <c r="M37" i="12" s="1"/>
  <c r="Y10" i="11" s="1"/>
  <c r="F28" i="10"/>
  <c r="E62" i="10"/>
  <c r="E33" i="12"/>
  <c r="M28" i="10"/>
  <c r="F11" i="12" s="1"/>
  <c r="Y9" i="11" l="1"/>
  <c r="E92" i="12"/>
  <c r="I116" i="12"/>
  <c r="L116" i="12" s="1"/>
  <c r="F75" i="12"/>
  <c r="G124" i="10"/>
  <c r="M124" i="10"/>
  <c r="K116" i="12" s="1"/>
  <c r="M116" i="12" s="1"/>
  <c r="L102" i="12"/>
  <c r="G122" i="10"/>
  <c r="M122" i="10"/>
  <c r="H109" i="12" s="1"/>
  <c r="M62" i="10"/>
  <c r="H33" i="12" s="1"/>
  <c r="E63" i="10"/>
  <c r="F62" i="10"/>
  <c r="O25" i="11"/>
  <c r="Y25" i="11"/>
  <c r="J25" i="11"/>
  <c r="E25" i="11"/>
  <c r="T25" i="11"/>
  <c r="T24" i="11"/>
  <c r="J24" i="11"/>
  <c r="Y24" i="11"/>
  <c r="E24" i="11"/>
  <c r="O24" i="11"/>
  <c r="D15" i="12"/>
  <c r="K113" i="12" l="1"/>
  <c r="M113" i="12" s="1"/>
  <c r="E142" i="11" s="1"/>
  <c r="J142" i="11" s="1"/>
  <c r="E83" i="12"/>
  <c r="G83" i="12" s="1"/>
  <c r="Y104" i="11" s="1"/>
  <c r="E120" i="11" s="1"/>
  <c r="J155" i="11"/>
  <c r="E136" i="11"/>
  <c r="G92" i="12"/>
  <c r="E137" i="11" s="1"/>
  <c r="E93" i="12"/>
  <c r="G93" i="12" s="1"/>
  <c r="E138" i="11" s="1"/>
  <c r="E64" i="10"/>
  <c r="F63" i="10"/>
  <c r="M63" i="10"/>
  <c r="E55" i="12"/>
  <c r="K33" i="12"/>
  <c r="M33" i="12" l="1"/>
  <c r="M48" i="12" s="1"/>
  <c r="K48" i="12"/>
  <c r="O142" i="11"/>
  <c r="T142" i="11"/>
  <c r="O138" i="11"/>
  <c r="J138" i="11"/>
  <c r="T138" i="11"/>
  <c r="E157" i="11"/>
  <c r="Y138" i="11"/>
  <c r="J137" i="11"/>
  <c r="T137" i="11"/>
  <c r="O137" i="11"/>
  <c r="Y137" i="11"/>
  <c r="E156" i="11"/>
  <c r="T136" i="11"/>
  <c r="E155" i="11"/>
  <c r="J136" i="11"/>
  <c r="Y136" i="11"/>
  <c r="O136" i="11"/>
  <c r="O155" i="11"/>
  <c r="T155" i="11"/>
  <c r="J120" i="11"/>
  <c r="M64" i="10"/>
  <c r="F64" i="10"/>
  <c r="E65" i="10"/>
  <c r="O23" i="11"/>
  <c r="T8" i="11"/>
  <c r="E23" i="11"/>
  <c r="Y8" i="11"/>
  <c r="J23" i="11"/>
  <c r="O8" i="11"/>
  <c r="Y23" i="11"/>
  <c r="J8" i="11"/>
  <c r="T23" i="11"/>
  <c r="E8" i="11"/>
  <c r="O120" i="11" l="1"/>
  <c r="M65" i="10"/>
  <c r="E30" i="12" s="1"/>
  <c r="G30" i="12" s="1"/>
  <c r="F65" i="10"/>
  <c r="F15" i="12"/>
  <c r="E29" i="12"/>
  <c r="G29" i="12" s="1"/>
  <c r="G31" i="12" s="1"/>
  <c r="T120" i="11" l="1"/>
  <c r="E6" i="11"/>
  <c r="E37" i="11"/>
  <c r="E36" i="11"/>
  <c r="Y120" i="11" l="1"/>
  <c r="O5" i="11"/>
  <c r="J20" i="11"/>
  <c r="J5" i="11"/>
  <c r="T20" i="11"/>
  <c r="Y5" i="11"/>
  <c r="E20" i="11"/>
  <c r="E16" i="11"/>
  <c r="J57" i="11"/>
  <c r="E57" i="11"/>
  <c r="O36" i="11"/>
  <c r="J36" i="11"/>
  <c r="O57" i="11"/>
  <c r="T57" i="11"/>
  <c r="T36" i="11"/>
  <c r="Y36" i="11"/>
  <c r="E53" i="11"/>
  <c r="T37" i="11"/>
  <c r="Y37" i="11"/>
  <c r="T58" i="11"/>
  <c r="E58" i="11"/>
  <c r="J58" i="11"/>
  <c r="O58" i="11"/>
  <c r="J37" i="11"/>
  <c r="O37" i="11"/>
  <c r="Y6" i="11"/>
  <c r="Y21" i="11"/>
  <c r="J21" i="11"/>
  <c r="E21" i="11"/>
  <c r="T21" i="11"/>
  <c r="J6" i="11"/>
  <c r="O6" i="11"/>
  <c r="Y44" i="11" l="1"/>
  <c r="T5" i="11"/>
  <c r="O20" i="11"/>
  <c r="J14" i="11"/>
  <c r="T6" i="11"/>
  <c r="O21" i="11"/>
  <c r="T46" i="11"/>
  <c r="O49" i="11"/>
  <c r="E28" i="11"/>
  <c r="Y31" i="11"/>
  <c r="J51" i="11"/>
  <c r="T63" i="11"/>
  <c r="E65" i="11"/>
  <c r="Y12" i="11"/>
  <c r="J29" i="11"/>
  <c r="O65" i="11"/>
  <c r="J65" i="11"/>
  <c r="T31" i="11"/>
  <c r="O13" i="11"/>
  <c r="Y32" i="11" l="1"/>
  <c r="X32" i="11"/>
  <c r="W32" i="11"/>
  <c r="T12" i="11"/>
  <c r="O31" i="11"/>
  <c r="E72" i="11" l="1"/>
  <c r="E30" i="8" l="1"/>
  <c r="F30" i="8" s="1"/>
  <c r="D82" i="11"/>
  <c r="H26" i="13" s="1"/>
  <c r="I26" i="13" s="1"/>
  <c r="D92" i="11"/>
  <c r="H40" i="13" s="1"/>
  <c r="I40" i="13" s="1"/>
  <c r="D86" i="11"/>
  <c r="H35" i="13" s="1"/>
  <c r="I35" i="13" s="1"/>
  <c r="D93" i="11"/>
  <c r="H41" i="13" s="1"/>
  <c r="I41" i="13" s="1"/>
  <c r="D77" i="11"/>
  <c r="H29" i="13" s="1"/>
  <c r="I29" i="13" s="1"/>
  <c r="D81" i="11"/>
  <c r="H27" i="13" s="1"/>
  <c r="I27" i="13" s="1"/>
  <c r="D80" i="11"/>
  <c r="H32" i="13" s="1"/>
  <c r="I32" i="13" s="1"/>
  <c r="D75" i="11"/>
  <c r="H30" i="13" s="1"/>
  <c r="I30" i="13" s="1"/>
  <c r="D84" i="11"/>
  <c r="H24" i="13" s="1"/>
  <c r="I24" i="13" s="1"/>
  <c r="H46" i="13" s="1"/>
  <c r="D83" i="11"/>
  <c r="D87" i="11"/>
  <c r="H36" i="13" s="1"/>
  <c r="I36" i="13" s="1"/>
  <c r="D76" i="11"/>
  <c r="H33" i="13" s="1"/>
  <c r="I33" i="13" s="1"/>
  <c r="D89" i="11"/>
  <c r="H37" i="13" s="1"/>
  <c r="I37" i="13" s="1"/>
  <c r="D91" i="11"/>
  <c r="H39" i="13" s="1"/>
  <c r="I39" i="13" s="1"/>
  <c r="D78" i="11"/>
  <c r="H31" i="13" s="1"/>
  <c r="I31" i="13" s="1"/>
  <c r="D85" i="11"/>
  <c r="H34" i="13" s="1"/>
  <c r="I34" i="13" s="1"/>
  <c r="D88" i="11"/>
  <c r="H38" i="13" s="1"/>
  <c r="I38" i="13" s="1"/>
  <c r="D90" i="11"/>
  <c r="H42" i="13" s="1"/>
  <c r="I42" i="13" s="1"/>
  <c r="D79" i="11"/>
  <c r="H28" i="13" s="1"/>
  <c r="I28" i="13" s="1"/>
  <c r="E90" i="10"/>
  <c r="F47" i="13" l="1"/>
  <c r="H47" i="13"/>
  <c r="G47" i="13"/>
  <c r="E47" i="13"/>
  <c r="M83" i="11"/>
  <c r="N83" i="11" s="1"/>
  <c r="H25" i="13"/>
  <c r="I25" i="13" s="1"/>
  <c r="G90" i="10"/>
  <c r="M90" i="10"/>
  <c r="E89" i="10"/>
  <c r="M89" i="10" l="1"/>
  <c r="E88" i="10"/>
  <c r="G89" i="10"/>
  <c r="D73" i="12" l="1"/>
  <c r="G88" i="10"/>
  <c r="M88" i="10"/>
  <c r="E121" i="10"/>
  <c r="E109" i="12" s="1"/>
  <c r="K106" i="12"/>
  <c r="M106" i="12" s="1"/>
  <c r="E107" i="11" s="1"/>
  <c r="G82" i="12"/>
  <c r="Y105" i="11" s="1"/>
  <c r="F73" i="12" l="1"/>
  <c r="I109" i="12"/>
  <c r="L109" i="12" s="1"/>
  <c r="E84" i="12"/>
  <c r="E121" i="11"/>
  <c r="J107" i="11"/>
  <c r="O107" i="11"/>
  <c r="T107" i="11"/>
  <c r="E127" i="10"/>
  <c r="M127" i="10" s="1"/>
  <c r="M121" i="10"/>
  <c r="G121" i="10"/>
  <c r="C31" i="8" l="1"/>
  <c r="C30" i="8"/>
  <c r="E128" i="10"/>
  <c r="D76" i="12" s="1"/>
  <c r="K109" i="12"/>
  <c r="M109" i="12" s="1"/>
  <c r="E103" i="11" s="1"/>
  <c r="G127" i="10"/>
  <c r="D124" i="12"/>
  <c r="E85" i="12"/>
  <c r="G84" i="12"/>
  <c r="E104" i="11" s="1"/>
  <c r="J121" i="11"/>
  <c r="G128" i="10" l="1"/>
  <c r="E129" i="10"/>
  <c r="M128" i="10"/>
  <c r="T104" i="11"/>
  <c r="O104" i="11"/>
  <c r="J104" i="11"/>
  <c r="Y103" i="11"/>
  <c r="E119" i="11" s="1"/>
  <c r="J119" i="11" s="1"/>
  <c r="O119" i="11" s="1"/>
  <c r="T119" i="11" s="1"/>
  <c r="Y119" i="11" s="1"/>
  <c r="J103" i="11"/>
  <c r="O103" i="11"/>
  <c r="T103" i="11"/>
  <c r="E86" i="12"/>
  <c r="G86" i="12" s="1"/>
  <c r="E106" i="11" s="1"/>
  <c r="G85" i="12"/>
  <c r="E105" i="11" s="1"/>
  <c r="K110" i="12"/>
  <c r="M110" i="12" s="1"/>
  <c r="J159" i="11" s="1"/>
  <c r="O159" i="11" s="1"/>
  <c r="E98" i="12"/>
  <c r="F76" i="12"/>
  <c r="O121" i="11"/>
  <c r="G129" i="10"/>
  <c r="M129" i="10"/>
  <c r="K102" i="12" s="1"/>
  <c r="M102" i="12" s="1"/>
  <c r="T127" i="11" s="1"/>
  <c r="Y127" i="11" s="1"/>
  <c r="T106" i="11" l="1"/>
  <c r="O106" i="11"/>
  <c r="J106" i="11"/>
  <c r="G98" i="12"/>
  <c r="E99" i="12"/>
  <c r="G99" i="12" s="1"/>
  <c r="E101" i="11" s="1"/>
  <c r="O105" i="11"/>
  <c r="J105" i="11"/>
  <c r="T105" i="11"/>
  <c r="T121" i="11"/>
  <c r="O101" i="11" l="1"/>
  <c r="Y101" i="11"/>
  <c r="E117" i="11" s="1"/>
  <c r="J117" i="11" s="1"/>
  <c r="O117" i="11" s="1"/>
  <c r="T117" i="11" s="1"/>
  <c r="Y117" i="11" s="1"/>
  <c r="T101" i="11"/>
  <c r="E134" i="11"/>
  <c r="J153" i="11"/>
  <c r="J101" i="11"/>
  <c r="O100" i="11"/>
  <c r="P29" i="13" s="1"/>
  <c r="Y100" i="11"/>
  <c r="P28" i="13" s="1"/>
  <c r="T100" i="11"/>
  <c r="P31" i="13" s="1"/>
  <c r="E133" i="11"/>
  <c r="P34" i="13" s="1"/>
  <c r="J152" i="11"/>
  <c r="J100" i="11"/>
  <c r="E111" i="11"/>
  <c r="Y121" i="11"/>
  <c r="J112" i="11" l="1"/>
  <c r="P33" i="13"/>
  <c r="J162" i="11"/>
  <c r="P39" i="13"/>
  <c r="O110" i="11"/>
  <c r="T109" i="11"/>
  <c r="O152" i="11"/>
  <c r="T152" i="11"/>
  <c r="O133" i="11"/>
  <c r="P36" i="13" s="1"/>
  <c r="J133" i="11"/>
  <c r="P35" i="13" s="1"/>
  <c r="T133" i="11"/>
  <c r="Y133" i="11"/>
  <c r="E152" i="11"/>
  <c r="E148" i="11"/>
  <c r="E116" i="11"/>
  <c r="P27" i="13" s="1"/>
  <c r="Y109" i="11"/>
  <c r="O153" i="11"/>
  <c r="T153" i="11"/>
  <c r="J134" i="11"/>
  <c r="O134" i="11"/>
  <c r="Y134" i="11"/>
  <c r="T134" i="11"/>
  <c r="E153" i="11"/>
  <c r="P37" i="13" l="1"/>
  <c r="Y144" i="11"/>
  <c r="P38" i="13"/>
  <c r="T144" i="11"/>
  <c r="P41" i="13"/>
  <c r="O161" i="11"/>
  <c r="T161" i="11"/>
  <c r="P40" i="13"/>
  <c r="E160" i="11"/>
  <c r="J116" i="11"/>
  <c r="E126" i="11"/>
  <c r="J147" i="11"/>
  <c r="O146" i="11"/>
  <c r="J127" i="11" l="1"/>
  <c r="P32" i="13"/>
  <c r="O116" i="11"/>
  <c r="O128" i="11" l="1"/>
  <c r="P26" i="13"/>
  <c r="T116" i="11"/>
  <c r="T129" i="11" l="1"/>
  <c r="P24" i="13"/>
  <c r="Y116" i="11"/>
  <c r="Y129" i="11" l="1"/>
  <c r="E166" i="11" s="1"/>
  <c r="E31" i="8" s="1"/>
  <c r="F31" i="8" s="1"/>
  <c r="P25" i="13"/>
  <c r="D177" i="11"/>
  <c r="D186" i="11"/>
  <c r="Q41" i="13" s="1"/>
  <c r="R41" i="13" s="1"/>
  <c r="D185" i="11"/>
  <c r="Q39" i="13" s="1"/>
  <c r="R39" i="13" s="1"/>
  <c r="D184" i="11"/>
  <c r="D180" i="11"/>
  <c r="D176" i="11"/>
  <c r="D172" i="11"/>
  <c r="Q31" i="13" s="1"/>
  <c r="R31" i="13" s="1"/>
  <c r="D182" i="11"/>
  <c r="Q38" i="13" s="1"/>
  <c r="R38" i="13" s="1"/>
  <c r="D187" i="11"/>
  <c r="Q40" i="13" s="1"/>
  <c r="R40" i="13" s="1"/>
  <c r="D183" i="11"/>
  <c r="Q37" i="13" s="1"/>
  <c r="R37" i="13" s="1"/>
  <c r="D179" i="11"/>
  <c r="Q34" i="13" s="1"/>
  <c r="R34" i="13" s="1"/>
  <c r="D175" i="11"/>
  <c r="Q32" i="13" s="1"/>
  <c r="R32" i="13" s="1"/>
  <c r="D171" i="11"/>
  <c r="Q29" i="13" s="1"/>
  <c r="R29" i="13" s="1"/>
  <c r="D178" i="11"/>
  <c r="D174" i="11"/>
  <c r="Q27" i="13" s="1"/>
  <c r="R27" i="13" s="1"/>
  <c r="D181" i="11"/>
  <c r="Q36" i="13" s="1"/>
  <c r="R36" i="13" s="1"/>
  <c r="D173" i="11"/>
  <c r="Q28" i="13" s="1"/>
  <c r="R28" i="13" s="1"/>
  <c r="D170" i="11"/>
  <c r="Q33" i="13" s="1"/>
  <c r="R33" i="13" s="1"/>
  <c r="Q25" i="13" l="1"/>
  <c r="R25" i="13" s="1"/>
  <c r="N178" i="11"/>
  <c r="O178" i="11" s="1"/>
  <c r="Q35" i="13"/>
  <c r="R35" i="13" s="1"/>
  <c r="N180" i="11"/>
  <c r="O180" i="11" s="1"/>
  <c r="Q24" i="13"/>
  <c r="R24" i="13" s="1"/>
  <c r="N177" i="11"/>
  <c r="O177" i="11" s="1"/>
  <c r="Q26" i="13"/>
  <c r="R26" i="13" s="1"/>
  <c r="N176" i="11"/>
  <c r="O176" i="11" s="1"/>
  <c r="D169" i="11"/>
  <c r="Q30" i="13" s="1"/>
  <c r="R30" i="13" s="1"/>
</calcChain>
</file>

<file path=xl/sharedStrings.xml><?xml version="1.0" encoding="utf-8"?>
<sst xmlns="http://schemas.openxmlformats.org/spreadsheetml/2006/main" count="2187" uniqueCount="569">
  <si>
    <t>Local</t>
  </si>
  <si>
    <t>Surface [m²]</t>
  </si>
  <si>
    <t>Hauteur [m]</t>
  </si>
  <si>
    <t>Volume [m³]</t>
  </si>
  <si>
    <t>Faux plafond Utile  [cm]</t>
  </si>
  <si>
    <t>Qi m³/h été</t>
  </si>
  <si>
    <t>Qi m³/h HIVER</t>
  </si>
  <si>
    <t>D été</t>
  </si>
  <si>
    <t>D norma été</t>
  </si>
  <si>
    <t>L NORMA ÉTÉ ( rectangle)</t>
  </si>
  <si>
    <t xml:space="preserve">1.COFFRE FORT </t>
  </si>
  <si>
    <t>DN250</t>
  </si>
  <si>
    <t>X</t>
  </si>
  <si>
    <t>2.KITCHENETTE</t>
  </si>
  <si>
    <t>3.ESCALIER</t>
  </si>
  <si>
    <t>4.Bureau 4</t>
  </si>
  <si>
    <t>DN315</t>
  </si>
  <si>
    <t>5.Bureau5</t>
  </si>
  <si>
    <t>6.Bureau 6</t>
  </si>
  <si>
    <t>7.Bureau 7</t>
  </si>
  <si>
    <t>8.SDR</t>
  </si>
  <si>
    <t>9.Couloir droite</t>
  </si>
  <si>
    <t>DN400</t>
  </si>
  <si>
    <t>10.Approvisionnement</t>
  </si>
  <si>
    <t>DN80</t>
  </si>
  <si>
    <t>11/12/13. Entrée</t>
  </si>
  <si>
    <t>14.Distrib</t>
  </si>
  <si>
    <t>DN125</t>
  </si>
  <si>
    <t>15.Secretariat</t>
  </si>
  <si>
    <t>16.SDR</t>
  </si>
  <si>
    <t>17. Salle d'attente</t>
  </si>
  <si>
    <t>18.WC individuelle</t>
  </si>
  <si>
    <t>19.WC PMR</t>
  </si>
  <si>
    <t>DN100</t>
  </si>
  <si>
    <t>20.WC femme</t>
  </si>
  <si>
    <t>21.WC homme</t>
  </si>
  <si>
    <t>22.Trappe</t>
  </si>
  <si>
    <t>23.Trémis</t>
  </si>
  <si>
    <t>FAIRE LES VRAI DIAMETRES ET DIMENSIONS DANS LA FEUILLE pdc</t>
  </si>
  <si>
    <t xml:space="preserve">zone de  d'occupation </t>
  </si>
  <si>
    <t>Qmax</t>
  </si>
  <si>
    <t>D m</t>
  </si>
  <si>
    <t>D normalisée avec Patm/m=1</t>
  </si>
  <si>
    <t>LOCAL TECH</t>
  </si>
  <si>
    <t>VMAX=7</t>
  </si>
  <si>
    <t>1000x500</t>
  </si>
  <si>
    <t xml:space="preserve"> </t>
  </si>
  <si>
    <t>FAIRE RECTANGLE</t>
  </si>
  <si>
    <t>pour les autres pieces</t>
  </si>
  <si>
    <t>VMAX=4</t>
  </si>
  <si>
    <t xml:space="preserve">Bouche de pulsion  </t>
  </si>
  <si>
    <t>grosse entree</t>
  </si>
  <si>
    <t>ptite entrée</t>
  </si>
  <si>
    <t>RECTANGLE LA HAUTEUR DEPASSE PAS 3X LA LARGEUR SINON BRUIT DE SIFFLET</t>
  </si>
  <si>
    <t>en gainage en metre carre et c'est la surface totale de la gainee et pas juste la surface de passage -&gt; (H+L)*2*L pour surface de gaine</t>
  </si>
  <si>
    <t>POUR circulaire on parle de metre nair ou lineair pas en m²</t>
  </si>
  <si>
    <t>GP</t>
  </si>
  <si>
    <r>
      <t>V</t>
    </r>
    <r>
      <rPr>
        <vertAlign val="subscript"/>
        <sz val="12"/>
        <color rgb="FFFF0000"/>
        <rFont val="Aptos Narrow"/>
        <family val="2"/>
        <scheme val="minor"/>
      </rPr>
      <t>L</t>
    </r>
    <r>
      <rPr>
        <sz val="11"/>
        <color rgb="FFFF0000"/>
        <rFont val="Aptos Narrow"/>
        <family val="2"/>
        <scheme val="minor"/>
      </rPr>
      <t xml:space="preserve"> doit etre plus petit que 0,4</t>
    </r>
  </si>
  <si>
    <t>∆TL  doit etre plus petit que -1 degre</t>
  </si>
  <si>
    <t>LWNR=35 max</t>
  </si>
  <si>
    <t>∆Tz</t>
  </si>
  <si>
    <r>
      <t>V</t>
    </r>
    <r>
      <rPr>
        <vertAlign val="subscript"/>
        <sz val="12"/>
        <color rgb="FFFF0000"/>
        <rFont val="Aptos Narrow"/>
        <family val="2"/>
        <scheme val="minor"/>
      </rPr>
      <t xml:space="preserve">H </t>
    </r>
    <r>
      <rPr>
        <sz val="11"/>
        <color rgb="FFFF0000"/>
        <rFont val="Aptos Narrow"/>
        <family val="2"/>
        <scheme val="minor"/>
      </rPr>
      <t>doit etre plus petit que 0,2</t>
    </r>
  </si>
  <si>
    <t>H1=3,6 - 1,8 - faux plafond</t>
  </si>
  <si>
    <t>LWNR=LWNC+1</t>
  </si>
  <si>
    <t>X=L - H1</t>
  </si>
  <si>
    <t>on a pas de A mais = à B</t>
  </si>
  <si>
    <t xml:space="preserve"> H1</t>
  </si>
  <si>
    <t xml:space="preserve">Nom de la bouche </t>
  </si>
  <si>
    <t>Perte de charge</t>
  </si>
  <si>
    <t>LWNC [dB (A)]</t>
  </si>
  <si>
    <t>X [m]</t>
  </si>
  <si>
    <t>A [m]</t>
  </si>
  <si>
    <t>B [m]</t>
  </si>
  <si>
    <t>∆Tl/∆Tz</t>
  </si>
  <si>
    <r>
      <t>V</t>
    </r>
    <r>
      <rPr>
        <vertAlign val="subscript"/>
        <sz val="12"/>
        <rFont val="Aptos Narrow"/>
        <family val="2"/>
        <scheme val="minor"/>
      </rPr>
      <t>L</t>
    </r>
    <r>
      <rPr>
        <sz val="11"/>
        <rFont val="Aptos Narrow"/>
        <family val="2"/>
        <scheme val="minor"/>
      </rPr>
      <t xml:space="preserve"> [m/s]</t>
    </r>
  </si>
  <si>
    <r>
      <t>V</t>
    </r>
    <r>
      <rPr>
        <vertAlign val="subscript"/>
        <sz val="12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[m/s]</t>
    </r>
  </si>
  <si>
    <r>
      <t>∆T</t>
    </r>
    <r>
      <rPr>
        <vertAlign val="subscript"/>
        <sz val="12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[°C]</t>
    </r>
  </si>
  <si>
    <t>VDW-Q-600x24-H</t>
  </si>
  <si>
    <t>/</t>
  </si>
  <si>
    <t>VDW-Q-500x24-H</t>
  </si>
  <si>
    <t>VDW-Q- 825x72-H</t>
  </si>
  <si>
    <t>2x VDW-Q- 625x54-H</t>
  </si>
  <si>
    <t>VDW-Q- 300x8-H</t>
  </si>
  <si>
    <t>11. Entrée</t>
  </si>
  <si>
    <t>VDW-Q-300x8-H</t>
  </si>
  <si>
    <t>12. Entrée princ</t>
  </si>
  <si>
    <t xml:space="preserve"> VDW-Q-400x16-H</t>
  </si>
  <si>
    <t>13. Entrée</t>
  </si>
  <si>
    <t>ENTREE</t>
  </si>
  <si>
    <t>DANS LES PTITES PIECES JE METS DES PETITES BOUCHE MAIS DANS L4ENTRREE PRINCIPALE JE METS DES GROISSES BOUCHES CAR TROP DE PERTE DE CHARGE A 300M3/H  DONC J4AI PRIS LA TAILLE SUIVANTE DE BOUCHE</t>
  </si>
  <si>
    <t>JE METS DES PETITES BOUCHES DANS LES PTITES PIECES POUR BLOQUER LE FROID/ CHAUD DES FENETRES</t>
  </si>
  <si>
    <t>GE</t>
  </si>
  <si>
    <t>Vitesse [m/s]</t>
  </si>
  <si>
    <t>Local tech.</t>
  </si>
  <si>
    <t>Local occup.</t>
  </si>
  <si>
    <t>Charges réparties</t>
  </si>
  <si>
    <t>Tronçon</t>
  </si>
  <si>
    <t>Pièce</t>
  </si>
  <si>
    <t>L tronçon [m]</t>
  </si>
  <si>
    <r>
      <t>Débit [m</t>
    </r>
    <r>
      <rPr>
        <vertAlign val="superscript"/>
        <sz val="11"/>
        <rFont val="Aptos Narrow (Corps)"/>
      </rPr>
      <t>3</t>
    </r>
    <r>
      <rPr>
        <sz val="11"/>
        <rFont val="Aptos Narrow (Corps)"/>
      </rPr>
      <t>/h]</t>
    </r>
    <r>
      <rPr>
        <sz val="11"/>
        <rFont val="Aptos Narrow"/>
        <family val="2"/>
        <scheme val="minor"/>
      </rPr>
      <t xml:space="preserve">
</t>
    </r>
  </si>
  <si>
    <r>
      <t>Section [mm</t>
    </r>
    <r>
      <rPr>
        <vertAlign val="superscript"/>
        <sz val="11"/>
        <color theme="1"/>
        <rFont val="Aptos Narrow (Corps)"/>
      </rPr>
      <t>2</t>
    </r>
    <r>
      <rPr>
        <sz val="11"/>
        <color theme="1"/>
        <rFont val="Aptos Narrow"/>
        <family val="2"/>
        <scheme val="minor"/>
      </rPr>
      <t>]</t>
    </r>
  </si>
  <si>
    <t>Cercle/rectangle</t>
  </si>
  <si>
    <t>D  [mm]</t>
  </si>
  <si>
    <t>Pertes de charge [Pa/m]</t>
  </si>
  <si>
    <t>Pertes réparties [Pa]</t>
  </si>
  <si>
    <t>Dimension normalisée [mm]</t>
  </si>
  <si>
    <r>
      <t>Section réel [mm</t>
    </r>
    <r>
      <rPr>
        <vertAlign val="superscript"/>
        <sz val="11"/>
        <color theme="1"/>
        <rFont val="Aptos Narrow (Corps)"/>
      </rPr>
      <t>2</t>
    </r>
    <r>
      <rPr>
        <sz val="11"/>
        <color theme="1"/>
        <rFont val="Aptos Narrow"/>
        <family val="2"/>
        <scheme val="minor"/>
      </rPr>
      <t>]</t>
    </r>
  </si>
  <si>
    <t>Vitesse réel [m/s]</t>
  </si>
  <si>
    <t>W-X</t>
  </si>
  <si>
    <t>cercle</t>
  </si>
  <si>
    <t>W-Z</t>
  </si>
  <si>
    <t>rectangle</t>
  </si>
  <si>
    <t>R-T</t>
  </si>
  <si>
    <t>200x400</t>
  </si>
  <si>
    <t>O-Q</t>
  </si>
  <si>
    <t>200x300</t>
  </si>
  <si>
    <t>C-D</t>
  </si>
  <si>
    <t xml:space="preserve">         </t>
  </si>
  <si>
    <t>E-G</t>
  </si>
  <si>
    <t>M-N</t>
  </si>
  <si>
    <t>L-M</t>
  </si>
  <si>
    <t>R-W</t>
  </si>
  <si>
    <t>200x600</t>
  </si>
  <si>
    <t>P-O</t>
  </si>
  <si>
    <t>300x600</t>
  </si>
  <si>
    <t>P-U</t>
  </si>
  <si>
    <t>R-O</t>
  </si>
  <si>
    <t>250x500</t>
  </si>
  <si>
    <t>P-C</t>
  </si>
  <si>
    <t>300x800</t>
  </si>
  <si>
    <t>C-B</t>
  </si>
  <si>
    <t>300x1000</t>
  </si>
  <si>
    <t>H-B</t>
  </si>
  <si>
    <t>H-F</t>
  </si>
  <si>
    <t>200x800</t>
  </si>
  <si>
    <t>F-V</t>
  </si>
  <si>
    <t>S-V</t>
  </si>
  <si>
    <t>V-E</t>
  </si>
  <si>
    <t>E-I</t>
  </si>
  <si>
    <t>I-L</t>
  </si>
  <si>
    <t>I-K</t>
  </si>
  <si>
    <t>W'-X'</t>
  </si>
  <si>
    <t>V'-W'</t>
  </si>
  <si>
    <t>T'-U'</t>
  </si>
  <si>
    <t>12. Entrée principale</t>
  </si>
  <si>
    <t>DN200</t>
  </si>
  <si>
    <t>T'-V'</t>
  </si>
  <si>
    <t>S'-T'</t>
  </si>
  <si>
    <t>Q'-R'</t>
  </si>
  <si>
    <t>P'-Q'</t>
  </si>
  <si>
    <t>Q'-S'</t>
  </si>
  <si>
    <t>H'-J'</t>
  </si>
  <si>
    <t>K'-L'</t>
  </si>
  <si>
    <t>15. Sécretariat</t>
  </si>
  <si>
    <t>L'-M'</t>
  </si>
  <si>
    <t>L'-O'</t>
  </si>
  <si>
    <t>O'-P'</t>
  </si>
  <si>
    <t>F'-G'</t>
  </si>
  <si>
    <t>250x250</t>
  </si>
  <si>
    <t>Y'-Z'</t>
  </si>
  <si>
    <t>N'-B'</t>
  </si>
  <si>
    <t>B'-C'</t>
  </si>
  <si>
    <t>250x300</t>
  </si>
  <si>
    <t>D'-B'</t>
  </si>
  <si>
    <t>300x400</t>
  </si>
  <si>
    <t>D'-Y'</t>
  </si>
  <si>
    <t>Y'-N''</t>
  </si>
  <si>
    <t>D'-F'</t>
  </si>
  <si>
    <t>N'-E'</t>
  </si>
  <si>
    <t>E'-I'</t>
  </si>
  <si>
    <t>I'-H'</t>
  </si>
  <si>
    <t>H'-K'</t>
  </si>
  <si>
    <t>A-H</t>
  </si>
  <si>
    <t>Longueur [m]</t>
  </si>
  <si>
    <t>Débits</t>
  </si>
  <si>
    <t>Clapet</t>
  </si>
  <si>
    <t xml:space="preserve"> Clapets coupe-feu</t>
  </si>
  <si>
    <r>
      <t>Débit [m</t>
    </r>
    <r>
      <rPr>
        <b/>
        <vertAlign val="superscript"/>
        <sz val="11"/>
        <color theme="1"/>
        <rFont val="Aptos Narrow (Corps)"/>
      </rPr>
      <t>3</t>
    </r>
    <r>
      <rPr>
        <b/>
        <sz val="11"/>
        <color theme="1"/>
        <rFont val="Aptos Narrow"/>
        <family val="2"/>
        <scheme val="minor"/>
      </rPr>
      <t>/h]</t>
    </r>
  </si>
  <si>
    <t>Gaine</t>
  </si>
  <si>
    <t>v réelle [m/s]</t>
  </si>
  <si>
    <t>Poids [kg]</t>
  </si>
  <si>
    <t>ΔPdC [Pa]</t>
  </si>
  <si>
    <t>Sélection</t>
  </si>
  <si>
    <t>1.Coffre-fort</t>
  </si>
  <si>
    <t>FKRS-EU / BE / 250</t>
  </si>
  <si>
    <t xml:space="preserve">FKA2-EU / 1000x300x305 </t>
  </si>
  <si>
    <t>14.Distributeur</t>
  </si>
  <si>
    <t>Pertes de charges singulière</t>
  </si>
  <si>
    <t>Coude à angle vif</t>
  </si>
  <si>
    <t>angle [°]</t>
  </si>
  <si>
    <t>𝛏</t>
  </si>
  <si>
    <t>v [m/s]</t>
  </si>
  <si>
    <r>
      <t>ρ [kg/m</t>
    </r>
    <r>
      <rPr>
        <b/>
        <vertAlign val="superscript"/>
        <sz val="11"/>
        <color theme="1"/>
        <rFont val="Aptos Narrow (Corps)"/>
      </rPr>
      <t>3</t>
    </r>
    <r>
      <rPr>
        <b/>
        <sz val="11"/>
        <color theme="1"/>
        <rFont val="Aptos Narrow"/>
        <family val="2"/>
        <scheme val="minor"/>
      </rPr>
      <t>]</t>
    </r>
  </si>
  <si>
    <t xml:space="preserve"> ΔPdC [Pa]</t>
  </si>
  <si>
    <t>page 13 du mt30 pour xsi</t>
  </si>
  <si>
    <t>B</t>
  </si>
  <si>
    <t>F</t>
  </si>
  <si>
    <t>M</t>
  </si>
  <si>
    <t>E'</t>
  </si>
  <si>
    <t>I'</t>
  </si>
  <si>
    <t>O'</t>
  </si>
  <si>
    <t>F'</t>
  </si>
  <si>
    <t>W'</t>
  </si>
  <si>
    <t xml:space="preserve"> 𝛼  [°]</t>
  </si>
  <si>
    <t>A1/A3</t>
  </si>
  <si>
    <t>q2/q3</t>
  </si>
  <si>
    <t>𝛏1</t>
  </si>
  <si>
    <t>𝛏2</t>
  </si>
  <si>
    <t>v1 [m/s]</t>
  </si>
  <si>
    <t>v2 [m/s]</t>
  </si>
  <si>
    <t xml:space="preserve"> ΔPdC 1[Pa]</t>
  </si>
  <si>
    <t xml:space="preserve"> ΔPdC2 [Pa]</t>
  </si>
  <si>
    <t xml:space="preserve"> ΔPdC tot [Pa]</t>
  </si>
  <si>
    <t>H</t>
  </si>
  <si>
    <t>E</t>
  </si>
  <si>
    <t>I</t>
  </si>
  <si>
    <t>C</t>
  </si>
  <si>
    <t>O</t>
  </si>
  <si>
    <t>R</t>
  </si>
  <si>
    <t>N'</t>
  </si>
  <si>
    <t>Y'</t>
  </si>
  <si>
    <t>H'</t>
  </si>
  <si>
    <t>L'</t>
  </si>
  <si>
    <t>Q'</t>
  </si>
  <si>
    <t>T'</t>
  </si>
  <si>
    <t>A1/A</t>
  </si>
  <si>
    <t>q2/q</t>
  </si>
  <si>
    <t>D'</t>
  </si>
  <si>
    <t>W</t>
  </si>
  <si>
    <t>B-C</t>
  </si>
  <si>
    <t>AA'-BB'</t>
  </si>
  <si>
    <t>AA-BB</t>
  </si>
  <si>
    <t>Diffuseur (pulsion)</t>
  </si>
  <si>
    <t>Diffuseur (extraction)</t>
  </si>
  <si>
    <t>VDW-Q- 600x24-H</t>
  </si>
  <si>
    <t>VDW-Q-  825x72-H</t>
  </si>
  <si>
    <t>VDW-Q- 400x16-H</t>
  </si>
  <si>
    <t>VDW-Q- 625x24-H</t>
  </si>
  <si>
    <t>B'</t>
  </si>
  <si>
    <t>BB</t>
  </si>
  <si>
    <t>A</t>
  </si>
  <si>
    <t>CC'</t>
  </si>
  <si>
    <t>T</t>
  </si>
  <si>
    <t>EE</t>
  </si>
  <si>
    <t>Organe de la gaine</t>
  </si>
  <si>
    <t>Elément</t>
  </si>
  <si>
    <t>Filtre</t>
  </si>
  <si>
    <t>Batterie post chauffe</t>
  </si>
  <si>
    <t>Batterie froide</t>
  </si>
  <si>
    <t>Total</t>
  </si>
  <si>
    <t>Résumé des pertes de charges</t>
  </si>
  <si>
    <t>Tronçons</t>
  </si>
  <si>
    <t>Pertes accessoires [Pa]</t>
  </si>
  <si>
    <t>Pertes de charges singulières [Pa]</t>
  </si>
  <si>
    <r>
      <t xml:space="preserve">ΔPdC </t>
    </r>
    <r>
      <rPr>
        <b/>
        <vertAlign val="subscript"/>
        <sz val="11"/>
        <color theme="1"/>
        <rFont val="Aptos Narrow (Corps)"/>
      </rPr>
      <t>total</t>
    </r>
    <r>
      <rPr>
        <b/>
        <sz val="11"/>
        <color theme="1"/>
        <rFont val="Aptos Narrow"/>
        <family val="2"/>
        <scheme val="minor"/>
      </rPr>
      <t>[Pa]</t>
    </r>
  </si>
  <si>
    <t>Equilibrage</t>
  </si>
  <si>
    <r>
      <t xml:space="preserve">ΔPdC </t>
    </r>
    <r>
      <rPr>
        <b/>
        <vertAlign val="subscript"/>
        <sz val="11"/>
        <color theme="1"/>
        <rFont val="Aptos Narrow (Corps)"/>
      </rPr>
      <t>MAX</t>
    </r>
    <r>
      <rPr>
        <b/>
        <sz val="11"/>
        <color theme="1"/>
        <rFont val="Aptos Narrow"/>
        <family val="2"/>
        <scheme val="minor"/>
      </rPr>
      <t>[Pa]</t>
    </r>
  </si>
  <si>
    <t>Branches</t>
  </si>
  <si>
    <t>PdC à compenser</t>
  </si>
  <si>
    <t>Cercle/Rectangle</t>
  </si>
  <si>
    <t>Modèles clapets</t>
  </si>
  <si>
    <t>Angles [°]</t>
  </si>
  <si>
    <t>TDK</t>
  </si>
  <si>
    <t>JZ-B</t>
  </si>
  <si>
    <t>Modèle</t>
  </si>
  <si>
    <t>Rendement [%]</t>
  </si>
  <si>
    <t>Puissances [kW]</t>
  </si>
  <si>
    <t>Types / Quantité</t>
  </si>
  <si>
    <t>Caractéristique</t>
  </si>
  <si>
    <t>Modèlen°1</t>
  </si>
  <si>
    <t>Modèle n°1</t>
  </si>
  <si>
    <t>Quantité Total</t>
  </si>
  <si>
    <t>Quantité</t>
  </si>
  <si>
    <t>Modèle n°2</t>
  </si>
  <si>
    <t>Modèle n°3</t>
  </si>
  <si>
    <t>Modèle n°4</t>
  </si>
  <si>
    <t>Modèle n°5</t>
  </si>
  <si>
    <t>Modèle n°6</t>
  </si>
  <si>
    <t>Modèle n°7</t>
  </si>
  <si>
    <t>Clapets d'équilibrage</t>
  </si>
  <si>
    <t>Ventilateur</t>
  </si>
  <si>
    <t>Conduites Réctangulaires</t>
  </si>
  <si>
    <t>Modèle n°8</t>
  </si>
  <si>
    <t>Modèle n°9</t>
  </si>
  <si>
    <t>Modèle n°10</t>
  </si>
  <si>
    <t>Modèle n°11</t>
  </si>
  <si>
    <t>Modèle n°12</t>
  </si>
  <si>
    <t>Modèle n°13</t>
  </si>
  <si>
    <t>Modèle n°14</t>
  </si>
  <si>
    <t>Modèle n°15</t>
  </si>
  <si>
    <t>Conduites Circulaire</t>
  </si>
  <si>
    <t>DN 400</t>
  </si>
  <si>
    <t>Modèle n°16</t>
  </si>
  <si>
    <t>DN 250</t>
  </si>
  <si>
    <t>Modèle n°17</t>
  </si>
  <si>
    <t>DN 315</t>
  </si>
  <si>
    <t>Modèle n°18</t>
  </si>
  <si>
    <t>DN 200</t>
  </si>
  <si>
    <t>pas besosin de respecter X faut juste faire une selection rapide et pour sanitaire aller sur trox pour des bouches rondes</t>
  </si>
  <si>
    <t>GE SANITAIRE</t>
  </si>
  <si>
    <t>TLH-100</t>
  </si>
  <si>
    <t>TLH-125</t>
  </si>
  <si>
    <t>&lt;25</t>
  </si>
  <si>
    <t>&lt;20</t>
  </si>
  <si>
    <t>&lt;15</t>
  </si>
  <si>
    <t>faux plafond est egale a 45 cm donc l doit etre egale a 22,5 max ou du moins prcq ya GP et GE qui peuvent se croiser donc ca fera 22,5*2</t>
  </si>
  <si>
    <t>10. Approv</t>
  </si>
  <si>
    <t>100x200</t>
  </si>
  <si>
    <t>FKA2-EU/200x100x305</t>
  </si>
  <si>
    <t>FKA2-EU | S.A. TROX Belgium/TROX Belgium N.V.</t>
  </si>
  <si>
    <t>Aller sur le site et mettre largeur hauteur et debit et pour circulaire regarder ds le mt30</t>
  </si>
  <si>
    <t>FKA2-EU / 800x200x305</t>
  </si>
  <si>
    <t>FKA2-EU /1000x300x305</t>
  </si>
  <si>
    <t>FKA2-EU / 400x300x305</t>
  </si>
  <si>
    <t>Derivations</t>
  </si>
  <si>
    <t>250x800</t>
  </si>
  <si>
    <t>https://www.trox.be/bouches-circulaires/tlh-e1a320b39a2de552</t>
  </si>
  <si>
    <t>pas besoin de respecter X et B dans les couloirs ou salle d'attente</t>
  </si>
  <si>
    <t>T-T''</t>
  </si>
  <si>
    <t>A-N'</t>
  </si>
  <si>
    <t>A-A''</t>
  </si>
  <si>
    <t>A''-B''</t>
  </si>
  <si>
    <t>B''-C''</t>
  </si>
  <si>
    <t>23.Trémis-LT HVAC</t>
  </si>
  <si>
    <t>23.Trémis-LT HHVAC</t>
  </si>
  <si>
    <t>600x800</t>
  </si>
  <si>
    <t>FKA2-EU / 800x600x305</t>
  </si>
  <si>
    <t>A''</t>
  </si>
  <si>
    <t>B''</t>
  </si>
  <si>
    <t>500x500</t>
  </si>
  <si>
    <t>Trajet C''-N</t>
  </si>
  <si>
    <t>C''-B''</t>
  </si>
  <si>
    <t>B''-A''</t>
  </si>
  <si>
    <t>A"-A</t>
  </si>
  <si>
    <t>Trajet C''-K</t>
  </si>
  <si>
    <t>Trajet C''-G</t>
  </si>
  <si>
    <t>Trajet C''-D</t>
  </si>
  <si>
    <t>Trajet C''-Q</t>
  </si>
  <si>
    <t>Trajet C''-T"</t>
  </si>
  <si>
    <t>Trajet C''-Z</t>
  </si>
  <si>
    <t>Trajet C''-X</t>
  </si>
  <si>
    <t>C-P</t>
  </si>
  <si>
    <t>O-R</t>
  </si>
  <si>
    <t>T-T"</t>
  </si>
  <si>
    <t>Trajet C''-X'</t>
  </si>
  <si>
    <t>V-S</t>
  </si>
  <si>
    <t>Trajet C''-S</t>
  </si>
  <si>
    <t>Trajet C''-U</t>
  </si>
  <si>
    <t>B'-D'</t>
  </si>
  <si>
    <t>Y'-N"</t>
  </si>
  <si>
    <t>Trajet C''-R'</t>
  </si>
  <si>
    <t>Trajet C''-M'</t>
  </si>
  <si>
    <t>Trajet C''-U'</t>
  </si>
  <si>
    <t>Trajet C''-J'</t>
  </si>
  <si>
    <t>Trajet C''-N"</t>
  </si>
  <si>
    <t>Trajet C''-Z'</t>
  </si>
  <si>
    <t>Trajet C''-G'</t>
  </si>
  <si>
    <t>Trajet C''-C'</t>
  </si>
  <si>
    <t>V</t>
  </si>
  <si>
    <t>P</t>
  </si>
  <si>
    <t>p80 car DN315</t>
  </si>
  <si>
    <t>p80 car DN200</t>
  </si>
  <si>
    <t>p79 car DN125</t>
  </si>
  <si>
    <t>OO-PP</t>
  </si>
  <si>
    <t>OO-QQ</t>
  </si>
  <si>
    <t>MM-NN</t>
  </si>
  <si>
    <t>II-JJ</t>
  </si>
  <si>
    <t>GG-HH</t>
  </si>
  <si>
    <t>VV-WW</t>
  </si>
  <si>
    <t>XX-ZZ</t>
  </si>
  <si>
    <t>EE-FF</t>
  </si>
  <si>
    <t>FF-GG</t>
  </si>
  <si>
    <t>GG-II</t>
  </si>
  <si>
    <t>II-KK</t>
  </si>
  <si>
    <t>KK-LL</t>
  </si>
  <si>
    <t>KK-MM</t>
  </si>
  <si>
    <t>MM-OO</t>
  </si>
  <si>
    <t>RR-SS</t>
  </si>
  <si>
    <t>SS-TT</t>
  </si>
  <si>
    <t>TT-UU</t>
  </si>
  <si>
    <t>TT-VV</t>
  </si>
  <si>
    <t>VV-XX</t>
  </si>
  <si>
    <t>XX-YY</t>
  </si>
  <si>
    <t>YY-YY'</t>
  </si>
  <si>
    <t>11. Entrée droite</t>
  </si>
  <si>
    <t>13. Entrée gauche</t>
  </si>
  <si>
    <t>XX'-WW'</t>
  </si>
  <si>
    <t>UU'-WW'</t>
  </si>
  <si>
    <t>UU'-VV'</t>
  </si>
  <si>
    <t>SS'-TT'</t>
  </si>
  <si>
    <t>RR'-SS'</t>
  </si>
  <si>
    <t>NN'-OO'</t>
  </si>
  <si>
    <t>MM'-NN'</t>
  </si>
  <si>
    <t>PP'-RR'</t>
  </si>
  <si>
    <t>PP'-QQ'</t>
  </si>
  <si>
    <t>MM'-PP'</t>
  </si>
  <si>
    <t>GG'-HH'</t>
  </si>
  <si>
    <t>EE'-FF'</t>
  </si>
  <si>
    <t>BB'-GG'</t>
  </si>
  <si>
    <t>BB'-CC'</t>
  </si>
  <si>
    <t>CC'-DD'</t>
  </si>
  <si>
    <t>CC'-EE'</t>
  </si>
  <si>
    <t>II'-JJ'</t>
  </si>
  <si>
    <t>JJ'-KK'</t>
  </si>
  <si>
    <t>JJ'-LL'</t>
  </si>
  <si>
    <t>LL'-MM'</t>
  </si>
  <si>
    <t>CC-DD</t>
  </si>
  <si>
    <t>BB-CC</t>
  </si>
  <si>
    <t>SS'-UU'</t>
  </si>
  <si>
    <t>200x250</t>
  </si>
  <si>
    <t>DD-CCC</t>
  </si>
  <si>
    <t>DD-AAA</t>
  </si>
  <si>
    <t>CCC-DDD</t>
  </si>
  <si>
    <t>CCC-EEE</t>
  </si>
  <si>
    <t>AAA-BBB</t>
  </si>
  <si>
    <t>BBB-AA'</t>
  </si>
  <si>
    <t>AAA-GGG</t>
  </si>
  <si>
    <t>DDD-EE</t>
  </si>
  <si>
    <t>EEE-RR</t>
  </si>
  <si>
    <t>GGG-II'</t>
  </si>
  <si>
    <t>150x500</t>
  </si>
  <si>
    <t>FKA2-EU /800x250x305</t>
  </si>
  <si>
    <t>FF</t>
  </si>
  <si>
    <t>DDD</t>
  </si>
  <si>
    <t>EEE</t>
  </si>
  <si>
    <t>RR</t>
  </si>
  <si>
    <t>SS</t>
  </si>
  <si>
    <t>YY</t>
  </si>
  <si>
    <t>BBB</t>
  </si>
  <si>
    <t>AA'</t>
  </si>
  <si>
    <t>EE'</t>
  </si>
  <si>
    <t>GG'</t>
  </si>
  <si>
    <t>GGG</t>
  </si>
  <si>
    <t>II'</t>
  </si>
  <si>
    <t>LL'</t>
  </si>
  <si>
    <t>NN'</t>
  </si>
  <si>
    <t>RR'</t>
  </si>
  <si>
    <t>CC</t>
  </si>
  <si>
    <t>CCC</t>
  </si>
  <si>
    <t>OO</t>
  </si>
  <si>
    <t>KK</t>
  </si>
  <si>
    <t>II</t>
  </si>
  <si>
    <t>GG</t>
  </si>
  <si>
    <t>TT</t>
  </si>
  <si>
    <t>VV</t>
  </si>
  <si>
    <t>XX</t>
  </si>
  <si>
    <t>JJ'</t>
  </si>
  <si>
    <t>MM'</t>
  </si>
  <si>
    <t>PP'</t>
  </si>
  <si>
    <t>SS'</t>
  </si>
  <si>
    <t>WW'</t>
  </si>
  <si>
    <t>UU'</t>
  </si>
  <si>
    <t>AAA</t>
  </si>
  <si>
    <t>MM</t>
  </si>
  <si>
    <t>BB'</t>
  </si>
  <si>
    <t>DD</t>
  </si>
  <si>
    <t>Trajet AA-ZZ</t>
  </si>
  <si>
    <t>Trajet AA-YY'</t>
  </si>
  <si>
    <t>Trajet AA-WW</t>
  </si>
  <si>
    <t>Trajet AA-UU</t>
  </si>
  <si>
    <t>Trajet AA-HH</t>
  </si>
  <si>
    <t>Trajet AA-JJ</t>
  </si>
  <si>
    <t>Trajet AA-LL</t>
  </si>
  <si>
    <t>Trajet AA-NN</t>
  </si>
  <si>
    <t>Trajet AA-PP</t>
  </si>
  <si>
    <t>Trajet AA-QQ</t>
  </si>
  <si>
    <t>Trajet AA-XX'</t>
  </si>
  <si>
    <t>WW'-XX'</t>
  </si>
  <si>
    <t>Trajet AA-VV'</t>
  </si>
  <si>
    <t>Trajet AA-TT'</t>
  </si>
  <si>
    <t>Trajet AA-QQ'</t>
  </si>
  <si>
    <t>Trajet AA-OO'</t>
  </si>
  <si>
    <t>Trajet AA-KK'</t>
  </si>
  <si>
    <t>EE-FF'</t>
  </si>
  <si>
    <t>Trajet AA-FF'</t>
  </si>
  <si>
    <t>Trajet AA-DD'</t>
  </si>
  <si>
    <t>Trajet AA-HH'</t>
  </si>
  <si>
    <t>A est au max de la hauteur de la tremie donc je met DD plus bas pr pas avoir d'encombrement</t>
  </si>
  <si>
    <t>II', AA' sont a la meme hauteur que N'</t>
  </si>
  <si>
    <t>EE, RR sont a la meme hauteur que H</t>
  </si>
  <si>
    <t>p80 car DN250</t>
  </si>
  <si>
    <t xml:space="preserve">page 29 du mt 30 </t>
  </si>
  <si>
    <t>page 25 du mt 30 depend de comment se divise les debits</t>
  </si>
  <si>
    <t>T droits confluents</t>
  </si>
  <si>
    <t>T droits dérivation</t>
  </si>
  <si>
    <t>A2/A1</t>
  </si>
  <si>
    <t>150x200</t>
  </si>
  <si>
    <t>DN 125</t>
  </si>
  <si>
    <t>3-4.</t>
  </si>
  <si>
    <t>4-5.</t>
  </si>
  <si>
    <t>5-6.</t>
  </si>
  <si>
    <t>6-7.</t>
  </si>
  <si>
    <t>7-8.</t>
  </si>
  <si>
    <t>11-12.</t>
  </si>
  <si>
    <t>13-14.</t>
  </si>
  <si>
    <t>15-16.</t>
  </si>
  <si>
    <t>Débits [m3/h]</t>
  </si>
  <si>
    <t>100x100</t>
  </si>
  <si>
    <r>
      <t>Section [mm</t>
    </r>
    <r>
      <rPr>
        <vertAlign val="superscript"/>
        <sz val="11"/>
        <color theme="1"/>
        <rFont val="Aptos Narrow (Corps)"/>
      </rPr>
      <t>2</t>
    </r>
    <r>
      <rPr>
        <sz val="11"/>
        <color theme="1"/>
        <rFont val="Aptos Narrow"/>
        <family val="2"/>
        <scheme val="minor"/>
      </rPr>
      <t>]</t>
    </r>
  </si>
  <si>
    <t>100x150</t>
  </si>
  <si>
    <t>Trajet 1-16</t>
  </si>
  <si>
    <t>Trajet 1-14</t>
  </si>
  <si>
    <t>Trajet 1-12</t>
  </si>
  <si>
    <t>Trajet 1-8</t>
  </si>
  <si>
    <t>1-2.</t>
  </si>
  <si>
    <t>2-3.</t>
  </si>
  <si>
    <t>8-10.</t>
  </si>
  <si>
    <t>8-9.</t>
  </si>
  <si>
    <t>10-11.</t>
  </si>
  <si>
    <t>10-13.</t>
  </si>
  <si>
    <t>13-15</t>
  </si>
  <si>
    <t>RAJOUTER 75 Pa POUR LA PRISSE D'AIR DE L'EXTERIEUR VERS LA CTA</t>
  </si>
  <si>
    <r>
      <t>Débit été  [m</t>
    </r>
    <r>
      <rPr>
        <b/>
        <vertAlign val="superscript"/>
        <sz val="11"/>
        <color theme="1"/>
        <rFont val="Aptos Narrow (Corps)"/>
      </rPr>
      <t>3</t>
    </r>
    <r>
      <rPr>
        <b/>
        <sz val="11"/>
        <color theme="1"/>
        <rFont val="Aptos Narrow"/>
        <family val="2"/>
        <scheme val="minor"/>
      </rPr>
      <t>/h]</t>
    </r>
  </si>
  <si>
    <r>
      <t>Débit hiver  [m</t>
    </r>
    <r>
      <rPr>
        <b/>
        <vertAlign val="superscript"/>
        <sz val="11"/>
        <color theme="1"/>
        <rFont val="Aptos Narrow (Corps)"/>
      </rPr>
      <t>3</t>
    </r>
    <r>
      <rPr>
        <b/>
        <sz val="11"/>
        <color theme="1"/>
        <rFont val="Aptos Narrow"/>
        <family val="2"/>
        <scheme val="minor"/>
      </rPr>
      <t>/h]</t>
    </r>
  </si>
  <si>
    <t>m</t>
  </si>
  <si>
    <t>13-15.</t>
  </si>
  <si>
    <t>ΔPdC total [Pa]</t>
  </si>
  <si>
    <t>ΔPdC total majore [Pa]</t>
  </si>
  <si>
    <t>augmenter les pertes de charges avec un coefficient entre 10 et 20% au cas ou ya eu des oublies</t>
  </si>
  <si>
    <t>4 clapet grossiers pour chaque groupe au branches proncipales en sorties de tremie donc +8</t>
  </si>
  <si>
    <t>Modèle n°19</t>
  </si>
  <si>
    <t>Modèle n°20</t>
  </si>
  <si>
    <t>VZR 71-0355</t>
  </si>
  <si>
    <t>BOUCHE</t>
  </si>
  <si>
    <t>DEBIT</t>
  </si>
  <si>
    <t>SOMME PDC SING</t>
  </si>
  <si>
    <t>SOMME PDC LINE</t>
  </si>
  <si>
    <t>PDC A EQUILIBRER</t>
  </si>
  <si>
    <t>SOMME TOTAL PDC ET ELLES DOIVENT ETRE PAREILS POUR TOUTES LES BOUCEHS</t>
  </si>
  <si>
    <t>PUIS FAIRE SOMME DE TOUTES LES PDC POUR CHOISIR VENTILO</t>
  </si>
  <si>
    <t>SOMME PDC accesoires</t>
  </si>
  <si>
    <t>chaque bouche</t>
  </si>
  <si>
    <t>debit</t>
  </si>
  <si>
    <t>pdc</t>
  </si>
  <si>
    <t>partie lineraire</t>
  </si>
  <si>
    <t>accessoir</t>
  </si>
  <si>
    <t xml:space="preserve">calcul global avec choix de ventilo et ensuite expliquer comment on a realiser l'equilibrage </t>
  </si>
  <si>
    <t xml:space="preserve">comment on a choix la pdc </t>
  </si>
  <si>
    <t>comment on a reprensenter l'installation</t>
  </si>
  <si>
    <t>expliquer et montrer la branche la plus contraingnante</t>
  </si>
  <si>
    <t>detail du calcul de cette branche</t>
  </si>
  <si>
    <t>et expliquer le detail du calcul qu'on a fait sur les autre branche pour l'equilibrage</t>
  </si>
  <si>
    <t>choix du ventilo avec pdc de l'installation mais aussi des composant a l'interieur du grp</t>
  </si>
  <si>
    <t>Débit</t>
  </si>
  <si>
    <t>Bouche</t>
  </si>
  <si>
    <t>Pertes de charges à équilibrer [Pa]</t>
  </si>
  <si>
    <t>Somme totale des pertes de charges [Pa]</t>
  </si>
  <si>
    <t>9.Couloir droite (V-S)</t>
  </si>
  <si>
    <t>9.Couloir droite (P-U)</t>
  </si>
  <si>
    <t>17. Salle d'attente (Y'-N'')</t>
  </si>
  <si>
    <t xml:space="preserve">4.Bureau 4 </t>
  </si>
  <si>
    <t xml:space="preserve">2.KITCHENETTE </t>
  </si>
  <si>
    <t>1.COFFRE FORT</t>
  </si>
  <si>
    <t>16.SDR (Y'-Z')</t>
  </si>
  <si>
    <t>16.SDR (F'-G')</t>
  </si>
  <si>
    <t>17. Salle d'attente (B'-C')</t>
  </si>
  <si>
    <t>17. Salle d'attente (CC'-DD')</t>
  </si>
  <si>
    <t>17. Salle d'attente (JJ'-KK')</t>
  </si>
  <si>
    <t>9.Couloir droite (TT-UU)</t>
  </si>
  <si>
    <t>9.Couloir droite (KK-LL)</t>
  </si>
  <si>
    <t>16.SDR (GG'-HH')</t>
  </si>
  <si>
    <t>16.SDR (EE'-FF')</t>
  </si>
  <si>
    <t>Dans branche dimensionnante donner pourcentage des pertes de charges</t>
  </si>
  <si>
    <t>Compenser avec l angle de la bouche de pulsion en interpolant</t>
  </si>
  <si>
    <t xml:space="preserve">PdC à faire avec la bouche </t>
  </si>
  <si>
    <t>PdC de la bouche</t>
  </si>
  <si>
    <t>POURCENTAGE</t>
  </si>
  <si>
    <t xml:space="preserve">  </t>
  </si>
  <si>
    <t xml:space="preserve">branche + batterie +filtre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</si>
</sst>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2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1"/>
      <name val="Aptos Narrow (Corps)"/>
    </font>
    <font>
      <sz val="11"/>
      <name val="Aptos Narrow (Corps)"/>
    </font>
    <font>
      <vertAlign val="superscript"/>
      <sz val="11"/>
      <color theme="1"/>
      <name val="Aptos Narrow (Corps)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perscript"/>
      <sz val="11"/>
      <color theme="1"/>
      <name val="Aptos Narrow (Corps)"/>
    </font>
    <font>
      <sz val="11"/>
      <color rgb="FFFF0000"/>
      <name val="Aptos Narrow"/>
      <family val="2"/>
      <scheme val="minor"/>
    </font>
    <font>
      <b/>
      <vertAlign val="subscript"/>
      <sz val="11"/>
      <color theme="1"/>
      <name val="Aptos Narrow (Corps)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2"/>
      <name val="Aptos Narrow"/>
      <family val="2"/>
    </font>
    <font>
      <vertAlign val="subscript"/>
      <sz val="12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15D3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2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4" borderId="0" xfId="0" applyFill="1"/>
    <xf numFmtId="0" fontId="7" fillId="4" borderId="0" xfId="0" applyFont="1" applyFill="1"/>
    <xf numFmtId="0" fontId="6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6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0" fontId="12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0" fillId="0" borderId="1" xfId="0" applyNumberFormat="1" applyBorder="1"/>
    <xf numFmtId="0" fontId="9" fillId="0" borderId="0" xfId="0" applyFont="1"/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2" fontId="0" fillId="0" borderId="0" xfId="0" applyNumberFormat="1"/>
    <xf numFmtId="0" fontId="6" fillId="0" borderId="0" xfId="0" applyFont="1"/>
    <xf numFmtId="0" fontId="13" fillId="0" borderId="0" xfId="0" applyFont="1"/>
    <xf numFmtId="0" fontId="1" fillId="0" borderId="13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2" fontId="0" fillId="2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0" fillId="0" borderId="20" xfId="0" applyBorder="1"/>
    <xf numFmtId="0" fontId="0" fillId="0" borderId="14" xfId="0" applyBorder="1"/>
    <xf numFmtId="0" fontId="1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3" borderId="15" xfId="0" applyFill="1" applyBorder="1" applyAlignment="1">
      <alignment vertical="center"/>
    </xf>
    <xf numFmtId="0" fontId="0" fillId="0" borderId="15" xfId="0" applyBorder="1" applyAlignment="1">
      <alignment vertical="center"/>
    </xf>
    <xf numFmtId="14" fontId="2" fillId="0" borderId="15" xfId="0" applyNumberFormat="1" applyFont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0" fillId="2" borderId="23" xfId="0" applyFill="1" applyBorder="1"/>
    <xf numFmtId="0" fontId="0" fillId="0" borderId="24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/>
    <xf numFmtId="0" fontId="0" fillId="0" borderId="21" xfId="0" applyBorder="1" applyAlignment="1">
      <alignment wrapText="1"/>
    </xf>
    <xf numFmtId="0" fontId="17" fillId="0" borderId="15" xfId="0" applyFont="1" applyBorder="1" applyAlignment="1">
      <alignment vertical="center"/>
    </xf>
    <xf numFmtId="0" fontId="1" fillId="7" borderId="13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164" fontId="0" fillId="0" borderId="0" xfId="0" applyNumberFormat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6" fillId="12" borderId="1" xfId="0" applyFont="1" applyFill="1" applyBorder="1"/>
    <xf numFmtId="0" fontId="6" fillId="12" borderId="1" xfId="0" applyFont="1" applyFill="1" applyBorder="1" applyAlignment="1">
      <alignment horizontal="center" vertical="center"/>
    </xf>
    <xf numFmtId="1" fontId="0" fillId="12" borderId="1" xfId="0" applyNumberFormat="1" applyFill="1" applyBorder="1"/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0" fillId="0" borderId="3" xfId="0" applyBorder="1"/>
    <xf numFmtId="2" fontId="0" fillId="2" borderId="11" xfId="0" applyNumberForma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 vertical="center"/>
    </xf>
    <xf numFmtId="164" fontId="0" fillId="0" borderId="0" xfId="0" applyNumberFormat="1"/>
    <xf numFmtId="2" fontId="0" fillId="0" borderId="13" xfId="0" applyNumberForma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16" fontId="6" fillId="2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6" fillId="0" borderId="28" xfId="0" applyFont="1" applyBorder="1" applyAlignment="1">
      <alignment horizontal="center" vertical="center"/>
    </xf>
    <xf numFmtId="0" fontId="6" fillId="2" borderId="15" xfId="0" applyFont="1" applyFill="1" applyBorder="1" applyAlignment="1">
      <alignment vertical="center"/>
    </xf>
    <xf numFmtId="0" fontId="20" fillId="2" borderId="15" xfId="0" applyFont="1" applyFill="1" applyBorder="1" applyAlignment="1">
      <alignment vertical="center"/>
    </xf>
    <xf numFmtId="14" fontId="21" fillId="2" borderId="15" xfId="0" applyNumberFormat="1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0" fillId="0" borderId="18" xfId="0" applyBorder="1"/>
    <xf numFmtId="0" fontId="6" fillId="0" borderId="1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0" fillId="2" borderId="0" xfId="0" applyFill="1"/>
    <xf numFmtId="2" fontId="0" fillId="0" borderId="10" xfId="0" applyNumberFormat="1" applyBorder="1"/>
    <xf numFmtId="2" fontId="0" fillId="0" borderId="1" xfId="0" applyNumberFormat="1" applyBorder="1"/>
    <xf numFmtId="2" fontId="0" fillId="0" borderId="31" xfId="0" applyNumberFormat="1" applyBorder="1"/>
    <xf numFmtId="0" fontId="0" fillId="0" borderId="32" xfId="0" applyBorder="1"/>
    <xf numFmtId="2" fontId="0" fillId="0" borderId="33" xfId="0" applyNumberFormat="1" applyBorder="1"/>
    <xf numFmtId="0" fontId="0" fillId="0" borderId="33" xfId="0" applyBorder="1"/>
    <xf numFmtId="2" fontId="0" fillId="0" borderId="34" xfId="0" applyNumberFormat="1" applyBorder="1"/>
    <xf numFmtId="0" fontId="6" fillId="2" borderId="35" xfId="0" applyFont="1" applyFill="1" applyBorder="1" applyAlignment="1">
      <alignment vertical="center"/>
    </xf>
    <xf numFmtId="0" fontId="6" fillId="0" borderId="1" xfId="0" applyFont="1" applyBorder="1"/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" xfId="0" applyFont="1" applyBorder="1"/>
    <xf numFmtId="0" fontId="6" fillId="7" borderId="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9" fillId="0" borderId="16" xfId="1" applyBorder="1" applyAlignment="1">
      <alignment horizontal="center"/>
    </xf>
    <xf numFmtId="0" fontId="19" fillId="0" borderId="0" xfId="1" applyBorder="1" applyAlignment="1">
      <alignment horizontal="center"/>
    </xf>
    <xf numFmtId="0" fontId="6" fillId="9" borderId="3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wrapText="1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5" borderId="3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6" fillId="10" borderId="0" xfId="0" applyFont="1" applyFill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9" fillId="0" borderId="0" xfId="1" applyAlignment="1">
      <alignment horizontal="center"/>
    </xf>
    <xf numFmtId="0" fontId="0" fillId="0" borderId="0" xfId="0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6" fillId="12" borderId="19" xfId="0" applyFont="1" applyFill="1" applyBorder="1" applyAlignment="1">
      <alignment horizontal="center"/>
    </xf>
    <xf numFmtId="0" fontId="6" fillId="12" borderId="20" xfId="0" applyFont="1" applyFill="1" applyBorder="1" applyAlignment="1">
      <alignment horizontal="center"/>
    </xf>
    <xf numFmtId="0" fontId="6" fillId="12" borderId="2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15" borderId="19" xfId="0" applyFont="1" applyFill="1" applyBorder="1" applyAlignment="1">
      <alignment horizontal="center" vertical="center"/>
    </xf>
    <xf numFmtId="0" fontId="6" fillId="15" borderId="20" xfId="0" applyFont="1" applyFill="1" applyBorder="1" applyAlignment="1">
      <alignment horizontal="center" vertical="center"/>
    </xf>
    <xf numFmtId="0" fontId="6" fillId="15" borderId="2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CC0000"/>
      <color rgb="FFF15D30"/>
      <color rgb="FFFFE68B"/>
      <color rgb="FFFFF9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courbe</a:t>
            </a:r>
            <a:r>
              <a:rPr lang="fr-BE" baseline="0"/>
              <a:t> du reseau</a:t>
            </a:r>
            <a:endParaRPr lang="fr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plotArea>
      <c:layout>
        <c:manualLayout>
          <c:layoutTarget val="inner"/>
          <c:xMode val="edge"/>
          <c:yMode val="edge"/>
          <c:x val="6.0272179040293632E-2"/>
          <c:y val="0.22671166916292507"/>
          <c:w val="0.89821026815911209"/>
          <c:h val="0.7440561251643801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'PDC total-Equilibrage'!$AV$174:$AV$175</c:f>
              <c:numCache>
                <c:formatCode>General</c:formatCode>
                <c:ptCount val="2"/>
                <c:pt idx="0">
                  <c:v>1E-4</c:v>
                </c:pt>
                <c:pt idx="1">
                  <c:v>1E-4</c:v>
                </c:pt>
              </c:numCache>
            </c:numRef>
          </c:xVal>
          <c:yVal>
            <c:numRef>
              <c:f>'PDC total-Equilibrage'!$AW$174:$AW$175</c:f>
              <c:numCache>
                <c:formatCode>General</c:formatCode>
                <c:ptCount val="2"/>
                <c:pt idx="0">
                  <c:v>857</c:v>
                </c:pt>
                <c:pt idx="1">
                  <c:v>10944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78-4860-967C-1EE9459C7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075087"/>
        <c:axId val="1700074607"/>
      </c:scatterChart>
      <c:valAx>
        <c:axId val="1700075087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074607"/>
        <c:crosses val="autoZero"/>
        <c:crossBetween val="midCat"/>
      </c:valAx>
      <c:valAx>
        <c:axId val="1700074607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07508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3611111111111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9080927384076991E-2"/>
          <c:y val="0.19486111111111112"/>
          <c:w val="0.88055796150481191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6.985826771653543E-2"/>
                  <c:y val="-1.89351851851851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'PDC total-Equilibrage'!$AV$175:$AW$175</c:f>
              <c:numCache>
                <c:formatCode>General</c:formatCode>
                <c:ptCount val="2"/>
                <c:pt idx="0">
                  <c:v>1E-4</c:v>
                </c:pt>
                <c:pt idx="1">
                  <c:v>10944</c:v>
                </c:pt>
              </c:numCache>
            </c:numRef>
          </c:xVal>
          <c:yVal>
            <c:numRef>
              <c:f>'PDC total-Equilibrage'!$AV$174:$AW$174</c:f>
              <c:numCache>
                <c:formatCode>General</c:formatCode>
                <c:ptCount val="2"/>
                <c:pt idx="0">
                  <c:v>1E-4</c:v>
                </c:pt>
                <c:pt idx="1">
                  <c:v>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CB-490E-90E6-2E209B561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909407"/>
        <c:axId val="1702910847"/>
      </c:scatterChart>
      <c:valAx>
        <c:axId val="17029094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10847"/>
        <c:crosses val="autoZero"/>
        <c:crossBetween val="midCat"/>
      </c:valAx>
      <c:valAx>
        <c:axId val="17029108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0940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1379111986001753"/>
          <c:y val="0.56820501603966167"/>
          <c:w val="0.26676443569553804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.png"/><Relationship Id="rId18" Type="http://schemas.openxmlformats.org/officeDocument/2006/relationships/image" Target="../media/image9.png"/><Relationship Id="rId26" Type="http://schemas.openxmlformats.org/officeDocument/2006/relationships/customXml" Target="../ink/ink10.xml"/><Relationship Id="rId39" Type="http://schemas.openxmlformats.org/officeDocument/2006/relationships/image" Target="../media/image23.png"/><Relationship Id="rId21" Type="http://schemas.openxmlformats.org/officeDocument/2006/relationships/customXml" Target="../ink/ink8.xml"/><Relationship Id="rId34" Type="http://schemas.openxmlformats.org/officeDocument/2006/relationships/customXml" Target="../ink/ink14.xml"/><Relationship Id="rId42" Type="http://schemas.openxmlformats.org/officeDocument/2006/relationships/customXml" Target="../ink/ink18.xml"/><Relationship Id="rId47" Type="http://schemas.openxmlformats.org/officeDocument/2006/relationships/image" Target="../media/image27.png"/><Relationship Id="rId50" Type="http://schemas.openxmlformats.org/officeDocument/2006/relationships/customXml" Target="../ink/ink22.xml"/><Relationship Id="rId55" Type="http://schemas.openxmlformats.org/officeDocument/2006/relationships/image" Target="../media/image31.png"/><Relationship Id="rId7" Type="http://schemas.openxmlformats.org/officeDocument/2006/relationships/customXml" Target="../ink/ink3.xml"/><Relationship Id="rId2" Type="http://schemas.openxmlformats.org/officeDocument/2006/relationships/image" Target="../media/image2.png"/><Relationship Id="rId16" Type="http://schemas.openxmlformats.org/officeDocument/2006/relationships/customXml" Target="../ink/ink6.xml"/><Relationship Id="rId29" Type="http://schemas.openxmlformats.org/officeDocument/2006/relationships/image" Target="../media/image18.png"/><Relationship Id="rId11" Type="http://schemas.openxmlformats.org/officeDocument/2006/relationships/image" Target="../media/image7.png"/><Relationship Id="rId24" Type="http://schemas.openxmlformats.org/officeDocument/2006/relationships/image" Target="../media/image15.png"/><Relationship Id="rId32" Type="http://schemas.openxmlformats.org/officeDocument/2006/relationships/customXml" Target="../ink/ink13.xml"/><Relationship Id="rId37" Type="http://schemas.openxmlformats.org/officeDocument/2006/relationships/image" Target="../media/image22.png"/><Relationship Id="rId40" Type="http://schemas.openxmlformats.org/officeDocument/2006/relationships/customXml" Target="../ink/ink17.xml"/><Relationship Id="rId45" Type="http://schemas.openxmlformats.org/officeDocument/2006/relationships/image" Target="../media/image26.png"/><Relationship Id="rId53" Type="http://schemas.openxmlformats.org/officeDocument/2006/relationships/image" Target="../media/image30.png"/><Relationship Id="rId5" Type="http://schemas.openxmlformats.org/officeDocument/2006/relationships/customXml" Target="../ink/ink2.xml"/><Relationship Id="rId19" Type="http://schemas.openxmlformats.org/officeDocument/2006/relationships/customXml" Target="../ink/ink7.xml"/><Relationship Id="rId31" Type="http://schemas.openxmlformats.org/officeDocument/2006/relationships/image" Target="../media/image19.png"/><Relationship Id="rId44" Type="http://schemas.openxmlformats.org/officeDocument/2006/relationships/customXml" Target="../ink/ink19.xml"/><Relationship Id="rId52" Type="http://schemas.openxmlformats.org/officeDocument/2006/relationships/customXml" Target="../ink/ink23.xml"/><Relationship Id="rId4" Type="http://schemas.openxmlformats.org/officeDocument/2006/relationships/image" Target="../media/image3.png"/><Relationship Id="rId9" Type="http://schemas.openxmlformats.org/officeDocument/2006/relationships/customXml" Target="../ink/ink4.xml"/><Relationship Id="rId14" Type="http://schemas.openxmlformats.org/officeDocument/2006/relationships/customXml" Target="../ink/ink5.xml"/><Relationship Id="rId22" Type="http://schemas.openxmlformats.org/officeDocument/2006/relationships/image" Target="../media/image14.png"/><Relationship Id="rId27" Type="http://schemas.openxmlformats.org/officeDocument/2006/relationships/image" Target="../media/image17.png"/><Relationship Id="rId30" Type="http://schemas.openxmlformats.org/officeDocument/2006/relationships/customXml" Target="../ink/ink12.xml"/><Relationship Id="rId35" Type="http://schemas.openxmlformats.org/officeDocument/2006/relationships/image" Target="../media/image21.png"/><Relationship Id="rId43" Type="http://schemas.openxmlformats.org/officeDocument/2006/relationships/image" Target="../media/image25.png"/><Relationship Id="rId48" Type="http://schemas.openxmlformats.org/officeDocument/2006/relationships/customXml" Target="../ink/ink21.xml"/><Relationship Id="rId56" Type="http://schemas.openxmlformats.org/officeDocument/2006/relationships/image" Target="../media/image16.png"/><Relationship Id="rId8" Type="http://schemas.openxmlformats.org/officeDocument/2006/relationships/image" Target="../media/image5.png"/><Relationship Id="rId51" Type="http://schemas.openxmlformats.org/officeDocument/2006/relationships/image" Target="../media/image29.png"/><Relationship Id="rId3" Type="http://schemas.openxmlformats.org/officeDocument/2006/relationships/customXml" Target="../ink/ink1.xml"/><Relationship Id="rId12" Type="http://schemas.openxmlformats.org/officeDocument/2006/relationships/image" Target="../media/image6.png"/><Relationship Id="rId17" Type="http://schemas.openxmlformats.org/officeDocument/2006/relationships/image" Target="../media/image11.png"/><Relationship Id="rId25" Type="http://schemas.openxmlformats.org/officeDocument/2006/relationships/image" Target="../media/image12.png"/><Relationship Id="rId33" Type="http://schemas.openxmlformats.org/officeDocument/2006/relationships/image" Target="../media/image20.png"/><Relationship Id="rId38" Type="http://schemas.openxmlformats.org/officeDocument/2006/relationships/customXml" Target="../ink/ink16.xml"/><Relationship Id="rId46" Type="http://schemas.openxmlformats.org/officeDocument/2006/relationships/customXml" Target="../ink/ink20.xml"/><Relationship Id="rId20" Type="http://schemas.openxmlformats.org/officeDocument/2006/relationships/image" Target="../media/image13.png"/><Relationship Id="rId41" Type="http://schemas.openxmlformats.org/officeDocument/2006/relationships/image" Target="../media/image24.png"/><Relationship Id="rId54" Type="http://schemas.openxmlformats.org/officeDocument/2006/relationships/customXml" Target="../ink/ink24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5" Type="http://schemas.openxmlformats.org/officeDocument/2006/relationships/image" Target="../media/image10.png"/><Relationship Id="rId23" Type="http://schemas.openxmlformats.org/officeDocument/2006/relationships/customXml" Target="../ink/ink9.xml"/><Relationship Id="rId28" Type="http://schemas.openxmlformats.org/officeDocument/2006/relationships/customXml" Target="../ink/ink11.xml"/><Relationship Id="rId36" Type="http://schemas.openxmlformats.org/officeDocument/2006/relationships/customXml" Target="../ink/ink15.xml"/><Relationship Id="rId49" Type="http://schemas.openxmlformats.org/officeDocument/2006/relationships/image" Target="../media/image28.png"/><Relationship Id="rId57" Type="http://schemas.openxmlformats.org/officeDocument/2006/relationships/image" Target="../media/image3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28.xml"/><Relationship Id="rId13" Type="http://schemas.openxmlformats.org/officeDocument/2006/relationships/image" Target="../media/image41.png"/><Relationship Id="rId3" Type="http://schemas.openxmlformats.org/officeDocument/2006/relationships/image" Target="../media/image120.png"/><Relationship Id="rId7" Type="http://schemas.openxmlformats.org/officeDocument/2006/relationships/image" Target="../media/image140.png"/><Relationship Id="rId12" Type="http://schemas.openxmlformats.org/officeDocument/2006/relationships/image" Target="../media/image40.png"/><Relationship Id="rId2" Type="http://schemas.openxmlformats.org/officeDocument/2006/relationships/customXml" Target="../ink/ink25.xml"/><Relationship Id="rId1" Type="http://schemas.openxmlformats.org/officeDocument/2006/relationships/image" Target="../media/image39.png"/><Relationship Id="rId6" Type="http://schemas.openxmlformats.org/officeDocument/2006/relationships/customXml" Target="../ink/ink27.xml"/><Relationship Id="rId11" Type="http://schemas.openxmlformats.org/officeDocument/2006/relationships/customXml" Target="../ink/ink30.xml"/><Relationship Id="rId5" Type="http://schemas.openxmlformats.org/officeDocument/2006/relationships/image" Target="../media/image130.png"/><Relationship Id="rId10" Type="http://schemas.openxmlformats.org/officeDocument/2006/relationships/customXml" Target="../ink/ink29.xml"/><Relationship Id="rId4" Type="http://schemas.openxmlformats.org/officeDocument/2006/relationships/customXml" Target="../ink/ink26.xml"/><Relationship Id="rId9" Type="http://schemas.openxmlformats.org/officeDocument/2006/relationships/image" Target="../media/image150.png"/><Relationship Id="rId14" Type="http://schemas.openxmlformats.org/officeDocument/2006/relationships/image" Target="../media/image4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13" Type="http://schemas.openxmlformats.org/officeDocument/2006/relationships/image" Target="../media/image41.png"/><Relationship Id="rId3" Type="http://schemas.openxmlformats.org/officeDocument/2006/relationships/image" Target="../media/image100.png"/><Relationship Id="rId7" Type="http://schemas.openxmlformats.org/officeDocument/2006/relationships/image" Target="../media/image410.png"/><Relationship Id="rId12" Type="http://schemas.openxmlformats.org/officeDocument/2006/relationships/image" Target="../media/image40.png"/><Relationship Id="rId1" Type="http://schemas.openxmlformats.org/officeDocument/2006/relationships/customXml" Target="../ink/ink31.xml"/><Relationship Id="rId6" Type="http://schemas.openxmlformats.org/officeDocument/2006/relationships/customXml" Target="../ink/ink32.xml"/><Relationship Id="rId11" Type="http://schemas.openxmlformats.org/officeDocument/2006/relationships/image" Target="../media/image42.png"/><Relationship Id="rId5" Type="http://schemas.openxmlformats.org/officeDocument/2006/relationships/image" Target="../media/image44.png"/><Relationship Id="rId15" Type="http://schemas.openxmlformats.org/officeDocument/2006/relationships/image" Target="../media/image49.png"/><Relationship Id="rId10" Type="http://schemas.openxmlformats.org/officeDocument/2006/relationships/image" Target="../media/image47.png"/><Relationship Id="rId4" Type="http://schemas.openxmlformats.org/officeDocument/2006/relationships/image" Target="../media/image43.png"/><Relationship Id="rId9" Type="http://schemas.openxmlformats.org/officeDocument/2006/relationships/image" Target="../media/image46.png"/><Relationship Id="rId14" Type="http://schemas.openxmlformats.org/officeDocument/2006/relationships/image" Target="../media/image4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42.png"/><Relationship Id="rId7" Type="http://schemas.openxmlformats.org/officeDocument/2006/relationships/image" Target="../media/image49.png"/><Relationship Id="rId2" Type="http://schemas.openxmlformats.org/officeDocument/2006/relationships/image" Target="../media/image47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5" Type="http://schemas.openxmlformats.org/officeDocument/2006/relationships/image" Target="../media/image40.png"/><Relationship Id="rId4" Type="http://schemas.openxmlformats.org/officeDocument/2006/relationships/image" Target="../media/image41.png"/><Relationship Id="rId9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4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463378</xdr:colOff>
      <xdr:row>0</xdr:row>
      <xdr:rowOff>109409</xdr:rowOff>
    </xdr:from>
    <xdr:to>
      <xdr:col>30</xdr:col>
      <xdr:colOff>281269</xdr:colOff>
      <xdr:row>27</xdr:row>
      <xdr:rowOff>164949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C05B4C89-6712-41FE-C034-F25508BE6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0141" y="109409"/>
          <a:ext cx="12152766" cy="5346842"/>
        </a:xfrm>
        <a:prstGeom prst="rect">
          <a:avLst/>
        </a:prstGeom>
      </xdr:spPr>
    </xdr:pic>
    <xdr:clientData/>
  </xdr:twoCellAnchor>
  <xdr:twoCellAnchor editAs="oneCell">
    <xdr:from>
      <xdr:col>14</xdr:col>
      <xdr:colOff>689043</xdr:colOff>
      <xdr:row>30</xdr:row>
      <xdr:rowOff>0</xdr:rowOff>
    </xdr:from>
    <xdr:to>
      <xdr:col>21</xdr:col>
      <xdr:colOff>491049</xdr:colOff>
      <xdr:row>67</xdr:row>
      <xdr:rowOff>169810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8CC2B7FC-BBD1-D2E0-E50F-51F5378C9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54762" y="5715000"/>
          <a:ext cx="5186400" cy="6915201"/>
        </a:xfrm>
        <a:prstGeom prst="rect">
          <a:avLst/>
        </a:prstGeom>
      </xdr:spPr>
    </xdr:pic>
    <xdr:clientData/>
  </xdr:twoCellAnchor>
  <xdr:twoCellAnchor editAs="oneCell">
    <xdr:from>
      <xdr:col>17</xdr:col>
      <xdr:colOff>209960</xdr:colOff>
      <xdr:row>42</xdr:row>
      <xdr:rowOff>39368</xdr:rowOff>
    </xdr:from>
    <xdr:to>
      <xdr:col>20</xdr:col>
      <xdr:colOff>267519</xdr:colOff>
      <xdr:row>61</xdr:row>
      <xdr:rowOff>72019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6B16D0BF-75BA-D4B8-854F-466BAAE7B365}"/>
                </a:ext>
              </a:extLst>
            </xdr14:cNvPr>
            <xdr14:cNvContentPartPr/>
          </xdr14:nvContentPartPr>
          <xdr14:nvPr macro=""/>
          <xdr14:xfrm>
            <a:off x="14415348" y="7866291"/>
            <a:ext cx="2373120" cy="3461760"/>
          </xdr14:xfrm>
        </xdr:contentPart>
      </mc:Choice>
      <mc:Fallback xmlns="">
        <xdr:pic>
          <xdr:nvPicPr>
            <xdr:cNvPr id="12" name="Encre 11">
              <a:extLst>
                <a:ext uri="{FF2B5EF4-FFF2-40B4-BE49-F238E27FC236}">
                  <a16:creationId xmlns:a16="http://schemas.microsoft.com/office/drawing/2014/main" id="{6B16D0BF-75BA-D4B8-854F-466BAAE7B36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397708" y="7830291"/>
              <a:ext cx="2408760" cy="353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262907</xdr:colOff>
      <xdr:row>38</xdr:row>
      <xdr:rowOff>75074</xdr:rowOff>
    </xdr:from>
    <xdr:to>
      <xdr:col>18</xdr:col>
      <xdr:colOff>151626</xdr:colOff>
      <xdr:row>44</xdr:row>
      <xdr:rowOff>18995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E81502C9-BFE3-FE26-8CA9-E3041D5B8951}"/>
                </a:ext>
              </a:extLst>
            </xdr14:cNvPr>
            <xdr14:cNvContentPartPr/>
          </xdr14:nvContentPartPr>
          <xdr14:nvPr macro=""/>
          <xdr14:xfrm>
            <a:off x="12924588" y="7179411"/>
            <a:ext cx="2204280" cy="1027800"/>
          </xdr14:xfrm>
        </xdr:contentPart>
      </mc:Choice>
      <mc:Fallback xmlns="">
        <xdr:pic>
          <xdr:nvPicPr>
            <xdr:cNvPr id="13" name="Encre 12">
              <a:extLst>
                <a:ext uri="{FF2B5EF4-FFF2-40B4-BE49-F238E27FC236}">
                  <a16:creationId xmlns:a16="http://schemas.microsoft.com/office/drawing/2014/main" id="{E81502C9-BFE3-FE26-8CA9-E3041D5B895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906588" y="7143771"/>
              <a:ext cx="2239920" cy="10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280748</xdr:colOff>
      <xdr:row>49</xdr:row>
      <xdr:rowOff>178060</xdr:rowOff>
    </xdr:from>
    <xdr:to>
      <xdr:col>18</xdr:col>
      <xdr:colOff>80502</xdr:colOff>
      <xdr:row>50</xdr:row>
      <xdr:rowOff>59107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39414D30-B5E1-C816-46FC-8CB2E5AB0CA9}"/>
                </a:ext>
              </a:extLst>
            </xdr14:cNvPr>
            <xdr14:cNvContentPartPr/>
          </xdr14:nvContentPartPr>
          <xdr14:nvPr macro=""/>
          <xdr14:xfrm>
            <a:off x="12930496" y="9357008"/>
            <a:ext cx="2112480" cy="6264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39414D30-B5E1-C816-46FC-8CB2E5AB0CA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912856" y="9321008"/>
              <a:ext cx="214812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272134</xdr:colOff>
      <xdr:row>48</xdr:row>
      <xdr:rowOff>36883</xdr:rowOff>
    </xdr:from>
    <xdr:to>
      <xdr:col>17</xdr:col>
      <xdr:colOff>436228</xdr:colOff>
      <xdr:row>48</xdr:row>
      <xdr:rowOff>130483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6" name="Encre 15">
              <a:extLst>
                <a:ext uri="{FF2B5EF4-FFF2-40B4-BE49-F238E27FC236}">
                  <a16:creationId xmlns:a16="http://schemas.microsoft.com/office/drawing/2014/main" id="{25EC36DC-2FB8-698C-AE17-1C2613627C39}"/>
                </a:ext>
              </a:extLst>
            </xdr14:cNvPr>
            <xdr14:cNvContentPartPr/>
          </xdr14:nvContentPartPr>
          <xdr14:nvPr macro=""/>
          <xdr14:xfrm>
            <a:off x="12911315" y="9076356"/>
            <a:ext cx="1701000" cy="93600"/>
          </xdr14:xfrm>
        </xdr:contentPart>
      </mc:Choice>
      <mc:Fallback xmlns="">
        <xdr:pic>
          <xdr:nvPicPr>
            <xdr:cNvPr id="16" name="Encre 15">
              <a:extLst>
                <a:ext uri="{FF2B5EF4-FFF2-40B4-BE49-F238E27FC236}">
                  <a16:creationId xmlns:a16="http://schemas.microsoft.com/office/drawing/2014/main" id="{25EC36DC-2FB8-698C-AE17-1C2613627C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893315" y="9040716"/>
              <a:ext cx="17366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379171</xdr:colOff>
      <xdr:row>57</xdr:row>
      <xdr:rowOff>151996</xdr:rowOff>
    </xdr:to>
    <xdr:pic>
      <xdr:nvPicPr>
        <xdr:cNvPr id="18" name="Image 3">
          <a:extLst>
            <a:ext uri="{FF2B5EF4-FFF2-40B4-BE49-F238E27FC236}">
              <a16:creationId xmlns:a16="http://schemas.microsoft.com/office/drawing/2014/main" id="{A84FD84A-2297-F563-AE06-1169DBD34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279444"/>
          <a:ext cx="4146309" cy="449539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69</xdr:row>
      <xdr:rowOff>0</xdr:rowOff>
    </xdr:from>
    <xdr:to>
      <xdr:col>22</xdr:col>
      <xdr:colOff>588569</xdr:colOff>
      <xdr:row>113</xdr:row>
      <xdr:rowOff>92941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CE981BE7-88CA-1E4F-D142-9260F650A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02045" y="13205115"/>
          <a:ext cx="5939601" cy="8341590"/>
        </a:xfrm>
        <a:prstGeom prst="rect">
          <a:avLst/>
        </a:prstGeom>
      </xdr:spPr>
    </xdr:pic>
    <xdr:clientData/>
  </xdr:twoCellAnchor>
  <xdr:twoCellAnchor editAs="oneCell">
    <xdr:from>
      <xdr:col>16</xdr:col>
      <xdr:colOff>710016</xdr:colOff>
      <xdr:row>47</xdr:row>
      <xdr:rowOff>118580</xdr:rowOff>
    </xdr:from>
    <xdr:to>
      <xdr:col>19</xdr:col>
      <xdr:colOff>194622</xdr:colOff>
      <xdr:row>61</xdr:row>
      <xdr:rowOff>90564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Encre 19">
              <a:extLst>
                <a:ext uri="{FF2B5EF4-FFF2-40B4-BE49-F238E27FC236}">
                  <a16:creationId xmlns:a16="http://schemas.microsoft.com/office/drawing/2014/main" id="{B33C24D8-11DA-5749-D13B-1C00A2974ECC}"/>
                </a:ext>
              </a:extLst>
            </xdr14:cNvPr>
            <xdr14:cNvContentPartPr/>
          </xdr14:nvContentPartPr>
          <xdr14:nvPr macro=""/>
          <xdr14:xfrm>
            <a:off x="14433995" y="8955386"/>
            <a:ext cx="1796040" cy="2517120"/>
          </xdr14:xfrm>
        </xdr:contentPart>
      </mc:Choice>
      <mc:Fallback xmlns="">
        <xdr:pic>
          <xdr:nvPicPr>
            <xdr:cNvPr id="20" name="Encre 19">
              <a:extLst>
                <a:ext uri="{FF2B5EF4-FFF2-40B4-BE49-F238E27FC236}">
                  <a16:creationId xmlns:a16="http://schemas.microsoft.com/office/drawing/2014/main" id="{B33C24D8-11DA-5749-D13B-1C00A2974EC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416457" y="8918688"/>
              <a:ext cx="1831474" cy="25901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490133</xdr:colOff>
      <xdr:row>41</xdr:row>
      <xdr:rowOff>42299</xdr:rowOff>
    </xdr:from>
    <xdr:to>
      <xdr:col>17</xdr:col>
      <xdr:colOff>140</xdr:colOff>
      <xdr:row>47</xdr:row>
      <xdr:rowOff>109726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1" name="Encre 20">
              <a:extLst>
                <a:ext uri="{FF2B5EF4-FFF2-40B4-BE49-F238E27FC236}">
                  <a16:creationId xmlns:a16="http://schemas.microsoft.com/office/drawing/2014/main" id="{58A77932-ABB6-6237-8FD2-8C4B30DA5EDA}"/>
                </a:ext>
              </a:extLst>
            </xdr14:cNvPr>
            <xdr14:cNvContentPartPr/>
          </xdr14:nvContentPartPr>
          <xdr14:nvPr macro=""/>
          <xdr14:xfrm>
            <a:off x="13443635" y="7786972"/>
            <a:ext cx="991440" cy="1159560"/>
          </xdr14:xfrm>
        </xdr:contentPart>
      </mc:Choice>
      <mc:Fallback xmlns="">
        <xdr:pic>
          <xdr:nvPicPr>
            <xdr:cNvPr id="21" name="Encre 20">
              <a:extLst>
                <a:ext uri="{FF2B5EF4-FFF2-40B4-BE49-F238E27FC236}">
                  <a16:creationId xmlns:a16="http://schemas.microsoft.com/office/drawing/2014/main" id="{58A77932-ABB6-6237-8FD2-8C4B30DA5ED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3425635" y="7751332"/>
              <a:ext cx="1027080" cy="12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257735</xdr:colOff>
      <xdr:row>80</xdr:row>
      <xdr:rowOff>117661</xdr:rowOff>
    </xdr:from>
    <xdr:to>
      <xdr:col>15</xdr:col>
      <xdr:colOff>186009</xdr:colOff>
      <xdr:row>101</xdr:row>
      <xdr:rowOff>131659</xdr:rowOff>
    </xdr:to>
    <xdr:pic>
      <xdr:nvPicPr>
        <xdr:cNvPr id="10" name="Image 23">
          <a:extLst>
            <a:ext uri="{FF2B5EF4-FFF2-40B4-BE49-F238E27FC236}">
              <a16:creationId xmlns:a16="http://schemas.microsoft.com/office/drawing/2014/main" id="{4491B4EC-B8A6-1D84-11BE-A6AEC0C91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071162" y="14758147"/>
          <a:ext cx="3914804" cy="3848128"/>
        </a:xfrm>
        <a:prstGeom prst="rect">
          <a:avLst/>
        </a:prstGeom>
      </xdr:spPr>
    </xdr:pic>
    <xdr:clientData/>
  </xdr:twoCellAnchor>
  <xdr:twoCellAnchor editAs="oneCell">
    <xdr:from>
      <xdr:col>30</xdr:col>
      <xdr:colOff>77787</xdr:colOff>
      <xdr:row>45</xdr:row>
      <xdr:rowOff>153090</xdr:rowOff>
    </xdr:from>
    <xdr:to>
      <xdr:col>31</xdr:col>
      <xdr:colOff>71199</xdr:colOff>
      <xdr:row>47</xdr:row>
      <xdr:rowOff>141384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4" name="Encre 23">
              <a:extLst>
                <a:ext uri="{FF2B5EF4-FFF2-40B4-BE49-F238E27FC236}">
                  <a16:creationId xmlns:a16="http://schemas.microsoft.com/office/drawing/2014/main" id="{5CC1AA93-A030-695D-C24C-3D34A4089EE1}"/>
                </a:ext>
              </a:extLst>
            </xdr14:cNvPr>
            <xdr14:cNvContentPartPr/>
          </xdr14:nvContentPartPr>
          <xdr14:nvPr macro=""/>
          <xdr14:xfrm>
            <a:off x="23055018" y="8994244"/>
            <a:ext cx="713160" cy="366120"/>
          </xdr14:xfrm>
        </xdr:contentPart>
      </mc:Choice>
      <mc:Fallback xmlns="">
        <xdr:pic>
          <xdr:nvPicPr>
            <xdr:cNvPr id="24" name="Encre 23">
              <a:extLst>
                <a:ext uri="{FF2B5EF4-FFF2-40B4-BE49-F238E27FC236}">
                  <a16:creationId xmlns:a16="http://schemas.microsoft.com/office/drawing/2014/main" id="{5CC1AA93-A030-695D-C24C-3D34A4089EE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048941" y="8988299"/>
              <a:ext cx="725314" cy="3780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248022</xdr:colOff>
      <xdr:row>45</xdr:row>
      <xdr:rowOff>74545</xdr:rowOff>
    </xdr:from>
    <xdr:to>
      <xdr:col>32</xdr:col>
      <xdr:colOff>274914</xdr:colOff>
      <xdr:row>46</xdr:row>
      <xdr:rowOff>172045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6" name="Encre 35">
              <a:extLst>
                <a:ext uri="{FF2B5EF4-FFF2-40B4-BE49-F238E27FC236}">
                  <a16:creationId xmlns:a16="http://schemas.microsoft.com/office/drawing/2014/main" id="{79B2E1A6-FA86-C75D-8938-D776DE0B1E4D}"/>
                </a:ext>
              </a:extLst>
            </xdr14:cNvPr>
            <xdr14:cNvContentPartPr/>
          </xdr14:nvContentPartPr>
          <xdr14:nvPr macro=""/>
          <xdr14:xfrm>
            <a:off x="23948176" y="8915699"/>
            <a:ext cx="746640" cy="288000"/>
          </xdr14:xfrm>
        </xdr:contentPart>
      </mc:Choice>
      <mc:Fallback xmlns="">
        <xdr:pic>
          <xdr:nvPicPr>
            <xdr:cNvPr id="36" name="Encre 35">
              <a:extLst>
                <a:ext uri="{FF2B5EF4-FFF2-40B4-BE49-F238E27FC236}">
                  <a16:creationId xmlns:a16="http://schemas.microsoft.com/office/drawing/2014/main" id="{79B2E1A6-FA86-C75D-8938-D776DE0B1E4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3942029" y="8909579"/>
              <a:ext cx="758933" cy="30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609187</xdr:colOff>
      <xdr:row>45</xdr:row>
      <xdr:rowOff>174985</xdr:rowOff>
    </xdr:from>
    <xdr:to>
      <xdr:col>34</xdr:col>
      <xdr:colOff>32676</xdr:colOff>
      <xdr:row>47</xdr:row>
      <xdr:rowOff>84799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3" name="Encre 42">
              <a:extLst>
                <a:ext uri="{FF2B5EF4-FFF2-40B4-BE49-F238E27FC236}">
                  <a16:creationId xmlns:a16="http://schemas.microsoft.com/office/drawing/2014/main" id="{F70FABB5-F9FC-4F11-1FC1-CD47F1C25C28}"/>
                </a:ext>
              </a:extLst>
            </xdr14:cNvPr>
            <xdr14:cNvContentPartPr/>
          </xdr14:nvContentPartPr>
          <xdr14:nvPr macro=""/>
          <xdr14:xfrm>
            <a:off x="25032264" y="9016139"/>
            <a:ext cx="866160" cy="287640"/>
          </xdr14:xfrm>
        </xdr:contentPart>
      </mc:Choice>
      <mc:Fallback xmlns="">
        <xdr:pic>
          <xdr:nvPicPr>
            <xdr:cNvPr id="43" name="Encre 42">
              <a:extLst>
                <a:ext uri="{FF2B5EF4-FFF2-40B4-BE49-F238E27FC236}">
                  <a16:creationId xmlns:a16="http://schemas.microsoft.com/office/drawing/2014/main" id="{F70FABB5-F9FC-4F11-1FC1-CD47F1C25C2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5026192" y="9010240"/>
              <a:ext cx="878304" cy="299437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40</xdr:col>
      <xdr:colOff>476250</xdr:colOff>
      <xdr:row>43</xdr:row>
      <xdr:rowOff>103188</xdr:rowOff>
    </xdr:from>
    <xdr:ext cx="1190625" cy="436786"/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AEE83AF4-03D8-13AE-6DF5-DBD3410CC2E6}"/>
            </a:ext>
          </a:extLst>
        </xdr:cNvPr>
        <xdr:cNvSpPr txBox="1"/>
      </xdr:nvSpPr>
      <xdr:spPr>
        <a:xfrm>
          <a:off x="30682712" y="8563342"/>
          <a:ext cx="119062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/>
            <a:t>54</a:t>
          </a:r>
        </a:p>
        <a:p>
          <a:endParaRPr lang="fr-FR" sz="1100"/>
        </a:p>
      </xdr:txBody>
    </xdr:sp>
    <xdr:clientData/>
  </xdr:oneCellAnchor>
  <xdr:oneCellAnchor>
    <xdr:from>
      <xdr:col>22</xdr:col>
      <xdr:colOff>148456</xdr:colOff>
      <xdr:row>34</xdr:row>
      <xdr:rowOff>13520</xdr:rowOff>
    </xdr:from>
    <xdr:ext cx="1190625" cy="264560"/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D68F42D9-1C62-488B-927C-C37E68CB849A}"/>
            </a:ext>
          </a:extLst>
        </xdr:cNvPr>
        <xdr:cNvSpPr txBox="1"/>
      </xdr:nvSpPr>
      <xdr:spPr>
        <a:xfrm>
          <a:off x="18517419" y="6452420"/>
          <a:ext cx="11906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/>
            <a:t>115</a:t>
          </a:r>
        </a:p>
      </xdr:txBody>
    </xdr:sp>
    <xdr:clientData/>
  </xdr:oneCellAnchor>
  <xdr:oneCellAnchor>
    <xdr:from>
      <xdr:col>39</xdr:col>
      <xdr:colOff>233363</xdr:colOff>
      <xdr:row>43</xdr:row>
      <xdr:rowOff>47625</xdr:rowOff>
    </xdr:from>
    <xdr:ext cx="1190625" cy="264560"/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B54D21D5-5532-429F-9EB3-C54AA2287BD2}"/>
            </a:ext>
          </a:extLst>
        </xdr:cNvPr>
        <xdr:cNvSpPr txBox="1"/>
      </xdr:nvSpPr>
      <xdr:spPr>
        <a:xfrm>
          <a:off x="31718251" y="8115300"/>
          <a:ext cx="11906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/>
            <a:t>545</a:t>
          </a:r>
        </a:p>
      </xdr:txBody>
    </xdr:sp>
    <xdr:clientData/>
  </xdr:oneCellAnchor>
  <xdr:twoCellAnchor editAs="oneCell">
    <xdr:from>
      <xdr:col>52</xdr:col>
      <xdr:colOff>63501</xdr:colOff>
      <xdr:row>20</xdr:row>
      <xdr:rowOff>61058</xdr:rowOff>
    </xdr:from>
    <xdr:to>
      <xdr:col>64</xdr:col>
      <xdr:colOff>588646</xdr:colOff>
      <xdr:row>65</xdr:row>
      <xdr:rowOff>145510</xdr:rowOff>
    </xdr:to>
    <xdr:pic>
      <xdr:nvPicPr>
        <xdr:cNvPr id="25" name="Image 1">
          <a:extLst>
            <a:ext uri="{FF2B5EF4-FFF2-40B4-BE49-F238E27FC236}">
              <a16:creationId xmlns:a16="http://schemas.microsoft.com/office/drawing/2014/main" id="{BA90849F-CC87-8698-B0E4-4A8BD4FEE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9628886" y="4164135"/>
          <a:ext cx="9132570" cy="8879202"/>
        </a:xfrm>
        <a:prstGeom prst="rect">
          <a:avLst/>
        </a:prstGeom>
      </xdr:spPr>
    </xdr:pic>
    <xdr:clientData/>
  </xdr:twoCellAnchor>
  <xdr:twoCellAnchor editAs="oneCell">
    <xdr:from>
      <xdr:col>29</xdr:col>
      <xdr:colOff>380990</xdr:colOff>
      <xdr:row>51</xdr:row>
      <xdr:rowOff>90893</xdr:rowOff>
    </xdr:from>
    <xdr:to>
      <xdr:col>29</xdr:col>
      <xdr:colOff>638325</xdr:colOff>
      <xdr:row>51</xdr:row>
      <xdr:rowOff>175853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614EC000-29F6-BB2C-3BE7-2C08516FF97F}"/>
                </a:ext>
              </a:extLst>
            </xdr14:cNvPr>
            <xdr14:cNvContentPartPr/>
          </xdr14:nvContentPartPr>
          <xdr14:nvPr macro=""/>
          <xdr14:xfrm>
            <a:off x="22635298" y="10075047"/>
            <a:ext cx="254160" cy="84960"/>
          </xdr14:xfrm>
        </xdr:contentPart>
      </mc:Choice>
      <mc:Fallback xmlns="">
        <xdr:pic>
          <xdr:nvPicPr>
            <xdr:cNvPr id="11" name="Encre 10">
              <a:extLst>
                <a:ext uri="{FF2B5EF4-FFF2-40B4-BE49-F238E27FC236}">
                  <a16:creationId xmlns:a16="http://schemas.microsoft.com/office/drawing/2014/main" id="{614EC000-29F6-BB2C-3BE7-2C08516FF97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2629178" y="10068927"/>
              <a:ext cx="26640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15568</xdr:colOff>
      <xdr:row>48</xdr:row>
      <xdr:rowOff>183593</xdr:rowOff>
    </xdr:from>
    <xdr:to>
      <xdr:col>28</xdr:col>
      <xdr:colOff>401913</xdr:colOff>
      <xdr:row>49</xdr:row>
      <xdr:rowOff>131333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Encre 26">
              <a:extLst>
                <a:ext uri="{FF2B5EF4-FFF2-40B4-BE49-F238E27FC236}">
                  <a16:creationId xmlns:a16="http://schemas.microsoft.com/office/drawing/2014/main" id="{9BF17E19-B51A-8AA1-D8AB-C33203F9074E}"/>
                </a:ext>
              </a:extLst>
            </xdr14:cNvPr>
            <xdr14:cNvContentPartPr/>
          </xdr14:nvContentPartPr>
          <xdr14:nvPr macro=""/>
          <xdr14:xfrm>
            <a:off x="21546953" y="9596247"/>
            <a:ext cx="386345" cy="138240"/>
          </xdr14:xfrm>
        </xdr:contentPart>
      </mc:Choice>
      <mc:Fallback xmlns="">
        <xdr:pic>
          <xdr:nvPicPr>
            <xdr:cNvPr id="27" name="Encre 26">
              <a:extLst>
                <a:ext uri="{FF2B5EF4-FFF2-40B4-BE49-F238E27FC236}">
                  <a16:creationId xmlns:a16="http://schemas.microsoft.com/office/drawing/2014/main" id="{9BF17E19-B51A-8AA1-D8AB-C33203F9074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1540826" y="9589980"/>
              <a:ext cx="398598" cy="1507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41706</xdr:colOff>
      <xdr:row>36</xdr:row>
      <xdr:rowOff>131818</xdr:rowOff>
    </xdr:from>
    <xdr:to>
      <xdr:col>40</xdr:col>
      <xdr:colOff>303426</xdr:colOff>
      <xdr:row>37</xdr:row>
      <xdr:rowOff>129957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1" name="Encre 30">
              <a:extLst>
                <a:ext uri="{FF2B5EF4-FFF2-40B4-BE49-F238E27FC236}">
                  <a16:creationId xmlns:a16="http://schemas.microsoft.com/office/drawing/2014/main" id="{CC441BA9-F73E-06C7-0ED6-604AB4F95DA7}"/>
                </a:ext>
              </a:extLst>
            </xdr14:cNvPr>
            <xdr14:cNvContentPartPr/>
          </xdr14:nvContentPartPr>
          <xdr14:nvPr macro=""/>
          <xdr14:xfrm>
            <a:off x="30248168" y="7258472"/>
            <a:ext cx="261720" cy="188640"/>
          </xdr14:xfrm>
        </xdr:contentPart>
      </mc:Choice>
      <mc:Fallback xmlns="">
        <xdr:pic>
          <xdr:nvPicPr>
            <xdr:cNvPr id="31" name="Encre 30">
              <a:extLst>
                <a:ext uri="{FF2B5EF4-FFF2-40B4-BE49-F238E27FC236}">
                  <a16:creationId xmlns:a16="http://schemas.microsoft.com/office/drawing/2014/main" id="{CC441BA9-F73E-06C7-0ED6-604AB4F95DA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242048" y="7252352"/>
              <a:ext cx="27396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38</xdr:col>
      <xdr:colOff>471208</xdr:colOff>
      <xdr:row>37</xdr:row>
      <xdr:rowOff>52558</xdr:rowOff>
    </xdr:from>
    <xdr:to>
      <xdr:col>39</xdr:col>
      <xdr:colOff>125860</xdr:colOff>
      <xdr:row>38</xdr:row>
      <xdr:rowOff>75473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8" name="Encre 37">
              <a:extLst>
                <a:ext uri="{FF2B5EF4-FFF2-40B4-BE49-F238E27FC236}">
                  <a16:creationId xmlns:a16="http://schemas.microsoft.com/office/drawing/2014/main" id="{69DE8FC4-1EA6-6899-6B97-3574E22DD111}"/>
                </a:ext>
              </a:extLst>
            </xdr14:cNvPr>
            <xdr14:cNvContentPartPr/>
          </xdr14:nvContentPartPr>
          <xdr14:nvPr macro=""/>
          <xdr14:xfrm>
            <a:off x="29231823" y="7369712"/>
            <a:ext cx="374400" cy="213415"/>
          </xdr14:xfrm>
        </xdr:contentPart>
      </mc:Choice>
      <mc:Fallback xmlns="">
        <xdr:pic>
          <xdr:nvPicPr>
            <xdr:cNvPr id="38" name="Encre 37">
              <a:extLst>
                <a:ext uri="{FF2B5EF4-FFF2-40B4-BE49-F238E27FC236}">
                  <a16:creationId xmlns:a16="http://schemas.microsoft.com/office/drawing/2014/main" id="{69DE8FC4-1EA6-6899-6B97-3574E22DD11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9225697" y="7363594"/>
              <a:ext cx="386652" cy="2256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49986</xdr:colOff>
      <xdr:row>37</xdr:row>
      <xdr:rowOff>53638</xdr:rowOff>
    </xdr:from>
    <xdr:to>
      <xdr:col>37</xdr:col>
      <xdr:colOff>524826</xdr:colOff>
      <xdr:row>38</xdr:row>
      <xdr:rowOff>41338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8" name="Encre 47">
              <a:extLst>
                <a:ext uri="{FF2B5EF4-FFF2-40B4-BE49-F238E27FC236}">
                  <a16:creationId xmlns:a16="http://schemas.microsoft.com/office/drawing/2014/main" id="{17C10BB6-E3CD-E8E2-DF66-4576C0460A1B}"/>
                </a:ext>
              </a:extLst>
            </xdr14:cNvPr>
            <xdr14:cNvContentPartPr/>
          </xdr14:nvContentPartPr>
          <xdr14:nvPr macro=""/>
          <xdr14:xfrm>
            <a:off x="28087678" y="7370792"/>
            <a:ext cx="471665" cy="178200"/>
          </xdr14:xfrm>
        </xdr:contentPart>
      </mc:Choice>
      <mc:Fallback xmlns="">
        <xdr:pic>
          <xdr:nvPicPr>
            <xdr:cNvPr id="48" name="Encre 47">
              <a:extLst>
                <a:ext uri="{FF2B5EF4-FFF2-40B4-BE49-F238E27FC236}">
                  <a16:creationId xmlns:a16="http://schemas.microsoft.com/office/drawing/2014/main" id="{17C10BB6-E3CD-E8E2-DF66-4576C0460A1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8081557" y="7364684"/>
              <a:ext cx="483907" cy="1904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76439</xdr:colOff>
      <xdr:row>37</xdr:row>
      <xdr:rowOff>32333</xdr:rowOff>
    </xdr:from>
    <xdr:to>
      <xdr:col>36</xdr:col>
      <xdr:colOff>492959</xdr:colOff>
      <xdr:row>38</xdr:row>
      <xdr:rowOff>33288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4" name="Encre 53">
              <a:extLst>
                <a:ext uri="{FF2B5EF4-FFF2-40B4-BE49-F238E27FC236}">
                  <a16:creationId xmlns:a16="http://schemas.microsoft.com/office/drawing/2014/main" id="{3D82946F-56AB-545F-A12F-A2C31B6B4265}"/>
                </a:ext>
              </a:extLst>
            </xdr14:cNvPr>
            <xdr14:cNvContentPartPr/>
          </xdr14:nvContentPartPr>
          <xdr14:nvPr macro=""/>
          <xdr14:xfrm>
            <a:off x="27391208" y="7349487"/>
            <a:ext cx="416520" cy="188280"/>
          </xdr14:xfrm>
        </xdr:contentPart>
      </mc:Choice>
      <mc:Fallback xmlns="">
        <xdr:pic>
          <xdr:nvPicPr>
            <xdr:cNvPr id="54" name="Encre 53">
              <a:extLst>
                <a:ext uri="{FF2B5EF4-FFF2-40B4-BE49-F238E27FC236}">
                  <a16:creationId xmlns:a16="http://schemas.microsoft.com/office/drawing/2014/main" id="{3D82946F-56AB-545F-A12F-A2C31B6B426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385088" y="7343367"/>
              <a:ext cx="42876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453610</xdr:colOff>
      <xdr:row>37</xdr:row>
      <xdr:rowOff>71573</xdr:rowOff>
    </xdr:from>
    <xdr:to>
      <xdr:col>35</xdr:col>
      <xdr:colOff>182552</xdr:colOff>
      <xdr:row>38</xdr:row>
      <xdr:rowOff>51288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3" name="Encre 62">
              <a:extLst>
                <a:ext uri="{FF2B5EF4-FFF2-40B4-BE49-F238E27FC236}">
                  <a16:creationId xmlns:a16="http://schemas.microsoft.com/office/drawing/2014/main" id="{B8E79FB9-EBFA-FCD8-F1FE-44DFD7D80400}"/>
                </a:ext>
              </a:extLst>
            </xdr14:cNvPr>
            <xdr14:cNvContentPartPr/>
          </xdr14:nvContentPartPr>
          <xdr14:nvPr macro=""/>
          <xdr14:xfrm>
            <a:off x="26322533" y="7388727"/>
            <a:ext cx="448690" cy="167040"/>
          </xdr14:xfrm>
        </xdr:contentPart>
      </mc:Choice>
      <mc:Fallback xmlns="">
        <xdr:pic>
          <xdr:nvPicPr>
            <xdr:cNvPr id="63" name="Encre 62">
              <a:extLst>
                <a:ext uri="{FF2B5EF4-FFF2-40B4-BE49-F238E27FC236}">
                  <a16:creationId xmlns:a16="http://schemas.microsoft.com/office/drawing/2014/main" id="{B8E79FB9-EBFA-FCD8-F1FE-44DFD7D8040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6316406" y="7382607"/>
              <a:ext cx="460943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580971</xdr:colOff>
      <xdr:row>37</xdr:row>
      <xdr:rowOff>73078</xdr:rowOff>
    </xdr:from>
    <xdr:to>
      <xdr:col>32</xdr:col>
      <xdr:colOff>665931</xdr:colOff>
      <xdr:row>38</xdr:row>
      <xdr:rowOff>48113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4" name="Encre 63">
              <a:extLst>
                <a:ext uri="{FF2B5EF4-FFF2-40B4-BE49-F238E27FC236}">
                  <a16:creationId xmlns:a16="http://schemas.microsoft.com/office/drawing/2014/main" id="{0E98B85D-E405-DBD9-2887-E389FEBFA5E4}"/>
                </a:ext>
              </a:extLst>
            </xdr14:cNvPr>
            <xdr14:cNvContentPartPr/>
          </xdr14:nvContentPartPr>
          <xdr14:nvPr macro=""/>
          <xdr14:xfrm>
            <a:off x="25004048" y="7390232"/>
            <a:ext cx="84960" cy="162360"/>
          </xdr14:xfrm>
        </xdr:contentPart>
      </mc:Choice>
      <mc:Fallback xmlns="">
        <xdr:pic>
          <xdr:nvPicPr>
            <xdr:cNvPr id="64" name="Encre 63">
              <a:extLst>
                <a:ext uri="{FF2B5EF4-FFF2-40B4-BE49-F238E27FC236}">
                  <a16:creationId xmlns:a16="http://schemas.microsoft.com/office/drawing/2014/main" id="{0E98B85D-E405-DBD9-2887-E389FEBFA5E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4997928" y="7384112"/>
              <a:ext cx="9720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36183</xdr:colOff>
      <xdr:row>37</xdr:row>
      <xdr:rowOff>53638</xdr:rowOff>
    </xdr:from>
    <xdr:to>
      <xdr:col>33</xdr:col>
      <xdr:colOff>260398</xdr:colOff>
      <xdr:row>38</xdr:row>
      <xdr:rowOff>53808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9" name="Encre 68">
              <a:extLst>
                <a:ext uri="{FF2B5EF4-FFF2-40B4-BE49-F238E27FC236}">
                  <a16:creationId xmlns:a16="http://schemas.microsoft.com/office/drawing/2014/main" id="{14CCF3AB-0FA8-27EB-189F-0F47B1F4C5C2}"/>
                </a:ext>
              </a:extLst>
            </xdr14:cNvPr>
            <xdr14:cNvContentPartPr/>
          </xdr14:nvContentPartPr>
          <xdr14:nvPr macro=""/>
          <xdr14:xfrm>
            <a:off x="25182183" y="7370792"/>
            <a:ext cx="221040" cy="187495"/>
          </xdr14:xfrm>
        </xdr:contentPart>
      </mc:Choice>
      <mc:Fallback xmlns="">
        <xdr:pic>
          <xdr:nvPicPr>
            <xdr:cNvPr id="69" name="Encre 68">
              <a:extLst>
                <a:ext uri="{FF2B5EF4-FFF2-40B4-BE49-F238E27FC236}">
                  <a16:creationId xmlns:a16="http://schemas.microsoft.com/office/drawing/2014/main" id="{14CCF3AB-0FA8-27EB-189F-0F47B1F4C5C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5175972" y="7364554"/>
              <a:ext cx="233462" cy="1999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342608</xdr:colOff>
      <xdr:row>37</xdr:row>
      <xdr:rowOff>91013</xdr:rowOff>
    </xdr:from>
    <xdr:to>
      <xdr:col>33</xdr:col>
      <xdr:colOff>453063</xdr:colOff>
      <xdr:row>38</xdr:row>
      <xdr:rowOff>54233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4" name="Encre 73">
              <a:extLst>
                <a:ext uri="{FF2B5EF4-FFF2-40B4-BE49-F238E27FC236}">
                  <a16:creationId xmlns:a16="http://schemas.microsoft.com/office/drawing/2014/main" id="{B001BDDC-E6E1-D069-B565-DC85C88ABC34}"/>
                </a:ext>
              </a:extLst>
            </xdr14:cNvPr>
            <xdr14:cNvContentPartPr/>
          </xdr14:nvContentPartPr>
          <xdr14:nvPr macro=""/>
          <xdr14:xfrm>
            <a:off x="25488608" y="7408167"/>
            <a:ext cx="110455" cy="153720"/>
          </xdr14:xfrm>
        </xdr:contentPart>
      </mc:Choice>
      <mc:Fallback xmlns="">
        <xdr:pic>
          <xdr:nvPicPr>
            <xdr:cNvPr id="74" name="Encre 73">
              <a:extLst>
                <a:ext uri="{FF2B5EF4-FFF2-40B4-BE49-F238E27FC236}">
                  <a16:creationId xmlns:a16="http://schemas.microsoft.com/office/drawing/2014/main" id="{B001BDDC-E6E1-D069-B565-DC85C88ABC3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5482511" y="7401930"/>
              <a:ext cx="122648" cy="1661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223894</xdr:colOff>
      <xdr:row>37</xdr:row>
      <xdr:rowOff>34003</xdr:rowOff>
    </xdr:from>
    <xdr:to>
      <xdr:col>32</xdr:col>
      <xdr:colOff>3261</xdr:colOff>
      <xdr:row>38</xdr:row>
      <xdr:rowOff>80513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6" name="Encre 85">
              <a:extLst>
                <a:ext uri="{FF2B5EF4-FFF2-40B4-BE49-F238E27FC236}">
                  <a16:creationId xmlns:a16="http://schemas.microsoft.com/office/drawing/2014/main" id="{6CCED4C6-C732-538F-363F-3C23334C6FA4}"/>
                </a:ext>
              </a:extLst>
            </xdr14:cNvPr>
            <xdr14:cNvContentPartPr/>
          </xdr14:nvContentPartPr>
          <xdr14:nvPr macro=""/>
          <xdr14:xfrm>
            <a:off x="23924048" y="7351157"/>
            <a:ext cx="489175" cy="237010"/>
          </xdr14:xfrm>
        </xdr:contentPart>
      </mc:Choice>
      <mc:Fallback xmlns="">
        <xdr:pic>
          <xdr:nvPicPr>
            <xdr:cNvPr id="86" name="Encre 85">
              <a:extLst>
                <a:ext uri="{FF2B5EF4-FFF2-40B4-BE49-F238E27FC236}">
                  <a16:creationId xmlns:a16="http://schemas.microsoft.com/office/drawing/2014/main" id="{6CCED4C6-C732-538F-363F-3C23334C6FA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3917929" y="7345043"/>
              <a:ext cx="501413" cy="2492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624170</xdr:colOff>
      <xdr:row>37</xdr:row>
      <xdr:rowOff>109373</xdr:rowOff>
    </xdr:from>
    <xdr:to>
      <xdr:col>30</xdr:col>
      <xdr:colOff>480257</xdr:colOff>
      <xdr:row>38</xdr:row>
      <xdr:rowOff>110753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4" name="Encre 93">
              <a:extLst>
                <a:ext uri="{FF2B5EF4-FFF2-40B4-BE49-F238E27FC236}">
                  <a16:creationId xmlns:a16="http://schemas.microsoft.com/office/drawing/2014/main" id="{4AD72CBE-0FA0-7D0D-BED3-A7DB889CF323}"/>
                </a:ext>
              </a:extLst>
            </xdr14:cNvPr>
            <xdr14:cNvContentPartPr/>
          </xdr14:nvContentPartPr>
          <xdr14:nvPr macro=""/>
          <xdr14:xfrm>
            <a:off x="22878478" y="7426527"/>
            <a:ext cx="579010" cy="191880"/>
          </xdr14:xfrm>
        </xdr:contentPart>
      </mc:Choice>
      <mc:Fallback xmlns="">
        <xdr:pic>
          <xdr:nvPicPr>
            <xdr:cNvPr id="94" name="Encre 93">
              <a:extLst>
                <a:ext uri="{FF2B5EF4-FFF2-40B4-BE49-F238E27FC236}">
                  <a16:creationId xmlns:a16="http://schemas.microsoft.com/office/drawing/2014/main" id="{4AD72CBE-0FA0-7D0D-BED3-A7DB889CF32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2872353" y="7420314"/>
              <a:ext cx="591260" cy="2043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249223</xdr:colOff>
      <xdr:row>36</xdr:row>
      <xdr:rowOff>168833</xdr:rowOff>
    </xdr:from>
    <xdr:to>
      <xdr:col>29</xdr:col>
      <xdr:colOff>164810</xdr:colOff>
      <xdr:row>38</xdr:row>
      <xdr:rowOff>51647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02" name="Encre 101">
              <a:extLst>
                <a:ext uri="{FF2B5EF4-FFF2-40B4-BE49-F238E27FC236}">
                  <a16:creationId xmlns:a16="http://schemas.microsoft.com/office/drawing/2014/main" id="{7239CA62-25B5-C3E8-0877-B4BCD57F523B}"/>
                </a:ext>
              </a:extLst>
            </xdr14:cNvPr>
            <xdr14:cNvContentPartPr/>
          </xdr14:nvContentPartPr>
          <xdr14:nvPr macro=""/>
          <xdr14:xfrm>
            <a:off x="21780608" y="7295487"/>
            <a:ext cx="635335" cy="260640"/>
          </xdr14:xfrm>
        </xdr:contentPart>
      </mc:Choice>
      <mc:Fallback xmlns="">
        <xdr:pic>
          <xdr:nvPicPr>
            <xdr:cNvPr id="102" name="Encre 101">
              <a:extLst>
                <a:ext uri="{FF2B5EF4-FFF2-40B4-BE49-F238E27FC236}">
                  <a16:creationId xmlns:a16="http://schemas.microsoft.com/office/drawing/2014/main" id="{7239CA62-25B5-C3E8-0877-B4BCD57F523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1774492" y="7289359"/>
              <a:ext cx="647567" cy="2728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556793</xdr:colOff>
      <xdr:row>40</xdr:row>
      <xdr:rowOff>154978</xdr:rowOff>
    </xdr:from>
    <xdr:to>
      <xdr:col>27</xdr:col>
      <xdr:colOff>1660</xdr:colOff>
      <xdr:row>42</xdr:row>
      <xdr:rowOff>57234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1" name="Encre 110">
              <a:extLst>
                <a:ext uri="{FF2B5EF4-FFF2-40B4-BE49-F238E27FC236}">
                  <a16:creationId xmlns:a16="http://schemas.microsoft.com/office/drawing/2014/main" id="{EC075D29-E230-96B3-E5D5-75809AEA438F}"/>
                </a:ext>
              </a:extLst>
            </xdr14:cNvPr>
            <xdr14:cNvContentPartPr/>
          </xdr14:nvContentPartPr>
          <xdr14:nvPr macro=""/>
          <xdr14:xfrm>
            <a:off x="19919408" y="8043632"/>
            <a:ext cx="872640" cy="283255"/>
          </xdr14:xfrm>
        </xdr:contentPart>
      </mc:Choice>
      <mc:Fallback xmlns="">
        <xdr:pic>
          <xdr:nvPicPr>
            <xdr:cNvPr id="111" name="Encre 110">
              <a:extLst>
                <a:ext uri="{FF2B5EF4-FFF2-40B4-BE49-F238E27FC236}">
                  <a16:creationId xmlns:a16="http://schemas.microsoft.com/office/drawing/2014/main" id="{EC075D29-E230-96B3-E5D5-75809AEA438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9913291" y="8037513"/>
              <a:ext cx="884875" cy="2954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535869</xdr:colOff>
      <xdr:row>53</xdr:row>
      <xdr:rowOff>15499</xdr:rowOff>
    </xdr:from>
    <xdr:to>
      <xdr:col>36</xdr:col>
      <xdr:colOff>679116</xdr:colOff>
      <xdr:row>67</xdr:row>
      <xdr:rowOff>15149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6" name="Encre 25">
              <a:extLst>
                <a:ext uri="{FF2B5EF4-FFF2-40B4-BE49-F238E27FC236}">
                  <a16:creationId xmlns:a16="http://schemas.microsoft.com/office/drawing/2014/main" id="{C337F5CF-52C4-DCF8-7378-8BCD3A80D7D2}"/>
                </a:ext>
              </a:extLst>
            </xdr14:cNvPr>
            <xdr14:cNvContentPartPr/>
          </xdr14:nvContentPartPr>
          <xdr14:nvPr macro=""/>
          <xdr14:xfrm>
            <a:off x="20674440" y="10375070"/>
            <a:ext cx="7397215" cy="2666650"/>
          </xdr14:xfrm>
        </xdr:contentPart>
      </mc:Choice>
      <mc:Fallback xmlns="">
        <xdr:pic>
          <xdr:nvPicPr>
            <xdr:cNvPr id="26" name="Encre 25">
              <a:extLst>
                <a:ext uri="{FF2B5EF4-FFF2-40B4-BE49-F238E27FC236}">
                  <a16:creationId xmlns:a16="http://schemas.microsoft.com/office/drawing/2014/main" id="{C337F5CF-52C4-DCF8-7378-8BCD3A80D7D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0668297" y="10369020"/>
              <a:ext cx="7409502" cy="2678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198438</xdr:colOff>
      <xdr:row>28</xdr:row>
      <xdr:rowOff>58208</xdr:rowOff>
    </xdr:from>
    <xdr:to>
      <xdr:col>51</xdr:col>
      <xdr:colOff>328125</xdr:colOff>
      <xdr:row>69</xdr:row>
      <xdr:rowOff>96908</xdr:rowOff>
    </xdr:to>
    <xdr:pic>
      <xdr:nvPicPr>
        <xdr:cNvPr id="29" name="Image 4">
          <a:extLst>
            <a:ext uri="{FF2B5EF4-FFF2-40B4-BE49-F238E27FC236}">
              <a16:creationId xmlns:a16="http://schemas.microsoft.com/office/drawing/2014/main" id="{E7B5B035-4E92-BF3E-CE75-EB4D1D574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7248188" y="5749396"/>
          <a:ext cx="20846562" cy="7896825"/>
        </a:xfrm>
        <a:prstGeom prst="rect">
          <a:avLst/>
        </a:prstGeom>
      </xdr:spPr>
    </xdr:pic>
    <xdr:clientData/>
  </xdr:twoCellAnchor>
  <xdr:twoCellAnchor editAs="oneCell">
    <xdr:from>
      <xdr:col>31</xdr:col>
      <xdr:colOff>195385</xdr:colOff>
      <xdr:row>11</xdr:row>
      <xdr:rowOff>97694</xdr:rowOff>
    </xdr:from>
    <xdr:to>
      <xdr:col>41</xdr:col>
      <xdr:colOff>476983</xdr:colOff>
      <xdr:row>27</xdr:row>
      <xdr:rowOff>61350</xdr:rowOff>
    </xdr:to>
    <xdr:pic>
      <xdr:nvPicPr>
        <xdr:cNvPr id="32" name="Image 6">
          <a:extLst>
            <a:ext uri="{FF2B5EF4-FFF2-40B4-BE49-F238E27FC236}">
              <a16:creationId xmlns:a16="http://schemas.microsoft.com/office/drawing/2014/main" id="{D1AF413E-C70B-49C0-0B19-EADF4C9D1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374231" y="2442309"/>
          <a:ext cx="7453923" cy="31958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67213</xdr:colOff>
      <xdr:row>6</xdr:row>
      <xdr:rowOff>139311</xdr:rowOff>
    </xdr:from>
    <xdr:to>
      <xdr:col>34</xdr:col>
      <xdr:colOff>213947</xdr:colOff>
      <xdr:row>33</xdr:row>
      <xdr:rowOff>76802</xdr:rowOff>
    </xdr:to>
    <xdr:pic>
      <xdr:nvPicPr>
        <xdr:cNvPr id="11" name="Image 3">
          <a:extLst>
            <a:ext uri="{FF2B5EF4-FFF2-40B4-BE49-F238E27FC236}">
              <a16:creationId xmlns:a16="http://schemas.microsoft.com/office/drawing/2014/main" id="{F10831D6-652E-C14A-CBDD-C1B302F54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7096" y="1419233"/>
          <a:ext cx="5302934" cy="5017491"/>
        </a:xfrm>
        <a:prstGeom prst="rect">
          <a:avLst/>
        </a:prstGeom>
      </xdr:spPr>
    </xdr:pic>
    <xdr:clientData/>
  </xdr:twoCellAnchor>
  <xdr:twoCellAnchor editAs="oneCell">
    <xdr:from>
      <xdr:col>35</xdr:col>
      <xdr:colOff>119611</xdr:colOff>
      <xdr:row>7</xdr:row>
      <xdr:rowOff>16180</xdr:rowOff>
    </xdr:from>
    <xdr:to>
      <xdr:col>42</xdr:col>
      <xdr:colOff>133219</xdr:colOff>
      <xdr:row>35</xdr:row>
      <xdr:rowOff>37799</xdr:rowOff>
    </xdr:to>
    <xdr:pic>
      <xdr:nvPicPr>
        <xdr:cNvPr id="2" name="Image 4">
          <a:extLst>
            <a:ext uri="{FF2B5EF4-FFF2-40B4-BE49-F238E27FC236}">
              <a16:creationId xmlns:a16="http://schemas.microsoft.com/office/drawing/2014/main" id="{885FD6A3-0E22-8C75-9CFE-A74D62148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85431" y="1489578"/>
          <a:ext cx="5169808" cy="5279419"/>
        </a:xfrm>
        <a:prstGeom prst="rect">
          <a:avLst/>
        </a:prstGeom>
      </xdr:spPr>
    </xdr:pic>
    <xdr:clientData/>
  </xdr:twoCellAnchor>
  <xdr:twoCellAnchor editAs="oneCell">
    <xdr:from>
      <xdr:col>43</xdr:col>
      <xdr:colOff>638419</xdr:colOff>
      <xdr:row>7</xdr:row>
      <xdr:rowOff>52265</xdr:rowOff>
    </xdr:from>
    <xdr:to>
      <xdr:col>51</xdr:col>
      <xdr:colOff>499550</xdr:colOff>
      <xdr:row>34</xdr:row>
      <xdr:rowOff>52309</xdr:rowOff>
    </xdr:to>
    <xdr:pic>
      <xdr:nvPicPr>
        <xdr:cNvPr id="12" name="Image 5">
          <a:extLst>
            <a:ext uri="{FF2B5EF4-FFF2-40B4-BE49-F238E27FC236}">
              <a16:creationId xmlns:a16="http://schemas.microsoft.com/office/drawing/2014/main" id="{F6069E0D-4B24-9068-FF1F-5298ECAEA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69957" y="1517650"/>
          <a:ext cx="5527285" cy="5324274"/>
        </a:xfrm>
        <a:prstGeom prst="rect">
          <a:avLst/>
        </a:prstGeom>
      </xdr:spPr>
    </xdr:pic>
    <xdr:clientData/>
  </xdr:twoCellAnchor>
  <xdr:twoCellAnchor editAs="oneCell">
    <xdr:from>
      <xdr:col>19</xdr:col>
      <xdr:colOff>150184</xdr:colOff>
      <xdr:row>7</xdr:row>
      <xdr:rowOff>82719</xdr:rowOff>
    </xdr:from>
    <xdr:to>
      <xdr:col>26</xdr:col>
      <xdr:colOff>699969</xdr:colOff>
      <xdr:row>28</xdr:row>
      <xdr:rowOff>111354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E3435FF1-6938-5009-FAA0-E08965B88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96634" y="1512681"/>
          <a:ext cx="5705985" cy="3991035"/>
        </a:xfrm>
        <a:prstGeom prst="rect">
          <a:avLst/>
        </a:prstGeom>
      </xdr:spPr>
    </xdr:pic>
    <xdr:clientData/>
  </xdr:twoCellAnchor>
  <xdr:oneCellAnchor>
    <xdr:from>
      <xdr:col>17</xdr:col>
      <xdr:colOff>208329</xdr:colOff>
      <xdr:row>23</xdr:row>
      <xdr:rowOff>19050</xdr:rowOff>
    </xdr:from>
    <xdr:ext cx="65" cy="172227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A84399F1-4ABA-4554-DCBF-253260492015}"/>
            </a:ext>
          </a:extLst>
        </xdr:cNvPr>
        <xdr:cNvSpPr txBox="1"/>
      </xdr:nvSpPr>
      <xdr:spPr>
        <a:xfrm>
          <a:off x="14520252" y="41343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BE" sz="1100"/>
        </a:p>
      </xdr:txBody>
    </xdr:sp>
    <xdr:clientData/>
  </xdr:oneCellAnchor>
  <xdr:oneCellAnchor>
    <xdr:from>
      <xdr:col>17</xdr:col>
      <xdr:colOff>208329</xdr:colOff>
      <xdr:row>23</xdr:row>
      <xdr:rowOff>19050</xdr:rowOff>
    </xdr:from>
    <xdr:ext cx="65" cy="172227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7E5F4F29-93CD-B51E-F959-A4DE5EF4F5E0}"/>
            </a:ext>
          </a:extLst>
        </xdr:cNvPr>
        <xdr:cNvSpPr txBox="1"/>
      </xdr:nvSpPr>
      <xdr:spPr>
        <a:xfrm>
          <a:off x="14520252" y="41343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BE" sz="1100"/>
        </a:p>
      </xdr:txBody>
    </xdr:sp>
    <xdr:clientData/>
  </xdr:oneCellAnchor>
  <xdr:twoCellAnchor editAs="oneCell">
    <xdr:from>
      <xdr:col>19</xdr:col>
      <xdr:colOff>236517</xdr:colOff>
      <xdr:row>36</xdr:row>
      <xdr:rowOff>26994</xdr:rowOff>
    </xdr:from>
    <xdr:to>
      <xdr:col>25</xdr:col>
      <xdr:colOff>488743</xdr:colOff>
      <xdr:row>56</xdr:row>
      <xdr:rowOff>26713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CB2745C-FABF-EC2A-F73F-862890A50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69594" y="7207379"/>
          <a:ext cx="4501841" cy="4102796"/>
        </a:xfrm>
        <a:prstGeom prst="rect">
          <a:avLst/>
        </a:prstGeom>
      </xdr:spPr>
    </xdr:pic>
    <xdr:clientData/>
  </xdr:twoCellAnchor>
  <xdr:twoCellAnchor editAs="oneCell">
    <xdr:from>
      <xdr:col>1</xdr:col>
      <xdr:colOff>341923</xdr:colOff>
      <xdr:row>61</xdr:row>
      <xdr:rowOff>146539</xdr:rowOff>
    </xdr:from>
    <xdr:to>
      <xdr:col>6</xdr:col>
      <xdr:colOff>306968</xdr:colOff>
      <xdr:row>93</xdr:row>
      <xdr:rowOff>609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E39BDCB4-614B-9C43-1193-4BC8700FC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0192" y="12406924"/>
          <a:ext cx="3286584" cy="61063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15</xdr:row>
      <xdr:rowOff>0</xdr:rowOff>
    </xdr:from>
    <xdr:to>
      <xdr:col>38</xdr:col>
      <xdr:colOff>304800</xdr:colOff>
      <xdr:row>16</xdr:row>
      <xdr:rowOff>130174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595F213D-BD24-5C1D-C6C2-9BE940BFF9D8}"/>
            </a:ext>
          </a:extLst>
        </xdr:cNvPr>
        <xdr:cNvSpPr>
          <a:spLocks noChangeAspect="1" noChangeArrowheads="1"/>
        </xdr:cNvSpPr>
      </xdr:nvSpPr>
      <xdr:spPr bwMode="auto">
        <a:xfrm>
          <a:off x="29718000" y="29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15</xdr:row>
      <xdr:rowOff>0</xdr:rowOff>
    </xdr:from>
    <xdr:to>
      <xdr:col>38</xdr:col>
      <xdr:colOff>304800</xdr:colOff>
      <xdr:row>16</xdr:row>
      <xdr:rowOff>130174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9D4DF1C7-21FF-4418-175A-8EA3CBEF872D}"/>
            </a:ext>
          </a:extLst>
        </xdr:cNvPr>
        <xdr:cNvSpPr>
          <a:spLocks noChangeAspect="1" noChangeArrowheads="1"/>
        </xdr:cNvSpPr>
      </xdr:nvSpPr>
      <xdr:spPr bwMode="auto">
        <a:xfrm>
          <a:off x="29718000" y="29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304800</xdr:colOff>
      <xdr:row>20</xdr:row>
      <xdr:rowOff>130176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873CAFB4-4034-209F-13CF-4EFA6635169B}"/>
            </a:ext>
          </a:extLst>
        </xdr:cNvPr>
        <xdr:cNvSpPr>
          <a:spLocks noChangeAspect="1" noChangeArrowheads="1"/>
        </xdr:cNvSpPr>
      </xdr:nvSpPr>
      <xdr:spPr bwMode="auto">
        <a:xfrm>
          <a:off x="289560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304800</xdr:colOff>
      <xdr:row>27</xdr:row>
      <xdr:rowOff>114300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BF4E3F75-DAEE-715A-9411-76C33E2A537E}"/>
            </a:ext>
          </a:extLst>
        </xdr:cNvPr>
        <xdr:cNvSpPr>
          <a:spLocks noChangeAspect="1" noChangeArrowheads="1"/>
        </xdr:cNvSpPr>
      </xdr:nvSpPr>
      <xdr:spPr bwMode="auto">
        <a:xfrm>
          <a:off x="193167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635000</xdr:colOff>
      <xdr:row>25</xdr:row>
      <xdr:rowOff>136072</xdr:rowOff>
    </xdr:from>
    <xdr:to>
      <xdr:col>61</xdr:col>
      <xdr:colOff>165102</xdr:colOff>
      <xdr:row>61</xdr:row>
      <xdr:rowOff>15784</xdr:rowOff>
    </xdr:to>
    <xdr:pic>
      <xdr:nvPicPr>
        <xdr:cNvPr id="6" name="Image 3">
          <a:extLst>
            <a:ext uri="{FF2B5EF4-FFF2-40B4-BE49-F238E27FC236}">
              <a16:creationId xmlns:a16="http://schemas.microsoft.com/office/drawing/2014/main" id="{0F0425B9-F6F1-6195-4AFE-8459B6812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48571" y="5034643"/>
          <a:ext cx="12560302" cy="6463392"/>
        </a:xfrm>
        <a:prstGeom prst="rect">
          <a:avLst/>
        </a:prstGeom>
      </xdr:spPr>
    </xdr:pic>
    <xdr:clientData/>
  </xdr:twoCellAnchor>
  <xdr:twoCellAnchor editAs="oneCell">
    <xdr:from>
      <xdr:col>28</xdr:col>
      <xdr:colOff>561975</xdr:colOff>
      <xdr:row>40</xdr:row>
      <xdr:rowOff>104775</xdr:rowOff>
    </xdr:from>
    <xdr:to>
      <xdr:col>30</xdr:col>
      <xdr:colOff>9526</xdr:colOff>
      <xdr:row>43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522A9B8C-52AA-4FB7-823F-9BD891A13F81}"/>
                </a:ext>
                <a:ext uri="{147F2762-F138-4A5C-976F-8EAC2B608ADB}">
                  <a16:predDERef xmlns:a16="http://schemas.microsoft.com/office/drawing/2014/main" pred="{880C7253-9EBF-6E3F-5039-ADC99AFE0F6B}"/>
                </a:ext>
              </a:extLst>
            </xdr14:cNvPr>
            <xdr14:cNvContentPartPr/>
          </xdr14:nvContentPartPr>
          <xdr14:nvPr macro=""/>
          <xdr14:xfrm>
            <a:off x="24755475" y="8162925"/>
            <a:ext cx="857250" cy="51435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522A9B8C-52AA-4FB7-823F-9BD891A13F81}"/>
                </a:ext>
                <a:ext uri="{147F2762-F138-4A5C-976F-8EAC2B608ADB}">
                  <a16:predDERef xmlns:a16="http://schemas.microsoft.com/office/drawing/2014/main" pred="{880C7253-9EBF-6E3F-5039-ADC99AFE0F6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734245" y="8141688"/>
              <a:ext cx="899285" cy="556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180975</xdr:colOff>
      <xdr:row>36</xdr:row>
      <xdr:rowOff>19050</xdr:rowOff>
    </xdr:from>
    <xdr:to>
      <xdr:col>15</xdr:col>
      <xdr:colOff>165100</xdr:colOff>
      <xdr:row>36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86203102-C086-457F-AD26-843654C229E0}"/>
                </a:ext>
                <a:ext uri="{147F2762-F138-4A5C-976F-8EAC2B608ADB}">
                  <a16:predDERef xmlns:a16="http://schemas.microsoft.com/office/drawing/2014/main" pred="{522A9B8C-52AA-4FB7-823F-9BD891A13F81}"/>
                </a:ext>
              </a:extLst>
            </xdr14:cNvPr>
            <xdr14:cNvContentPartPr/>
          </xdr14:nvContentPartPr>
          <xdr14:nvPr macro=""/>
          <xdr14:xfrm>
            <a:off x="13563600" y="7315200"/>
            <a:ext cx="695325" cy="57150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86203102-C086-457F-AD26-843654C229E0}"/>
                </a:ext>
                <a:ext uri="{147F2762-F138-4A5C-976F-8EAC2B608ADB}">
                  <a16:predDERef xmlns:a16="http://schemas.microsoft.com/office/drawing/2014/main" pred="{522A9B8C-52AA-4FB7-823F-9BD891A13F8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542414" y="7293823"/>
              <a:ext cx="737273" cy="1003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857250</xdr:colOff>
      <xdr:row>25</xdr:row>
      <xdr:rowOff>95250</xdr:rowOff>
    </xdr:from>
    <xdr:to>
      <xdr:col>2</xdr:col>
      <xdr:colOff>857250</xdr:colOff>
      <xdr:row>25</xdr:row>
      <xdr:rowOff>95250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3EE2E75A-AB56-4342-9E68-DE44F736FEF6}"/>
                </a:ext>
                <a:ext uri="{147F2762-F138-4A5C-976F-8EAC2B608ADB}">
                  <a16:predDERef xmlns:a16="http://schemas.microsoft.com/office/drawing/2014/main" pred="{86203102-C086-457F-AD26-843654C229E0}"/>
                </a:ext>
              </a:extLst>
            </xdr14:cNvPr>
            <xdr14:cNvContentPartPr/>
          </xdr14:nvContentPartPr>
          <xdr14:nvPr macro=""/>
          <xdr14:xfrm>
            <a:off x="2533650" y="5295900"/>
            <a:ext cx="0" cy="0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3EE2E75A-AB56-4342-9E68-DE44F736FEF6}"/>
                </a:ext>
                <a:ext uri="{147F2762-F138-4A5C-976F-8EAC2B608ADB}">
                  <a16:predDERef xmlns:a16="http://schemas.microsoft.com/office/drawing/2014/main" pred="{86203102-C086-457F-AD26-843654C229E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33650" y="52959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695325</xdr:colOff>
      <xdr:row>25</xdr:row>
      <xdr:rowOff>0</xdr:rowOff>
    </xdr:from>
    <xdr:to>
      <xdr:col>2</xdr:col>
      <xdr:colOff>866775</xdr:colOff>
      <xdr:row>25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F01E0EFC-7990-41C2-880F-639170313141}"/>
                </a:ext>
                <a:ext uri="{147F2762-F138-4A5C-976F-8EAC2B608ADB}">
                  <a16:predDERef xmlns:a16="http://schemas.microsoft.com/office/drawing/2014/main" pred="{3EE2E75A-AB56-4342-9E68-DE44F736FEF6}"/>
                </a:ext>
              </a:extLst>
            </xdr14:cNvPr>
            <xdr14:cNvContentPartPr/>
          </xdr14:nvContentPartPr>
          <xdr14:nvPr macro=""/>
          <xdr14:xfrm>
            <a:off x="2371725" y="5200650"/>
            <a:ext cx="171450" cy="114300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F01E0EFC-7990-41C2-880F-639170313141}"/>
                </a:ext>
                <a:ext uri="{147F2762-F138-4A5C-976F-8EAC2B608ADB}">
                  <a16:predDERef xmlns:a16="http://schemas.microsoft.com/office/drawing/2014/main" pred="{3EE2E75A-AB56-4342-9E68-DE44F736FEF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50617" y="5179165"/>
              <a:ext cx="214097" cy="1568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857250</xdr:colOff>
      <xdr:row>97</xdr:row>
      <xdr:rowOff>95250</xdr:rowOff>
    </xdr:from>
    <xdr:ext cx="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23047E83-E7F5-4F5E-B91B-F3EAF17313A7}"/>
                </a:ext>
                <a:ext uri="{147F2762-F138-4A5C-976F-8EAC2B608ADB}">
                  <a16:predDERef xmlns:a16="http://schemas.microsoft.com/office/drawing/2014/main" pred="{86203102-C086-457F-AD26-843654C229E0}"/>
                </a:ext>
              </a:extLst>
            </xdr14:cNvPr>
            <xdr14:cNvContentPartPr/>
          </xdr14:nvContentPartPr>
          <xdr14:nvPr macro=""/>
          <xdr14:xfrm>
            <a:off x="2533650" y="5295900"/>
            <a:ext cx="0" cy="0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3EE2E75A-AB56-4342-9E68-DE44F736FEF6}"/>
                </a:ext>
                <a:ext uri="{147F2762-F138-4A5C-976F-8EAC2B608ADB}">
                  <a16:predDERef xmlns:a16="http://schemas.microsoft.com/office/drawing/2014/main" pred="{86203102-C086-457F-AD26-843654C229E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33650" y="529590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695325</xdr:colOff>
      <xdr:row>84</xdr:row>
      <xdr:rowOff>0</xdr:rowOff>
    </xdr:from>
    <xdr:ext cx="171450" cy="1143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7B904D60-416D-4E85-84A9-6566751CC041}"/>
                </a:ext>
                <a:ext uri="{147F2762-F138-4A5C-976F-8EAC2B608ADB}">
                  <a16:predDERef xmlns:a16="http://schemas.microsoft.com/office/drawing/2014/main" pred="{3EE2E75A-AB56-4342-9E68-DE44F736FEF6}"/>
                </a:ext>
              </a:extLst>
            </xdr14:cNvPr>
            <xdr14:cNvContentPartPr/>
          </xdr14:nvContentPartPr>
          <xdr14:nvPr macro=""/>
          <xdr14:xfrm>
            <a:off x="2371725" y="5200650"/>
            <a:ext cx="171450" cy="114300"/>
          </xdr14:xfrm>
        </xdr:contentPart>
      </mc:Choice>
      <mc:Fallback xmlns=""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F01E0EFC-7990-41C2-880F-639170313141}"/>
                </a:ext>
                <a:ext uri="{147F2762-F138-4A5C-976F-8EAC2B608ADB}">
                  <a16:predDERef xmlns:a16="http://schemas.microsoft.com/office/drawing/2014/main" pred="{3EE2E75A-AB56-4342-9E68-DE44F736FEF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50617" y="5179165"/>
              <a:ext cx="214097" cy="1568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16</xdr:col>
      <xdr:colOff>278694</xdr:colOff>
      <xdr:row>60</xdr:row>
      <xdr:rowOff>163593</xdr:rowOff>
    </xdr:from>
    <xdr:to>
      <xdr:col>30</xdr:col>
      <xdr:colOff>391233</xdr:colOff>
      <xdr:row>100</xdr:row>
      <xdr:rowOff>38461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A6A0694D-E82A-A5F7-4B46-A8DB0C17AE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9378" t="19985" r="5988" b="15393"/>
        <a:stretch>
          <a:fillRect/>
        </a:stretch>
      </xdr:blipFill>
      <xdr:spPr>
        <a:xfrm>
          <a:off x="14052146" y="12334426"/>
          <a:ext cx="10983135" cy="8084511"/>
        </a:xfrm>
        <a:prstGeom prst="rect">
          <a:avLst/>
        </a:prstGeom>
      </xdr:spPr>
    </xdr:pic>
    <xdr:clientData/>
  </xdr:twoCellAnchor>
  <xdr:twoCellAnchor editAs="oneCell">
    <xdr:from>
      <xdr:col>16</xdr:col>
      <xdr:colOff>213567</xdr:colOff>
      <xdr:row>101</xdr:row>
      <xdr:rowOff>17526</xdr:rowOff>
    </xdr:from>
    <xdr:to>
      <xdr:col>28</xdr:col>
      <xdr:colOff>687341</xdr:colOff>
      <xdr:row>135</xdr:row>
      <xdr:rowOff>174618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889F09AE-867C-44CD-7820-9D69DAD2EA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2830" t="10880" r="26086" b="8681"/>
        <a:stretch>
          <a:fillRect/>
        </a:stretch>
      </xdr:blipFill>
      <xdr:spPr>
        <a:xfrm>
          <a:off x="13629060" y="19738301"/>
          <a:ext cx="9945113" cy="6918500"/>
        </a:xfrm>
        <a:prstGeom prst="rect">
          <a:avLst/>
        </a:prstGeom>
      </xdr:spPr>
    </xdr:pic>
    <xdr:clientData/>
  </xdr:twoCellAnchor>
  <xdr:twoCellAnchor editAs="oneCell">
    <xdr:from>
      <xdr:col>14</xdr:col>
      <xdr:colOff>92177</xdr:colOff>
      <xdr:row>0</xdr:row>
      <xdr:rowOff>0</xdr:rowOff>
    </xdr:from>
    <xdr:to>
      <xdr:col>30</xdr:col>
      <xdr:colOff>19467</xdr:colOff>
      <xdr:row>62</xdr:row>
      <xdr:rowOff>58026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35B87101-78E5-4A5A-2FFB-513019908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68266" y="0"/>
          <a:ext cx="12693862" cy="118567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323850</xdr:colOff>
      <xdr:row>17</xdr:row>
      <xdr:rowOff>85725</xdr:rowOff>
    </xdr:from>
    <xdr:to>
      <xdr:col>20</xdr:col>
      <xdr:colOff>723900</xdr:colOff>
      <xdr:row>18</xdr:row>
      <xdr:rowOff>171449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10CBC633-DD09-470C-A03A-FE3EF6E62AA2}"/>
                </a:ext>
                <a:ext uri="{147F2762-F138-4A5C-976F-8EAC2B608ADB}">
                  <a16:predDERef xmlns:a16="http://schemas.microsoft.com/office/drawing/2014/main" pred="{016731E6-8542-4AAD-6AD8-F8FDA34F3C2D}"/>
                </a:ext>
              </a:extLst>
            </xdr14:cNvPr>
            <xdr14:cNvContentPartPr/>
          </xdr14:nvContentPartPr>
          <xdr14:nvPr macro=""/>
          <xdr14:xfrm>
            <a:off x="15563850" y="3143250"/>
            <a:ext cx="400050" cy="276225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10CBC633-DD09-470C-A03A-FE3EF6E62AA2}"/>
                </a:ext>
                <a:ext uri="{147F2762-F138-4A5C-976F-8EAC2B608ADB}">
                  <a16:predDERef xmlns:a16="http://schemas.microsoft.com/office/drawing/2014/main" pred="{016731E6-8542-4AAD-6AD8-F8FDA34F3C2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543063" y="3122835"/>
              <a:ext cx="442049" cy="3174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733730</xdr:colOff>
      <xdr:row>29</xdr:row>
      <xdr:rowOff>141940</xdr:rowOff>
    </xdr:from>
    <xdr:to>
      <xdr:col>20</xdr:col>
      <xdr:colOff>693206</xdr:colOff>
      <xdr:row>48</xdr:row>
      <xdr:rowOff>24423</xdr:rowOff>
    </xdr:to>
    <xdr:pic>
      <xdr:nvPicPr>
        <xdr:cNvPr id="18" name="Image 4">
          <a:extLst>
            <a:ext uri="{FF2B5EF4-FFF2-40B4-BE49-F238E27FC236}">
              <a16:creationId xmlns:a16="http://schemas.microsoft.com/office/drawing/2014/main" id="{5F92E011-CC03-275C-6A7A-995B917840FA}"/>
            </a:ext>
            <a:ext uri="{147F2762-F138-4A5C-976F-8EAC2B608ADB}">
              <a16:predDERef xmlns:a16="http://schemas.microsoft.com/office/drawing/2014/main" pred="{10CBC633-DD09-470C-A03A-FE3EF6E6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18826" y="7554344"/>
          <a:ext cx="4502168" cy="3619214"/>
        </a:xfrm>
        <a:prstGeom prst="rect">
          <a:avLst/>
        </a:prstGeom>
      </xdr:spPr>
    </xdr:pic>
    <xdr:clientData/>
  </xdr:twoCellAnchor>
  <xdr:twoCellAnchor editAs="oneCell">
    <xdr:from>
      <xdr:col>13</xdr:col>
      <xdr:colOff>580528</xdr:colOff>
      <xdr:row>49</xdr:row>
      <xdr:rowOff>18286</xdr:rowOff>
    </xdr:from>
    <xdr:to>
      <xdr:col>22</xdr:col>
      <xdr:colOff>669233</xdr:colOff>
      <xdr:row>62</xdr:row>
      <xdr:rowOff>13124</xdr:rowOff>
    </xdr:to>
    <xdr:pic>
      <xdr:nvPicPr>
        <xdr:cNvPr id="7" name="Image 5">
          <a:extLst>
            <a:ext uri="{FF2B5EF4-FFF2-40B4-BE49-F238E27FC236}">
              <a16:creationId xmlns:a16="http://schemas.microsoft.com/office/drawing/2014/main" id="{917631CC-0DD3-25F7-CFA9-B64771F6C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08509" y="11362805"/>
          <a:ext cx="6902743" cy="2559261"/>
        </a:xfrm>
        <a:prstGeom prst="rect">
          <a:avLst/>
        </a:prstGeom>
      </xdr:spPr>
    </xdr:pic>
    <xdr:clientData/>
  </xdr:twoCellAnchor>
  <xdr:twoCellAnchor editAs="oneCell">
    <xdr:from>
      <xdr:col>15</xdr:col>
      <xdr:colOff>41475</xdr:colOff>
      <xdr:row>29</xdr:row>
      <xdr:rowOff>184140</xdr:rowOff>
    </xdr:from>
    <xdr:to>
      <xdr:col>15</xdr:col>
      <xdr:colOff>46515</xdr:colOff>
      <xdr:row>30</xdr:row>
      <xdr:rowOff>9744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3516CF23-44A2-8D78-D10E-23A7732F34E2}"/>
                </a:ext>
              </a:extLst>
            </xdr14:cNvPr>
            <xdr14:cNvContentPartPr/>
          </xdr14:nvContentPartPr>
          <xdr14:nvPr macro=""/>
          <xdr14:xfrm>
            <a:off x="11471475" y="5196671"/>
            <a:ext cx="5040" cy="36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3516CF23-44A2-8D78-D10E-23A7732F34E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465355" y="5190551"/>
              <a:ext cx="172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720481</xdr:colOff>
      <xdr:row>6</xdr:row>
      <xdr:rowOff>73269</xdr:rowOff>
    </xdr:from>
    <xdr:to>
      <xdr:col>32</xdr:col>
      <xdr:colOff>170927</xdr:colOff>
      <xdr:row>17</xdr:row>
      <xdr:rowOff>146321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A14BA0D-C258-489E-87E4-618F137AF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976731" y="1270000"/>
          <a:ext cx="5507369" cy="3919686"/>
        </a:xfrm>
        <a:prstGeom prst="rect">
          <a:avLst/>
        </a:prstGeom>
      </xdr:spPr>
    </xdr:pic>
    <xdr:clientData/>
  </xdr:twoCellAnchor>
  <xdr:twoCellAnchor editAs="oneCell">
    <xdr:from>
      <xdr:col>19</xdr:col>
      <xdr:colOff>256442</xdr:colOff>
      <xdr:row>30</xdr:row>
      <xdr:rowOff>24423</xdr:rowOff>
    </xdr:from>
    <xdr:to>
      <xdr:col>35</xdr:col>
      <xdr:colOff>212455</xdr:colOff>
      <xdr:row>35</xdr:row>
      <xdr:rowOff>128130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44B1E756-6880-BEE4-AB05-9085E8EB0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727115" y="7632211"/>
          <a:ext cx="12069859" cy="1105054"/>
        </a:xfrm>
        <a:prstGeom prst="rect">
          <a:avLst/>
        </a:prstGeom>
      </xdr:spPr>
    </xdr:pic>
    <xdr:clientData/>
  </xdr:twoCellAnchor>
  <xdr:twoCellAnchor editAs="oneCell">
    <xdr:from>
      <xdr:col>14</xdr:col>
      <xdr:colOff>317500</xdr:colOff>
      <xdr:row>0</xdr:row>
      <xdr:rowOff>12213</xdr:rowOff>
    </xdr:from>
    <xdr:to>
      <xdr:col>24</xdr:col>
      <xdr:colOff>146538</xdr:colOff>
      <xdr:row>26</xdr:row>
      <xdr:rowOff>98133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1E99165-EBFC-4E1B-BE5A-DD47DD34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02596" y="12213"/>
          <a:ext cx="7400192" cy="6912170"/>
        </a:xfrm>
        <a:prstGeom prst="rect">
          <a:avLst/>
        </a:prstGeom>
      </xdr:spPr>
    </xdr:pic>
    <xdr:clientData/>
  </xdr:twoCellAnchor>
  <xdr:twoCellAnchor editAs="oneCell">
    <xdr:from>
      <xdr:col>15</xdr:col>
      <xdr:colOff>285473</xdr:colOff>
      <xdr:row>64</xdr:row>
      <xdr:rowOff>47257</xdr:rowOff>
    </xdr:from>
    <xdr:to>
      <xdr:col>29</xdr:col>
      <xdr:colOff>608495</xdr:colOff>
      <xdr:row>115</xdr:row>
      <xdr:rowOff>4530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B878D750-1385-4B42-93C4-630FEC09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20273" y="12315457"/>
          <a:ext cx="10991022" cy="8186873"/>
        </a:xfrm>
        <a:prstGeom prst="rect">
          <a:avLst/>
        </a:prstGeom>
      </xdr:spPr>
    </xdr:pic>
    <xdr:clientData/>
  </xdr:twoCellAnchor>
  <xdr:twoCellAnchor editAs="oneCell">
    <xdr:from>
      <xdr:col>30</xdr:col>
      <xdr:colOff>197941</xdr:colOff>
      <xdr:row>93</xdr:row>
      <xdr:rowOff>135820</xdr:rowOff>
    </xdr:from>
    <xdr:to>
      <xdr:col>40</xdr:col>
      <xdr:colOff>280630</xdr:colOff>
      <xdr:row>121</xdr:row>
      <xdr:rowOff>14176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D01F703C-7728-46F0-AD4F-19799CFCD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9378" t="19985" r="5988" b="15393"/>
        <a:stretch>
          <a:fillRect/>
        </a:stretch>
      </xdr:blipFill>
      <xdr:spPr>
        <a:xfrm>
          <a:off x="23235526" y="19637854"/>
          <a:ext cx="7670401" cy="5367339"/>
        </a:xfrm>
        <a:prstGeom prst="rect">
          <a:avLst/>
        </a:prstGeom>
      </xdr:spPr>
    </xdr:pic>
    <xdr:clientData/>
  </xdr:twoCellAnchor>
  <xdr:twoCellAnchor editAs="oneCell">
    <xdr:from>
      <xdr:col>30</xdr:col>
      <xdr:colOff>269185</xdr:colOff>
      <xdr:row>55</xdr:row>
      <xdr:rowOff>144945</xdr:rowOff>
    </xdr:from>
    <xdr:to>
      <xdr:col>43</xdr:col>
      <xdr:colOff>199718</xdr:colOff>
      <xdr:row>90</xdr:row>
      <xdr:rowOff>143610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DF4C23E4-04B3-42FA-AEAF-57F7AFC65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2830" t="10880" r="26086" b="8681"/>
        <a:stretch>
          <a:fillRect/>
        </a:stretch>
      </xdr:blipFill>
      <xdr:spPr>
        <a:xfrm>
          <a:off x="23481196" y="12320380"/>
          <a:ext cx="9890370" cy="6790404"/>
        </a:xfrm>
        <a:prstGeom prst="rect">
          <a:avLst/>
        </a:prstGeom>
      </xdr:spPr>
    </xdr:pic>
    <xdr:clientData/>
  </xdr:twoCellAnchor>
  <xdr:twoCellAnchor editAs="oneCell">
    <xdr:from>
      <xdr:col>13</xdr:col>
      <xdr:colOff>516608</xdr:colOff>
      <xdr:row>117</xdr:row>
      <xdr:rowOff>113009</xdr:rowOff>
    </xdr:from>
    <xdr:to>
      <xdr:col>23</xdr:col>
      <xdr:colOff>66105</xdr:colOff>
      <xdr:row>127</xdr:row>
      <xdr:rowOff>12161</xdr:rowOff>
    </xdr:to>
    <xdr:pic>
      <xdr:nvPicPr>
        <xdr:cNvPr id="6" name="Image 3">
          <a:extLst>
            <a:ext uri="{FF2B5EF4-FFF2-40B4-BE49-F238E27FC236}">
              <a16:creationId xmlns:a16="http://schemas.microsoft.com/office/drawing/2014/main" id="{C6371084-2683-B981-70A2-B68B2E69A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655083" y="24878009"/>
          <a:ext cx="7550497" cy="17597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304800</xdr:colOff>
      <xdr:row>58</xdr:row>
      <xdr:rowOff>121920</xdr:rowOff>
    </xdr:to>
    <xdr:sp macro="" textlink="">
      <xdr:nvSpPr>
        <xdr:cNvPr id="4097" name="AutoShape 1" descr="Image">
          <a:extLst>
            <a:ext uri="{FF2B5EF4-FFF2-40B4-BE49-F238E27FC236}">
              <a16:creationId xmlns:a16="http://schemas.microsoft.com/office/drawing/2014/main" id="{D83CC547-E6A7-9C46-746E-5C71F8E137FD}"/>
            </a:ext>
          </a:extLst>
        </xdr:cNvPr>
        <xdr:cNvSpPr>
          <a:spLocks noChangeAspect="1" noChangeArrowheads="1"/>
        </xdr:cNvSpPr>
      </xdr:nvSpPr>
      <xdr:spPr bwMode="auto">
        <a:xfrm>
          <a:off x="8084820" y="1227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162560</xdr:colOff>
      <xdr:row>130</xdr:row>
      <xdr:rowOff>111760</xdr:rowOff>
    </xdr:from>
    <xdr:to>
      <xdr:col>25</xdr:col>
      <xdr:colOff>322424</xdr:colOff>
      <xdr:row>171</xdr:row>
      <xdr:rowOff>11836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83D3759-1BED-8763-2F49-52AF9E503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51360" y="25989280"/>
          <a:ext cx="7983064" cy="74591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431885</xdr:colOff>
      <xdr:row>33</xdr:row>
      <xdr:rowOff>349220</xdr:rowOff>
    </xdr:from>
    <xdr:to>
      <xdr:col>33</xdr:col>
      <xdr:colOff>291029</xdr:colOff>
      <xdr:row>46</xdr:row>
      <xdr:rowOff>2166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CD4CE39-A115-43FA-AEC7-A4C9ED1EC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58135" y="7868197"/>
          <a:ext cx="4102099" cy="2877736"/>
        </a:xfrm>
        <a:prstGeom prst="rect">
          <a:avLst/>
        </a:prstGeom>
      </xdr:spPr>
    </xdr:pic>
    <xdr:clientData/>
  </xdr:twoCellAnchor>
  <xdr:twoCellAnchor editAs="oneCell">
    <xdr:from>
      <xdr:col>26</xdr:col>
      <xdr:colOff>73035</xdr:colOff>
      <xdr:row>1</xdr:row>
      <xdr:rowOff>7381</xdr:rowOff>
    </xdr:from>
    <xdr:to>
      <xdr:col>37</xdr:col>
      <xdr:colOff>186533</xdr:colOff>
      <xdr:row>34</xdr:row>
      <xdr:rowOff>87330</xdr:rowOff>
    </xdr:to>
    <xdr:pic>
      <xdr:nvPicPr>
        <xdr:cNvPr id="8" name="Image 4">
          <a:extLst>
            <a:ext uri="{FF2B5EF4-FFF2-40B4-BE49-F238E27FC236}">
              <a16:creationId xmlns:a16="http://schemas.microsoft.com/office/drawing/2014/main" id="{6573AA72-0D7A-4320-9904-371469491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00650" y="197881"/>
          <a:ext cx="8216098" cy="7484049"/>
        </a:xfrm>
        <a:prstGeom prst="rect">
          <a:avLst/>
        </a:prstGeom>
      </xdr:spPr>
    </xdr:pic>
    <xdr:clientData/>
  </xdr:twoCellAnchor>
  <xdr:twoCellAnchor editAs="oneCell">
    <xdr:from>
      <xdr:col>25</xdr:col>
      <xdr:colOff>305594</xdr:colOff>
      <xdr:row>96</xdr:row>
      <xdr:rowOff>95250</xdr:rowOff>
    </xdr:from>
    <xdr:to>
      <xdr:col>39</xdr:col>
      <xdr:colOff>181728</xdr:colOff>
      <xdr:row>134</xdr:row>
      <xdr:rowOff>61753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D5509ED-6CAB-4BF0-8C1A-631B2781E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12594" y="21288375"/>
          <a:ext cx="9655134" cy="9047003"/>
        </a:xfrm>
        <a:prstGeom prst="rect">
          <a:avLst/>
        </a:prstGeom>
      </xdr:spPr>
    </xdr:pic>
    <xdr:clientData/>
  </xdr:twoCellAnchor>
  <xdr:twoCellAnchor editAs="oneCell">
    <xdr:from>
      <xdr:col>25</xdr:col>
      <xdr:colOff>448469</xdr:colOff>
      <xdr:row>134</xdr:row>
      <xdr:rowOff>15765</xdr:rowOff>
    </xdr:from>
    <xdr:to>
      <xdr:col>35</xdr:col>
      <xdr:colOff>619125</xdr:colOff>
      <xdr:row>157</xdr:row>
      <xdr:rowOff>140669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D20D824-20EE-492D-BDE9-371E5B08B8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830" t="10880" r="26086" b="8681"/>
        <a:stretch>
          <a:fillRect/>
        </a:stretch>
      </xdr:blipFill>
      <xdr:spPr>
        <a:xfrm>
          <a:off x="18355469" y="30464015"/>
          <a:ext cx="7155656" cy="514140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</xdr:row>
      <xdr:rowOff>0</xdr:rowOff>
    </xdr:from>
    <xdr:to>
      <xdr:col>36</xdr:col>
      <xdr:colOff>685401</xdr:colOff>
      <xdr:row>182</xdr:row>
      <xdr:rowOff>176214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319825D-473E-466D-99C2-0F0AA4F5FB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378" t="19985" r="5988" b="15393"/>
        <a:stretch>
          <a:fillRect/>
        </a:stretch>
      </xdr:blipFill>
      <xdr:spPr>
        <a:xfrm>
          <a:off x="18605500" y="35893375"/>
          <a:ext cx="7670401" cy="5367339"/>
        </a:xfrm>
        <a:prstGeom prst="rect">
          <a:avLst/>
        </a:prstGeom>
      </xdr:spPr>
    </xdr:pic>
    <xdr:clientData/>
  </xdr:twoCellAnchor>
  <xdr:twoCellAnchor editAs="oneCell">
    <xdr:from>
      <xdr:col>20</xdr:col>
      <xdr:colOff>55045</xdr:colOff>
      <xdr:row>74</xdr:row>
      <xdr:rowOff>35351</xdr:rowOff>
    </xdr:from>
    <xdr:to>
      <xdr:col>23</xdr:col>
      <xdr:colOff>701851</xdr:colOff>
      <xdr:row>86</xdr:row>
      <xdr:rowOff>89877</xdr:rowOff>
    </xdr:to>
    <xdr:pic>
      <xdr:nvPicPr>
        <xdr:cNvPr id="7" name="Image 9">
          <a:extLst>
            <a:ext uri="{FF2B5EF4-FFF2-40B4-BE49-F238E27FC236}">
              <a16:creationId xmlns:a16="http://schemas.microsoft.com/office/drawing/2014/main" id="{8290F5A0-9134-4034-A806-13CEE12A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37137" y="16600059"/>
          <a:ext cx="2827299" cy="2676085"/>
        </a:xfrm>
        <a:prstGeom prst="rect">
          <a:avLst/>
        </a:prstGeom>
      </xdr:spPr>
    </xdr:pic>
    <xdr:clientData/>
  </xdr:twoCellAnchor>
  <xdr:twoCellAnchor editAs="oneCell">
    <xdr:from>
      <xdr:col>17</xdr:col>
      <xdr:colOff>241300</xdr:colOff>
      <xdr:row>188</xdr:row>
      <xdr:rowOff>12700</xdr:rowOff>
    </xdr:from>
    <xdr:to>
      <xdr:col>28</xdr:col>
      <xdr:colOff>261464</xdr:colOff>
      <xdr:row>224</xdr:row>
      <xdr:rowOff>42316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CB6F22C-7A9C-411A-896F-125FBB541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92100" y="39077900"/>
          <a:ext cx="7983064" cy="7459116"/>
        </a:xfrm>
        <a:prstGeom prst="rect">
          <a:avLst/>
        </a:prstGeom>
      </xdr:spPr>
    </xdr:pic>
    <xdr:clientData/>
  </xdr:twoCellAnchor>
  <xdr:twoCellAnchor>
    <xdr:from>
      <xdr:col>45</xdr:col>
      <xdr:colOff>456992</xdr:colOff>
      <xdr:row>193</xdr:row>
      <xdr:rowOff>649111</xdr:rowOff>
    </xdr:from>
    <xdr:to>
      <xdr:col>53</xdr:col>
      <xdr:colOff>606778</xdr:colOff>
      <xdr:row>206</xdr:row>
      <xdr:rowOff>43793</xdr:rowOff>
    </xdr:to>
    <xdr:graphicFrame macro="">
      <xdr:nvGraphicFramePr>
        <xdr:cNvPr id="99" name="Graphique 7">
          <a:extLst>
            <a:ext uri="{FF2B5EF4-FFF2-40B4-BE49-F238E27FC236}">
              <a16:creationId xmlns:a16="http://schemas.microsoft.com/office/drawing/2014/main" id="{6F96363D-F079-2AC7-89C6-61EB43A0A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522942</xdr:colOff>
      <xdr:row>176</xdr:row>
      <xdr:rowOff>137459</xdr:rowOff>
    </xdr:from>
    <xdr:to>
      <xdr:col>48</xdr:col>
      <xdr:colOff>657412</xdr:colOff>
      <xdr:row>191</xdr:row>
      <xdr:rowOff>79189</xdr:rowOff>
    </xdr:to>
    <xdr:graphicFrame macro="">
      <xdr:nvGraphicFramePr>
        <xdr:cNvPr id="137" name="Graphique 11">
          <a:extLst>
            <a:ext uri="{FF2B5EF4-FFF2-40B4-BE49-F238E27FC236}">
              <a16:creationId xmlns:a16="http://schemas.microsoft.com/office/drawing/2014/main" id="{0B6495E9-614A-3763-0BE9-1B32D74A3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66675</xdr:rowOff>
    </xdr:from>
    <xdr:to>
      <xdr:col>20</xdr:col>
      <xdr:colOff>476919</xdr:colOff>
      <xdr:row>23</xdr:row>
      <xdr:rowOff>25989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603CDE63-B140-626E-FB0F-FF5E9EF67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2675" y="66675"/>
          <a:ext cx="4791744" cy="4220164"/>
        </a:xfrm>
        <a:prstGeom prst="rect">
          <a:avLst/>
        </a:prstGeom>
      </xdr:spPr>
    </xdr:pic>
    <xdr:clientData/>
  </xdr:twoCellAnchor>
  <xdr:twoCellAnchor editAs="oneCell">
    <xdr:from>
      <xdr:col>8</xdr:col>
      <xdr:colOff>485775</xdr:colOff>
      <xdr:row>2</xdr:row>
      <xdr:rowOff>123825</xdr:rowOff>
    </xdr:from>
    <xdr:to>
      <xdr:col>14</xdr:col>
      <xdr:colOff>9077</xdr:colOff>
      <xdr:row>10</xdr:row>
      <xdr:rowOff>104980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1BF2A45A-0FB0-2976-8088-732B70792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4575" y="504825"/>
          <a:ext cx="3905795" cy="1467055"/>
        </a:xfrm>
        <a:prstGeom prst="rect">
          <a:avLst/>
        </a:prstGeom>
      </xdr:spPr>
    </xdr:pic>
    <xdr:clientData/>
  </xdr:twoCellAnchor>
  <xdr:twoCellAnchor editAs="oneCell">
    <xdr:from>
      <xdr:col>8</xdr:col>
      <xdr:colOff>394089</xdr:colOff>
      <xdr:row>11</xdr:row>
      <xdr:rowOff>99073</xdr:rowOff>
    </xdr:from>
    <xdr:to>
      <xdr:col>13</xdr:col>
      <xdr:colOff>635937</xdr:colOff>
      <xdr:row>24</xdr:row>
      <xdr:rowOff>516</xdr:rowOff>
    </xdr:to>
    <xdr:pic>
      <xdr:nvPicPr>
        <xdr:cNvPr id="5" name="Image 3">
          <a:extLst>
            <a:ext uri="{FF2B5EF4-FFF2-40B4-BE49-F238E27FC236}">
              <a16:creationId xmlns:a16="http://schemas.microsoft.com/office/drawing/2014/main" id="{FE1D6C71-770E-6888-BDEB-8A6FF179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03477" y="2107746"/>
          <a:ext cx="3935215" cy="2272974"/>
        </a:xfrm>
        <a:prstGeom prst="rect">
          <a:avLst/>
        </a:prstGeom>
      </xdr:spPr>
    </xdr:pic>
    <xdr:clientData/>
  </xdr:twoCellAnchor>
  <xdr:twoCellAnchor editAs="oneCell">
    <xdr:from>
      <xdr:col>14</xdr:col>
      <xdr:colOff>-1</xdr:colOff>
      <xdr:row>25</xdr:row>
      <xdr:rowOff>201342</xdr:rowOff>
    </xdr:from>
    <xdr:to>
      <xdr:col>24</xdr:col>
      <xdr:colOff>663896</xdr:colOff>
      <xdr:row>66</xdr:row>
      <xdr:rowOff>106575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D208A20-6982-46CD-6255-DCD98B38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07804" y="4847683"/>
          <a:ext cx="8098043" cy="788145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6T10:38:51.177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0,'82'76,"24"35,22 23,-79-80,-17-18,36 38,13 6,-59-55,-4 2,3-6,39 34,-38-32,2-4,-2 4,35 50,3 4,-27-49,-29-21,4 0,0-1,-4-3,-1 6,5-5,-3 4,-3-1,3-1,1 1,0 9,2 13,2-4,17 34,4 9,-21-42,19 39,-26-57,1 1,1 1,1-2,-3 2,-1 1,1-1,2 9,-4-7,2-3,-1 1,2 0,2-1,-1-2,8 16,2 4,3 3,27 39,-25-42,26 46,36 67,-47-85,36 47,-15-20,-6-11,-38-54,2 3,15 43,9 14,20 31,-48-90,-4-4,4-2,-2 1,-3-3,18 14,5 5,21 21,160 165,-94-104,-69-72,10 11,-9 3,-27-34,2-1,-6 4,27 26,44 69,107 139,-144-187,48 89,-30-47,-21-52,-26-30,-11-14,0-3,11 20,9 15,-3-4,35 79,-55-106,1-1,0 1,1-1,18 20,45 74,-67-95,12 18,-2-1,7 25,17 24,-33-70,0 3,-2 0,2 1,0 0,0 13,3 13,-7-32,2 1,1-4,-1 2,-1 0,2 1,-1-1,3 0,6 8,-2-7,11 23,83 114,-28-45,-66-87,-2 0,5 16,18 17,-24-33,73 84,-62-74,17 27,-3-7,75 113,-89-120,38 37,12 17,-62-75,4 3,2-4,1-2,20 29,-3-15,41 54,-17-18,94 112,-85-100,-54-59,17 20,-16-18,13 21,-14-24,1-4,11 26,-12-17,-2-5,14 19,-1-11,-3 2,0 2,1-4,22 46,-33-53,-2-1,6 3,18 24,43 37,-67-72,1 6,1-4,-3-1,0 1,6 19,23 51,6 70,-32-114,30 139,-25-103,27 99,63 87,-22-49,-28-59,45 208,-63-170,7 34,-33-162,0-3,-5 4,-3 80,-1-120,4 36,-3-45</inkml:trace>
  <inkml:trace contextRef="#ctx0" brushRef="#br0" timeOffset="1843.77">5244 7254,'5'2,"1"0,-3 3,5-1,-3-2,-1 1,1 12,10-6,5 15,11-1,31 48,-47-53,-5-2,30 22,-28-23,-1-3,1 1,-1-2,12 27,-14-24,5 5,17 21,11 4,84 82,-14-28,32 32,12 7,-89-74,-58-57,2 4,4 6,15 15,-27-26,-2-2,2 0,1 2,-2 1,1-2,-1-1,0 1,-2 3,2-3,-1 0,0 0,0 4,0 5,-1-13,0 0,0 0,0 0,0 0,0 1,0-1,0 0,0 2,0-2,0 0,0 0,0 0,0 0,0 1,0-1,0 0,0 0,0 0,0 0,-1 0,1 0,0 0,0 0,0 0,0 2,-1-2,1 0,0 0,0 0,-1 0,1 0,0 0,0 0,-1 0,1 1,0-1,-1 0,1 0,0 0,-1 0,1 0,0 0,0 0,0 0,0 0,0 0,-1 0,1 0,0 0,-1 0,1 0,0 0,0 0,0 0,0 0,-2-1,2 1,0 0,0 0,-1 0,1 0,0 0,0 0,-1 0,1 0,0-2,0 2,0 0,-1 0,-6-6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6T10:39:00.136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5846 2,'-97'-1,"-102"2,166 1,-39 11,34-6,13 1,19-8,1 0,-1 0,0 1,-2-1,5 1,-1 0,-7 4,0 2,3-4,2 0,-2 1,2 3,-1-2,2-1,1 4,-11 7,8-8,-1-1,4 0,-4 0,0 0,0 0,-1 0,5 0,-5-1,-1-3,-11 9,-185 62,132-53,-85 41,44-14,85-30,-59 43,-142 91,200-136,15-6,3-4,2 5,-24 16,23-17,1 1,-23 10,23-13,-4 3,-12 11,-131 108,96-81,30-23,19-16,3 4,-30 11,29-17,5-1,-5-2,7 1,-4-2,0 0,-1-1,3 2,-15-1,3 2,-3-2,7 3,-1-1,-4 1,-24 16,17-9,-208 82,-36 9,214-90,42-9,-3 3,-25 9,-44 29,-146 53,163-77,-47 18,83-30,14-1,0-2,-5 4,-33 19,25-7,-63 26,-2 3,-168 98,143-75,-54 43,174-117,-20 20,-59 38,71-50,-6 2,0 3,-10 15,-15 12,-53 36,-105 68,180-132,0 2,-4-2,5-1,-42 19,13-15,-134 46,114-40,-115 56,103-44,9-9,-16 20,65-39,16-6,1 5,1-4,-1 0,0 2,0-2,-1 1,-1 5,3-4,5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12T16:20:07.893"/>
    </inkml:context>
    <inkml:brush xml:id="br0">
      <inkml:brushProperty name="width" value="0.1" units="cm"/>
      <inkml:brushProperty name="height" value="0.2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0,'42'2,"76"19,-73-11,54 2,-36-10,93 23,-81-9,-2-4,116-2,-118-11,86 2,-86 8,18 5,263-13,-169-2,520 1,-664 2,-2 1,68 21,39 4,196-20,-197-10,1508 2,-1487-10,-122 10,73-11,68 0,-176 11,-1-2,3 2,-1 0,8-5,-13 5,-2 0,2 0,-2-3,0 2,0 1,1 0,-1-1,2 0,-1 0,0 0,-2 0,3-2,-3 0,2 1,0 2,-2-2,1 1,-1 1,1-3,0 2,0-3,0 2,1-5,-2 6,0-2,0 0,0 2,-1 0,1 1,0-2,0-1,-1 1,1 0,-1 1,0 0,1 1,-1-3,0 2,1 0,-1-2,1 1,0 1,-2 0,0 0,2 1,-3-1,-1-2,0-1,0-2,0 4,-2-3,2 3,-9-3,-6 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12T16:23:51.391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1,'33'0,"3"2,-4 1,65 15,-74-14,-2 0,35 0,16 2,-35-1,42-1,-23-2,-42 0,1 1,-3 0,23 6,12 4,-18-9,-5-2,3-1,23-3,2 1,289 1,-313 2,1 1,-4 2,45 11,-31-6,22 6,-24-7,-5 0,5-3,57 4,642-11,-708 3,36 7,-27-3,6 1,-19-2,36 1,21 3,-2 0,390-8,-227-3,-137 11,-4 0,-101-9,35-1,-1 2,44 8,-39-4,2-1,72-5,-42 0,49 2,126-2,-240 0,2 0,-1 0,0-1,0 0,11-4,-7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13T08:28:34.678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4742 6781,'-23'-24,"0"2,-33-47,35 44,-96-144,37 66,17 25,-51-77,-42-68,18 41,90 116,16 28,-59-93,-34-47,85 124,-15-20,24 38,-22-37,-11-22,27 43,-7-14,-68-90,1-12,36 66,60 83,2-4,-16-22,11 10,-114-183,88 145,4 6,-73-91,30 46,67 93,-24-39,-28-35,-8 8,8 9,53 57,-166-200,113 106,-15-8,50 82,3 6,-38-70,-56-81,75 111,-60-81,99 141,1-1,-3-3,-6-20,-38-73,15 43,10 12,-40-65,5 14,-1 14,9 12,43 59,-37-41,3 6,-7-24,-14-14,23 27,0 3,27 33,-31-50,30 46,1-9,7 20,-2-2,-28-30,33 35,-3 3,0 0,4 0,-1-3,-14-33,11 23,-4 0,2 0,-32-40,12 20,20 30,-2-3,-23-20,11 12,15 16,-26-30,23 21,-29-48,40 58,-20-20,17 21,-14-20,-14-40,36 72,-3 0,2-2,1 0,-1 1,0 0,1 1,0 1,-2-1,0-1,0 1,1 1,-3-2,1 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13T08:28:42.365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2742 3212,'-8'-21,"-3"-2,-21-32,-2 1,12 9,-2-1,-56-76,62 102,-9-22,18 24,-5 0,-18-23,-6 4,13 10,3 6,3-1,-34-51,44 59,0 1,-24-23,0-6,-149-176,151 188,16 14,-28-29,-119-146,112 133,47 55,-103-130,-13-16,54 65,-77-115,111 155,-60-67,82 99,-13-17,13 14,-125-169,102 148,0 0,-65-53,-56-49,22 22,27 18,39 39,30 12,-142-121,138 126,27 28,2 2,-2 2,-17-18,27 27,-1 1,2-1,0 1,-3-1,1 0,0 0,2 0,0 1,-3 0,2-1,1 1,-2 0,0 0,1 0,-4 0,-2 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3T09:37:02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29 179 24575,'-2'0'0,"-1"2"0,1-2 0,1 0 0,0 0 0,0 0 0,1 1 0,-2-1 0,2 0 0,-1 2 0,0-2 0,1 0 0,-1 0 0,1 1 0,-2-1 0,2 0 0,-2 1 0,2 0 0,0-1 0,0 1 0,0 1 0,0 0 0,0-2 0,0 3 0,0-3 0,0 1 0,-2 0 0,2 0 0,0-1 0,0 1 0,-5 36 0,5-31 0,-2 10 0,2 0 0,0 3 0,1-3 0,1 2 0,0-2 0,2 1 0,-4 0 0,19 27 0,-18-37 0,1 2 0,2-3 0,2 6 0,-3-7 0,0 4 0,3-2 0,0 0 0,-2 1 0,0 0 0,5-5 0,-3 5 0,2-2 0,-2-2 0,-1 0 0,3 1 0,0 1 0,0-3 0,10 5 0,-11-4 0,3-3 0,-2 0 0,2 2 0,-3-2 0,4 0 0,-3-1 0,3 0 0,-3-1 0,1 0 0,2-1 0,-4 0 0,-1 1 0,8-2 0,-9 1 0,5-2 0,11-9 0,-5 5 0,-6-1 0,6-1 0,-6 0 0,5-4 0,-7 4 0,4-1 0,-5-4 0,7 3 0,3-19 0,16-31 0,-28 53 0,-3 9 0,-3 15 0,-29 203 0,18-123 0,-35 120 0,28-141-1365,14-43-5461</inkml:trace>
  <inkml:trace contextRef="#ctx0" brushRef="#br0" timeOffset="890.83">929 264 24575,'2'0'0,"-2"0"0,3 0 0,-2 0 0,1 0 0,1 0 0,-2 0 0,0 0 0,1 2 0,-1-2 0,2 0 0,-2 0 0,0 1 0,0-1 0,-1 0 0,1 2 0,-1-2 0,2 3 0,0-3 0,-2 1 0,3 1 0,-2 3 0,-1-4 0,1 2 0,0-1 0,0 2 0,-1-3 0,1 0 0,-1 1 0,2 1 0,-2-1 0,0 0 0,0 0 0,0 1 0,0 3 0,-3 3 0,2 1 0,-1-2 0,0 1 0,0 3 0,-6 11 0,1-11 0,-2 1 0,4-2 0,-2 0 0,-1 0 0,1 3 0,2-5 0,-9 2 0,8-3 0,-5 3 0,-12 13 0,19-24 0,0 2 0,1-2 0,1 3 0,-2-1 0,1 1 0,-1 2 0,0 0 0,3-2 0,1-3 0,0 0 0,0 0 0,-1 1 0,1-1 0,0 1 0,0-1 0,0 1 0,0-1 0,-1 1 0,1-1 0,0 1 0,0-1 0,0 1 0,0-1 0,0 3 0,0-3 0,0 0 0,0 0 0,1 1 0,-1-1 0,1 1 0,-1 0 0,1-1 0,-1 2 0,0-1 0,1 0 0,0-1 0,0 0 0,-1 1 0,1-1 0,-1 0 0,1 1 0,-1-1 0,4 1 0,34 18 0,-30-16 0,0 0 0,-2 1 0,7 1 0,5 7 0,-10-5 0,51 46 0,-49-46 0,-3 0 0,0 0 0,-1 3 0,3 0 0,5 13 0,-14-21 0,2-1 0,-1 2 0,0-1 0,1-1 0,-2 1 0,1 4 0,1-3 0,-1 0 0,-1-1 0,0-1 0,1 3 0,-1-3 0,0 2 0,0 2 0,-1-3 0,1-1 0,0 2 0,-1 0 0,-1-2 0,2 3 0,-1-1 0,-1 0 0,1 0 0,0-1 0,-1-1 0,2 3 0,0-1 0,-3-2 0,0-1 0,2 3 0,0-1 0,-4 4 0,-7 3 0,3-2 0,-3-1 0,1 1 0,2 1 0,-16 2 0,22-10 0,-25 13-273,-1 0 0,5-4 0,-5 0 0,-40 7 0,44-12-6553</inkml:trace>
  <inkml:trace contextRef="#ctx0" brushRef="#br0" timeOffset="1554.66">1110 545 24575,'2'0'0,"1"0"0,0-1 0,-1 1 0,2-1 0,-1 0 0,-2 0 0,2 1 0,-2-3 0,2 3 0,-2-1 0,3-1 0,4-4 0,21-23 0,-20 19 0,99-117 0,31-32 0,-124 145 0,1-2 0,17-8 0,-32 24 0,0-3 0,1 2 0,-2 1 0,1-2 0,0 2 0,-1-1 0,1 1 0,0 0 0,0-1 0,0 1 0,0 0 0,-1 0 0,1-1 0,0 1 0,1 0 0,-1 1 0,-1-1 0,1 0 0,-1 0 0,2 0 0,-2 1 0,1-1 0,-1 0 0,1 1 0,-1-1 0,0 0 0,0 2 0,0-2 0,0 1 0,0-1 0,0 0 0,2 3 0,-2-3 0,0 1 0,0-1 0,1 1 0,-1-1 0,0 0 0,1 4 0,0 2 0,0-1 0,-1 1 0,0-2 0,0 11 0,0-9 0,-6 155 0,6 259 0,2-400 0,0-4 0,4 28 0,-5-40 0,0-3 0,1 6 0,-1-4 0,-1 1 0,2-1 0,-1 2 0,0-2 0,2 1 0,-2-2 0,2-1 0,0 6 0,2-2 0,-5-4-105,0 0 0,1 0 0,0-1 0,0 2 0,0-1 0,0-1 0,-1 2 0,1-2 0,1 0 0,2 0 0,-3 1 0,3-1 0,15-1-6721</inkml:trace>
  <inkml:trace contextRef="#ctx0" brushRef="#br0" timeOffset="2317.03">1911 237 24575,'-6'0'0,"0"1"0,-1 0 0,2 1 0,0 0 0,-2-1 0,2-1 0,-2 6 0,1-3 0,1-2 0,2 3 0,-6 0 0,7 0 0,-4-3 0,2 4 0,-1 0 0,1 1 0,-1 1 0,-5 4 0,-5 9 0,6 1 0,-8 1 0,-8 35 0,16-35 0,-3 4 0,5 0 0,0-1 0,-3 0 0,4-1 0,2 2 0,-2 51 0,6-74 0,0 2 0,0 0 0,0-1 0,1 0 0,0 2 0,0-1 0,1 0 0,-2-2 0,1 1 0,0 1 0,0-3 0,4 7 0,-2-8 0,-3 2 0,5-1 0,-3-1 0,-1-1 0,1 2 0,0-1 0,-1 4 0,3-4 0,-4 1 0,1-1 0,2 1 0,-1-2 0,-1 1 0,1 0 0,3-1 0,-3 0 0,-1 0 0,1 1 0,1-1 0,0 0 0,-3 0 0,3 0 0,4-1 0,-4 1 0,1 0 0,1-1 0,-2 0 0,0-1 0,0-1 0,4-1 0,-1 1 0,-2 1 0,-2 1 0,1-1 0,-2-2 0,3 3 0,7-10 0,0-4 0,2-1 0,10-18 0,-18 24 0,28-41 0,40-87 0,-60 110 0,-2 1 0,-3 1 0,0-4 0,-1 2 0,10-45 0,-10-25 0,-6 79 0,-1 4 0,-1 0 0,-4-33 0,5 47 0,-2-2 0,2-1 0,0 1 0,0 0 0,-2 2 0,0-1 0,1 1 0,0-6 0,0 6 0,-1-2 0,0 2 0,1-2 0,-4 2 0,3 0 0,1 0 0,-1-1 0,0 2 0,0 0 0,-1-5 0,1 4 0,0 1 0,0-2 0,0 2 0,1-1 0,-1 0 0,-2 1 0,3 0 0,-2-1 0,-3 1 0,-7 0 0,-1 0 0,5 1 0,-3 1 0,-21 6 0,25-6-151,-1 0-1,-3 2 0,2 0 0,1 4 1,-1-4-1,3 2 0,-3 1 1,-10 8-1,3 4-6674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3T09:37:41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24575,'14'1'0,"2"0"0,-3 1 0,0 1 0,2 0 0,16 8 0,62 28 0,-80-35 0,-9 1 0,5 1 0,-1-2 0,-2 2 0,2-1 0,-2 2 0,2 1 0,-2-2 0,2 1 0,-4 1 0,2-2 0,0 2 0,-3-2 0,1 5 0,1-2 0,0-3 0,-1 4 0,4 13 0,-8-21 0,0 0 0,1 1 0,-1 0 0,0-1 0,0 0 0,0 0 0,-1 0 0,1-1 0,0 2 0,-1-2 0,1 1 0,0 1 0,-1-1 0,-1 0 0,0-1 0,0 3 0,-1-1 0,2 1 0,-4-1 0,1 0 0,2 1 0,-2-1 0,4-1 0,-10 6 0,-4-1 0,0-2 0,2 3 0,-19 5 0,5-6 0,-38 8 0,51-13 0,13-2 0,-1 0 0,-1 1 0,1-1 0,-2 0 0,2 0 0,0 0 0,0 1 0,1 0 0,-2 0 0,2-1 0,-3 0 0,2 1 0,-3 0 0,4 0 0,-2 0 0,-3 3 0,5-3 0,0-1 0,0 1 0,-1-1 0,1 1 0,0 0 0,0-1 0,0 1 0,0 0 0,0-1 0,0 1 0,0 0 0,0-1 0,0 1 0,0 0 0,0-1 0,0 2 0,0-2 0,1 2 0,0 0 0,1 0 0,-1 0 0,0-2 0,1 2 0,-2 0 0,4 1 0,0 1 0,8 7 0,5 3 0,0-3 0,-2 1 0,5-2 0,21 12 0,-11-7 0,-5-3 0,75 43 0,-86-47 0,-3 3 0,2-1 0,1-1 0,18 22 0,-32-30 0,0 0 0,3 2 0,-2-2 0,0 1 0,0 0 0,0 0 0,0-2 0,0 2 0,-1-1 0,3 0 0,-3 1 0,0 0 0,1 0 0,-1-1 0,0 1 0,1 0 0,-1 0 0,0 0 0,0-2 0,0 2 0,0-1 0,-1 4 0,0-2 0,1-1 0,-3 0 0,2 0 0,-1 0 0,1-1 0,-1 0 0,0 0 0,1 2 0,1-2 0,-1 2 0,1-2 0,-4 0 0,1 2 0,1-2 0,-1 0 0,-1 1 0,-7 2 0,-2 0 0,3 0 0,-1-2 0,-1 1 0,0 0 0,-14 0 0,-78-2 0,77-2 0,-216-5-1365,222 6-5461</inkml:trace>
  <inkml:trace contextRef="#ctx0" brushRef="#br0" timeOffset="1190.58">860 194 24575,'84'-1'0,"92"3"0,-172-2 0,0 1 0,-1-1 0,0 1 0,0 0 0,5 0 0,-6 0 0,1 0 0,1 1 0,0 0 0,0 0 0,-2 0 0,0 1 0,1-1 0,0 0 0,0 1 0,1 0 0,-2-1 0,1 0 0,-2 0 0,1 3 0,2-2 0,-4-1 0,2 2 0,0-1 0,-1 1 0,1-1 0,0 1 0,0 1 0,-2-2 0,1 1 0,-1 0 0,0 0 0,1-1 0,-1 1 0,-1 4 0,1-5 0,0 1 0,0-1 0,-1-2 0,1 2 0,0 0 0,-2-1 0,0 2 0,0-2 0,1 1 0,0-1 0,-1 0 0,1 1 0,-2-1 0,2 0 0,0-1 0,-4 3 0,-4 2 0,3-1 0,-2 0 0,-15 7 0,18-9 0,-2 1 0,0 0 0,1 0 0,1-1 0,-13 11 0,18-13 0,-1 0 0,0 0 0,1 0 0,-1 0 0,-1 0 0,1 0 0,1 0 0,0 0 0,0 1 0,-1-1 0,1 0 0,-1 2 0,1-2 0,0 1 0,-2-1 0,2 1 0,0-1 0,0 0 0,0 0 0,0 1 0,0 0 0,2 2 0,-1-2 0,0-1 0,0 2 0,1 0 0,-1-1 0,0 0 0,0 1 0,2-1 0,-2 1 0,3-1 0,2 4 0,2 1 0,1 1 0,3-1 0,22 11 0,-19-10 0,-3-3 0,0 1 0,2 1 0,-4-1 0,3 1 0,7 11 0,-17-16 0,2 0 0,-4 0 0,0 0 0,1 0 0,0 1 0,0-1 0,-1 0 0,0 1 0,-1-1 0,1 1 0,0 0 0,0 0 0,0 1 0,-1-2 0,1 1 0,0-1 0,-1 1 0,0 0 0,0 0 0,0 1 0,0 0 0,0-2 0,-1 1 0,1-1 0,-1 1 0,0 0 0,0 0 0,1 0 0,-2 1 0,1 1 8,-1-1-1,-1 1 1,1-1-1,0-2 1,-4 4-1,3-3 1,-1 2-1,0-2 1,1 0-1,0 0 1,1-1-1,-3 1 1,-1-1-1,2 0 1,-8 5-1,-4-2-378,2-1-1,-1 0 1,-26 1 0,14-2-6455</inkml:trace>
  <inkml:trace contextRef="#ctx0" brushRef="#br0" timeOffset="2406.77">1757 157 24575,'-17'0'0,"-27"-7"0,29 3 0,-23 1 0,36 3 0,1 0 0,-2 0 0,1 0 0,-1 1 0,-1-1 0,4 1 0,0-1 0,-1 1 0,0-1 0,-2 0 0,1 1 0,1 0 0,-1 1 0,-1-1 0,2 0 0,1 0 0,-2 2 0,1-2 0,-1 0 0,1 1 0,0-1 0,1 1 0,-1-1 0,0 1 0,0-1 0,0 0 0,0 1 0,1 0 0,-3 0 0,3-1 0,0 2 0,0-2 0,-1 3 0,0 6 0,0 2 0,0 0 0,1-1 0,2 15 0,-1-9 0,-1 14 0,0-19 0,0-2 0,0 0 0,1 2 0,-1 0 0,4-1 0,-1 0 0,-2-2 0,6 14 0,0-11 0,0-2 0,0 2 0,2 0 0,-2-1 0,2 0 0,1-2 0,-1 1 0,1 1 0,-1-2 0,2-2 0,18 12 0,-24-16 0,3 3 0,-2-2 0,-1 1 0,-2 0 0,3-1 0,-1 0 0,7 11 0,-11-14 0,0 1 0,0-1 0,0 0 0,-1 0 0,0 1 0,2 0 0,-2-1 0,0 1 0,2 1 0,-2-1 0,0 0 0,0 0 0,2 0 0,-2-1 0,0 1 0,0-1 0,0 1 0,0 0 0,0-1 0,-2 1 0,2 0 0,0 0 0,0 0 0,-2-1 0,2 0 0,0 0 0,-2 1 0,2 0 0,0 0 0,-1-1 0,0 1 0,0-1 0,-2 3 0,-7 1 0,0 1 0,3 2 0,-1-3 0,-3-2 0,4 2 0,-23 3 0,-9 10 0,-70 26-1365,81-35-5461</inkml:trace>
  <inkml:trace contextRef="#ctx0" brushRef="#br0" timeOffset="3275.98">1923 312 24575,'-1'56'0,"1"54"0,1-97 0,0 3 0,2-3 0,-1 2 0,1-2 0,7 19 0,-8-27 0,1-1 0,-1 0 0,1-1 0,0 1 0,-1 0 0,1 1 0,1 0 0,0-3 0,0 0 0,-1 1 0,0 0 0,1 0 0,-1 0 0,-1-1 0,3 0 0,9 3 0,-11-4 0,-1 1 0,3-1 0,0 0 0,-1 0 0,2-1 0,-3 1 0,1-1 0,0 0 0,0 0 0,0-1 0,-1 1 0,2-1 0,3 0 0,-6 0 0,0 0 0,2 0 0,0-2 0,7-1 0,-8 2 0,1-1 0,0 0 0,-2 0 0,1 0 0,0 1 0,2-1 0,-3-1 0,0-1 0,-1 1 0,2 1 0,-2 0 0,0-1 0,1 0 0,-2-1 0,3 1 0,-2 0 0,0 1 0,-1-7 0,2-11 0,-1 2 0,-3-35 0,1 29 0,1-15 0,0 19 0,0 1 0,-1-3 0,-3 4 0,-3-26 0,6 40 0,1-1 0,-1 2 0,-1-2 0,0 1 0,-2 1 0,1 0 0,1 0 0,-1-2 0,1 3 0,-2 0 0,0-1 0,1 0 0,1 1 0,-2-2 0,-1 2 0,1 0 0,1 0 0,0 0 0,-5 1 0,3-1 0,2 2 0,-8-3 0,6 3 0,-3-1 0,1 1 0,-1 0 0,4 0 0,-3 1 0,-1 0 0,2 0 0,-1 0 0,2 1 0,-3 0 0,1 2 0,1-2 0,-1 1 0,2 0 0,-4 0 0,-5 5 0,-3 6 0,-3-1 0,3 0 0,-29 28 0,39-37-227,6 0-1,-2 1 1,-2 0-1,3 0 1,-6 8-1,4 0-6598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3T09:37:52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1 361 24575,'0'-6'0,"1"2"0,0-3 0,1 3 0,-1-3 0,-1 2 0,3 1 0,-1-2 0,2-1 0,-1-1 0,4-5 0,2-2 0,1-4 0,2 1 0,0 0 0,1 2 0,0 0 0,17-16 0,101-78 0,-92 76 0,-38 34 0,0-1 0,-1 1 0,2-2 0,-1 2 0,2 0 0,-2-4 0,2 3 0,-3 0 0,2 1 0,1-1 0,-2 1 0,1-1 0,2 1 0,-3 0 0,2-1 0,-1 1 0,-2 1 0,1-1 0,1 1 0,-1 0 0,3-1 0,-4 1 0,2 0 0,-2 3 0,3-4 0,-2 0 0,0 2 0,1-2 0,-1 0 0,0 1 0,-1 1 0,2-1 0,-2 1 0,2-1 0,-2-1 0,0 4 0,0-3 0,0 1 0,2 1 0,4 19 0,1 2 0,1 38 0,-3-39 0,9 131 0,7 24 0,-16-128-1365,6-8-5461</inkml:trace>
  <inkml:trace contextRef="#ctx0" brushRef="#br0" timeOffset="647.75">710 173 24575,'0'0'0,"0"-2"0,0 2 0,0 0 0,0 0 0,0-1 0,0 1 0,2 0 0,-2 0 0,0 0 0,0 0 0,1-2 0,-1 2 0,0 0 0,0 0 0,0 0 0,0 0 0,0 0 0,0-2 0,0 2 0,0 0 0,0-1 0,1 1 0,-1 0 0,0 0 0,0-1 0,19-5 0,-18 6 0,45-7 0,-2 2 0,85 4 0,-76 1 0,-28 0 0,-12-1 0,1 1 0,-2 1 0,25 3 0,-36-4 0,1 2 0,1-1 0,-2-1 0,1 1 0,-1 0 0,2 1 0,1-2 0,-4 1 0,1 1 0,0-1 0,0 0 0,0 2 0,3-2 0,-4 2 0,1-3 0,1 2 0,-1-2 0,-1 1 0,2 1 0,-2 0 0,1 3 0,0-3 0,-1-1 0,1-1 0,-1 2 0,1 1 0,-1-2 0,0 7 0,1 3 0,-1-4 0,-1 6 0,1-3 0,-4 14 0,4-21 0,-20 79 0,13-55 0,2 1 0,-4 25 0,7 51-1365,2-76-5461</inkml:trace>
  <inkml:trace contextRef="#ctx0" brushRef="#br0" timeOffset="1088.96">823 333 24575,'6'0'0,"11"0"0,11 0 0,9 0 0,5 0 0,-9 0 0,3 0 0,-5 0-8191</inkml:trace>
  <inkml:trace contextRef="#ctx0" brushRef="#br0" timeOffset="1942.57">1345 228 24575,'353'21'0,"-289"-14"0,29 3 0,-91-10 0,4 1 0,-5-1 0,4 1 0,-2 0 0,0 0 0,-1 1 0,7 4 0,-9-6 0,0 0 0,0 0 0,0 0 0,0 3 0,0-3 0,1 0 0,-1 1 0,1-1 0,-1 0 0,0 1 0,0 0 0,0-1 0,4 0 0,-4 0 0,0 3 0,0-1 0,0-2 0,0 0 0,0 1 0,0-1 0,0 0 0,0 0 0,0 0 0,0 2 0,0-1 0,0 1 0,0 0 0,0-1 0,0-1 0,0 0 0,-4 2 0,4 1 0,-13 34 0,7-23 0,1 0 0,-3 0 0,6 0 0,-8 19 0,2 40-48,0 18 192,2-75-437,5-1 1,-2-3 0,-4 0 0,-4 22 0,2-14-6534</inkml:trace>
  <inkml:trace contextRef="#ctx0" brushRef="#br0" timeOffset="2330">1494 443 24575,'1'0'0,"11"0"0,13 0 0,7 0 0,10 0 0,1 0 0,9 0 0,-10 0-8191</inkml:trace>
  <inkml:trace contextRef="#ctx0" brushRef="#br0" timeOffset="3199.28">2181 469 24575,'-31'0'0,"21"-1"0,-3 1 0,0 0 0,0 1 0,-11 3 0,22-4 0,-2 1 0,1 0 0,1-1 0,1 1 0,0-1 0,1 3 0,-3-2 0,1-1 0,-1 2 0,1-1 0,2 0 0,-2 4 0,2-4 0,-1 0 0,0 1 0,0 0 0,1 0 0,-1-1 0,0 2 0,1-2 0,-1 2 0,-3 1 0,4-4 0,-4 6 0,3 4 0,1 2 0,-1-2 0,1 20 0,0-19 0,1-2 0,-1-2 0,0 3 0,1 1 0,3-4 0,1 1 0,-4 1 0,1 0 0,0-1 0,6 9 0,-4-11 0,-4-2 0,2-1 0,1 3 0,4-2 0,-5-2 0,0 2 0,3 2 0,2-4 0,-4 0 0,-3 3 0,6-3 0,-1 1 0,-2-2 0,3 3 0,-4-1 0,11 1 0,-1-1 0,-1-1 0,0 2 0,5-3 0,-6 1 0,2-2 0,-2 1 0,3-2 0,0 1 0,-3-2 0,2 1 0,-1-3 0,4 2 0,-6-1 0,23-12 0,-16 7 0,66-44 0,-75 50 0,2-2 0,-3-4 0,2 1 0,-3 1 0,0 0 0,1-2 0,0 2 0,6-14 0,-11 17 0,1-2 0,1 1 0,1 2 0,-4-1 0,0-2 0,1 0 0,0 3 0,-1-2 0,1-2 0,-1 4 0,0-3 0,1 1 0,-2 1 0,1 0 0,0-3 0,-1-6 0,-1 6 0,-1 1 0,1-1 0,-2 4 0,3-6 0,0 4 0,-3-1 0,0 2 0,0-6 0,-1 6 0,-4-6 0,-8-6 0,-2 2 0,-1 2 0,3-2 0,-36-15 0,49 27 0,-4-4-80,-69-31 290,69 33-397,0 1 0,1 1 1,-2-2-1,0 2 0,1 0 0,0-1 0,-11 2 0,0 4-6639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5:51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0 218 24575,'3'-1'0,"-1"0"0,1 0 0,0 0 0,-1 0 0,1-1 0,-1 1 0,0 0 0,1-1 0,-1 0 0,0 0 0,2-2 0,10-6 0,19-11 0,32-25 0,-56 39 0,-6 4 0,1-1 0,0 1 0,0 0 0,0 1 0,8-5 0,-12 7 0,1 0 0,-1 0 0,1-1 0,-1 1 0,1 0 0,-1 0 0,1 0 0,0 0 0,-1 0 0,1 0 0,-1 0 0,1 0 0,-1 0 0,1 0 0,0 0 0,-1 1 0,1-1 0,-1 0 0,1 0 0,-1 0 0,2 1 0,-2 0 0,1 0 0,0 0 0,0 0 0,-1 0 0,1 0 0,-1 0 0,1 0 0,-1 0 0,1 0 0,-1 0 0,0 0 0,0 0 0,1 0 0,-1 0 0,0 2 0,0 4 6,0-1-1,0 0 1,-1 0 0,0 0-1,-2 7 1,0 6-1405,0-3-5427</inkml:trace>
  <inkml:trace contextRef="#ctx0" brushRef="#br0" timeOffset="1306.22">461 1 24575,'-5'1'0,"0"0"0,0 1 0,0 0 0,0 0 0,0 1 0,0-1 0,1 1 0,-1 0 0,-4 4 0,-2 2 0,1 1 0,0 0 0,0 0 0,1 1 0,-12 20 0,18-27 0,-1 2 0,2-1 0,-1 0 0,0 0 0,1 1 0,0 0 0,1-1 0,-1 1 0,1 0 0,0 0 0,0 0 0,1 0 0,0 0 0,0 0 0,0 0 0,2 5 0,-2-9 0,1 0 0,0-1 0,0 1 0,0-1 0,0 1 0,0-1 0,0 1 0,0-1 0,0 0 0,0 0 0,1 1 0,-1-1 0,1 0 0,-1 0 0,1 0 0,-1-1 0,1 1 0,-1 0 0,1 0 0,0-1 0,-1 1 0,1-1 0,0 0 0,0 1 0,-1-1 0,1 0 0,0 0 0,0 0 0,-1 0 0,1 0 0,2-1 0,-1 1 0,1-1 0,0 1 0,-1-1 0,1 0 0,-1 0 0,1 0 0,-1 0 0,1-1 0,-1 1 0,0-1 0,0 0 0,0 0 0,0 0 0,4-4 0,-4 3 0,0-1 0,0 0 0,0 0 0,-1-1 0,1 1 0,-1 0 0,0-1 0,-1 1 0,3-9 0,-4 12 0,1-1 0,-1 1 0,0-1 0,0 1 0,0 0 0,-1-1 0,1 1 0,0-1 0,0 1 0,-1 0 0,1-1 0,-1 1 0,1 0 0,-1 0 0,0-1 0,1 1 0,-1 0 0,0 0 0,0 0 0,0 0 0,0 0 0,0 0 0,0 0 0,0 0 0,0 0 0,0 0 0,0 0 0,-1 1 0,1-1 0,0 1 0,0-1 0,-1 1 0,1-1 0,0 1 0,-1-1 0,1 1 0,-3 0 0,-1-1-227,0 0-1,0 1 1,0 0-1,0 0 1,-7 1-1,-6 1-6598</inkml:trace>
  <inkml:trace contextRef="#ctx0" brushRef="#br0" timeOffset="2604.52">638 96 24575,'-7'0'0,"0"0"0,1 1 0,-1 0 0,1 0 0,-1 1 0,1 0 0,0 0 0,-1 0 0,1 1 0,-6 3 0,10-5 0,0 1 0,0-1 0,0 0 0,0 1 0,0 0 0,0-1 0,1 1 0,-1 0 0,0 0 0,1 0 0,0 0 0,-1 0 0,1 0 0,0 0 0,0 1 0,0-1 0,0 0 0,1 1 0,-1-1 0,1 0 0,-1 1 0,1-1 0,0 1 0,0-1 0,0 1 0,0-1 0,0 1 0,1-1 0,-1 0 0,2 4 0,-1-4 0,0 1 0,0-1 0,1 0 0,-1 0 0,1 1 0,0-1 0,0 0 0,-1-1 0,1 1 0,1 0 0,-1 0 0,0-1 0,0 0 0,1 1 0,-1-1 0,0 0 0,1 0 0,-1 0 0,1 0 0,0 0 0,-1-1 0,1 1 0,-1-1 0,6 0 0,3 1 0,0 0 0,0-1 0,0-1 0,19-3 0,-28 4 0,0 0 0,-1-1 0,1 1 0,0-1 0,0 0 0,0 1 0,0-1 0,0 0 0,-1 0 0,1 0 0,0 0 0,-1-1 0,1 1 0,-1 0 0,1-1 0,-1 1 0,0-1 0,1 0 0,-1 1 0,0-1 0,0 0 0,0 1 0,0-1 0,-1 0 0,1 0 0,0 0 0,-1 0 0,1 0 0,-1 0 0,0 0 0,0 0 0,0 0 0,0 0 0,0 0 0,0 0 0,0 0 0,-1 0 0,1 0 0,-1 0 0,1 0 0,-1 0 0,0 0 0,0 1 0,0-1 0,0 0 0,0 0 0,0 1 0,0-1 0,0 1 0,-1-1 0,1 1 0,-1-1 0,1 1 0,-1 0 0,0 0 0,1 0 0,-1 0 0,0 0 0,0 0 0,0 0 0,-2 0 0,-28-10-1365,19 5-5461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6:00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223 1 24575,'-57'-1'0,"-65"2"0,120 0 0,0-1 0,0 0 0,0 0 0,0 1 0,1-1 0,-1 0 0,0 1 0,0 1 0,1-1 0,-1-1 0,0 2 0,1-1 0,-1-1 0,1 1 0,-1 0 0,1 1 0,0 0 0,-1-1 0,1 0 0,0 1 0,0-1 0,0 1 0,0-1 0,0 1 0,1 0 0,-1 0 0,0-1 0,1 0 0,0 1 0,-1 1 0,1 1 0,-2 7 0,2 1 0,-1 1 0,2-2 0,1 12 0,0-2 0,-2-14 0,0-3 0,1 1 0,-1 0 0,1 1 0,0-2 0,4 11 0,-4-14 0,-1 0 0,1 0 0,0 0 0,0 0 0,0 0 0,0 1 0,0-1 0,0 0 0,0 0 0,0 0 0,0 0 0,0-1 0,1 1 0,-1 0 0,0-1 0,1 0 0,-1 2 0,1-2 0,-1 1 0,1-1 0,-1 1 0,1-1 0,-1 0 0,1 0 0,-1 0 0,1 0 0,-1 0 0,1 0 0,1 0 0,36-7 0,21-2 0,-56 8 0,0 1 0,0 0 0,-1 1 0,1-1 0,0 1 0,0-1 0,0 1 0,0 0 0,-1 1 0,1-1 0,0 1 0,3 2 0,-6-4 0,1 0 0,-1 2 0,0-2 0,0 1 0,0 0 0,-1 0 0,1 0 0,0 0 0,0-1 0,0 1 0,-1 0 0,1 0 0,0 0 0,-1 1 0,1-1 0,-1 0 0,0 0 0,1 0 0,-1 1 0,0-1 0,0-1 0,0 2 0,0 0 0,0-1 0,0 0 0,0 0 0,0 0 0,0 0 0,0 0 0,-1 1 0,1 0 0,-1-2 0,1 1 0,-1 0 0,1 0 0,-1 0 0,1 0 0,-1 0 0,-1 2 0,-3 3 0,-1 1 0,-1 0 0,1-1 0,-11 9 0,8-7 0,-2 0-17,-1 0-1,0-1 0,0 0 1,0 0-1,-1-1 0,-18 5 1,-2 1-1225,23-7-5584</inkml:trace>
  <inkml:trace contextRef="#ctx0" brushRef="#br0" timeOffset="1513.14">318 66 24575,'0'2'0,"0"0"0,1 0 0,-1 0 0,0 1 0,1-2 0,-1 2 0,1-1 0,0 0 0,0 0 0,0 0 0,0 0 0,0-1 0,0 1 0,1 1 0,-1-2 0,1 1 0,-1-1 0,1 1 0,0 0 0,-1-1 0,1 0 0,0 1 0,0-1 0,0 0 0,0 0 0,0-1 0,0 1 0,1 0 0,-1-1 0,0 2 0,0-1 0,0-1 0,1 0 0,-1 0 0,0 1 0,1-1 0,-1-1 0,0 1 0,1 0 0,-1-1 0,0 1 0,0-2 0,3 1 0,-2 0 0,-1 1 0,0-2 0,0 1 0,0 0 0,-1 0 0,1-1 0,0 1 0,0-1 0,-1 0 0,1 0 0,-1 2 0,1-2 0,1-3 0,11-22 0,-13 25 0,-7 28 0,-17 44 0,15-48 0,2-3-341,1 0 0,0 0-1,-2 34 1,6-37-6485</inkml:trace>
  <inkml:trace contextRef="#ctx0" brushRef="#br0" timeOffset="2464.17">582 118 24575,'25'-1'0,"-18"0"0,0-1 0,-1 2 0,1 0 0,0 0 0,0 0 0,0 2 0,-1-1 0,1 1 0,11 2 0,-17-3 0,-1-1 0,1 1 0,0-1 0,-1 1 0,1 0 0,-1-1 0,1 1 0,-1 0 0,1-1 0,-1 1 0,1 0 0,-1 0 0,0-1 0,1 0 0,-1 1 0,0 1 0,0-1 0,0 0 0,0 0 0,1-1 0,-1 1 0,0-1 0,0 1 0,-1 0 0,1 0 0,0 0 0,0-1 0,0 1 0,-1 1 0,-12 29 0,5-15 0,8-14-15,-7 16-435,2 2 0,-5 37 0,9-41-6376</inkml:trace>
  <inkml:trace contextRef="#ctx0" brushRef="#br0" timeOffset="3213.69">522 226 24575,'4'0'0,"5"0"0,5 0 0,3 0 0,2 0 0,1 0 0,1 0 0,0 0 0,1 0 0,-4 0-8191</inkml:trace>
  <inkml:trace contextRef="#ctx0" brushRef="#br0" timeOffset="4740.72">948 187 24575,'0'-1'0,"0"1"0,0 0 0,0 0 0,0 0 0,0-2 0,0 2 0,0 0 0,0-1 0,0 1 0,0 0 0,-1-1 0,1 1 0,0 0 0,0 0 0,0-1 0,-1 1 0,1 0 0,0 0 0,0-1 0,-1 1 0,1 0 0,0 0 0,0 0 0,-1 0 0,1 0 0,0 0 0,-1 0 0,1 0 0,0-1 0,-1 1 0,1 0 0,-1 0 0,-14 1 0,-14 8 0,26-6 0,0-2 0,0 3 0,1-1 0,-1-1 0,1 2 0,-1-2 0,1 1 0,0 1 0,0-1 0,0 0 0,1 1 0,-1-1 0,1 1 0,0-1 0,0 1 0,0-1 0,1 2 0,-1-2 0,1 1 0,0 0 0,1 6 0,-1-7 0,0 0 0,0 1 0,0-1 0,1 1 0,0-1 0,-1 0 0,1 1 0,1-1 0,-1 0 0,0 1 0,1-1 0,0-1 0,0 1 0,0 0 0,0 0 0,0 0 0,0 0 0,1-1 0,0 0 0,-1 0 0,1 0 0,0 1 0,4 1 0,3-1 0,0 1 0,0-2 0,0 1 0,0 0 0,0-2 0,0 0 0,1-1 0,-1 1 0,1-2 0,-1 1 0,16-4 0,-24 4 0,-1 0 0,1-1 0,-1 1 0,1-1 0,-1 1 0,0-1 0,1 1 0,-1-1 0,0 1 0,0-1 0,1 1 0,-1-1 0,0 0 0,0 0 0,0-1 0,0 1 0,0 0 0,0 0 0,0 0 0,-1 0 0,1-1 0,0 1 0,-1 1 0,1-3 0,-1 2 0,1 0 0,-1 0 0,0 0 0,1-1 0,-1 1 0,0-2 0,0 3 0,0-2 0,0 1 0,0 0 0,-1-1 0,1 1 0,0-1 0,-1 1 0,1-1 0,-1 1 0,1 0 0,-2-1 0,-1-5 0,0 0 0,-1 1 0,0-1 0,-1 1 0,0 0 0,-8-9 0,10 12-97,-1 1-1,1-2 1,-1 2-1,1 0 1,-1 0-1,0 0 1,0 0-1,0 1 1,0-1-1,0 1 1,-1 0-1,1 0 0,-5 0 1,-6-2-6729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7:46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 63 24575,'-46'-2'0,"30"1"0,0 0 0,-1 1 0,1 1 0,-28 5 0,43-6 0,-1 1 0,1 0 0,-1-1 0,1 1 0,-1-1 0,1 1 0,-1 1 0,1-1 0,0 0 0,0 0 0,0 0 0,-1 1 0,1-1 0,0 1 0,1-2 0,-1 1 0,0 1 0,0 0 0,1-1 0,-1 1 0,1-1 0,-1 1 0,1-1 0,-1 1 0,1-1 0,0 3 0,-1 5 0,1 1 0,0 1 0,2 10 0,-1-7 0,-1 14 0,-1-17 0,2-1 0,-1 0 0,1 1 0,3 11 0,-3-21 0,-1 0 0,1 1 0,-1-1 0,1 0 0,0 0 0,-1 1 0,1-1 0,0-1 0,0 1 0,0 0 0,0 0 0,0 0 0,0 0 0,0 0 0,0-1 0,0 1 0,1 0 0,-1 0 0,0-1 0,0 1 0,1-1 0,-1 1 0,1-1 0,-1 0 0,0 0 0,1 1 0,-1-1 0,0 0 0,3 0 0,5-1 0,0 0 0,0 0 0,16-4 0,-1 1 0,-15 3 0,-1 0 0,1 0 0,0 1 0,0 0 0,-1 1 0,16 1 0,-22-1 0,1 0 0,-1 0 0,0 0 0,1 0 0,-1 0 0,0 1 0,0-1 0,0 1 0,0-1 0,0 0 0,0 1 0,0 0 0,-1 0 0,1 0 0,0 0 0,-1 0 0,0-1 0,1 1 0,-1 1 0,0-1 0,0 0 0,-1 1 0,1-2 0,0 2 0,-1-1 0,1 1 0,-1 2 0,1 2 0,-1-1 0,1 2 0,-1-2 0,-1 1 0,0 0 0,-2 11 0,2-16 0,0 2 0,0-1 0,-1 0 0,1 0 0,-1 0 0,0 0 0,0 0 0,0-1 0,0 1 0,0 0 0,-1 0 0,1-1 0,-1 0 0,1 0 0,-5 3 0,-17 10-98,16-9-43,0 0 0,0-2 1,-1 1-1,1 0 0,-1-1 0,0 0 1,-1 0-1,-17 3 0,14-7-6685</inkml:trace>
  <inkml:trace contextRef="#ctx0" brushRef="#br0" timeOffset="969.12">509 0 24575,'0'46'0,"-2"-17"0,3 0 0,6 47 0,-7-74 0,1 2 0,0-1 0,0 0 0,0 0 0,1 0 0,-1 0 0,1 0 0,-1-1 0,1 1 0,0 0 0,0-1 0,1 1 0,-1-2 0,0 2 0,1-1 0,0 0 0,-1 0 0,1 0 0,0-1 0,0 1 0,0-1 0,0 1 0,1-1 0,-1 0 0,6 2 0,-3-2 0,1 0 0,-1 0 0,1-1 0,-1 0 0,1 0 0,-1 0 0,1-1 0,0 0 0,-1 0 0,0-1 0,1 0 0,11-4 0,-14 4 0,-1 1 0,1-2 0,-1 1 0,1 0 0,-1 0 0,0 0 0,0-1 0,0 0 0,-1 0 0,1 1 0,0-2 0,-1 1 0,0 0 0,0 0 0,0-1 0,0 1 0,-1-1 0,0 1 0,1-1 0,-1 0 0,0-5 0,-15 88 0,8-40-11,-2 36-1343,7-59-5472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7:50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347 50 24575,'-39'1'0,"19"0"0,1-1 0,0 0 0,0-1 0,3 0 0,-32-9 0,45 9 0,1 1 0,2 0 0,-1-1 0,0 1 0,-2 0 0,2 0 0,1 0 0,-1 0 0,0 0 0,0 0 0,0 0 0,-1 0 0,1 0 0,0 1 0,1-1 0,0 0 0,-1 1 0,1-1 0,-2 1 0,0-1 0,1 1 0,-1-1 0,0 1 0,2 0 0,-1-1 0,1 1 0,0 0 0,-1 0 0,1-1 0,0 2 0,0-1 0,-3-1 0,3 1 0,-4 0 0,4 0 0,-1 0 0,1 0 0,0 0 0,0-1 0,0 1 0,0 0 0,0 1 0,0 1 0,-1 7 0,1 0 0,0-1 0,0 18 0,1-14 0,4 105 0,-5-116 0,0 0 0,0-1 0,3 1 0,-3 1 0,0-1 0,0-1 0,0 1 0,1 0 0,-1-1 0,0 1 0,1 0 0,-1-1 0,2 1 0,1-1 0,-1 0 0,0-1 0,-2 1 0,1 0 0,-1 0 0,2 0 0,0 1 0,0-1 0,2 1 0,6 1 0,-2-1 0,-3 0 0,7 0 0,11 3 0,-17-5 0,1 2 0,1-1 0,-2 1 0,3-1 0,10 5 0,-17-5 0,3 2 0,-3 0 0,0-2 0,0 2 0,2-1 0,-2 1 0,-1 0 0,4-1 0,-4 1 0,0-1 0,0 2 0,-1 0 0,0-2 0,4 0 0,-4 2 0,2 0 0,1 5 0,-3-4 0,0 1 0,1-1 0,-1 0 0,0 0 0,-1 1 0,1 0 0,0-2 0,-2 3 0,-1-3 0,-1 9 0,4-11 0,-2 0 0,1 1 0,-4 0 0,4 0 0,-1-2 0,0 3 0,-2-3 0,2 2 0,0-1 0,-6 3 0,-36 14 0,16-4 0,19-11-85,-2 0 0,2 0-1,-3-1 1,3 0 0,-2 0-1,1-2 1,1 0 0,-4 0-1,1 0 1,1-1 0,0 0-1,2-1 1,-3 0 0,2 1-1,-16-5 1,13 2-6741</inkml:trace>
  <inkml:trace contextRef="#ctx0" brushRef="#br0" timeOffset="1077.8">568 129 24575,'-3'0'0,"3"0"0,-3 0 0,1 0 0,-1 1 0,1-1 0,0 1 0,0-1 0,0 1 0,0 0 0,-1-1 0,3 1 0,-3 0 0,1-1 0,2 1 0,-3 1 0,0-1 0,2 0 0,-1 4 0,0-3 0,-1 0 0,1 2 0,-1-1 0,2 0 0,0 0 0,-1 1 0,2-2 0,0 2 0,-4 2 0,1 8 0,2 0 0,0-2 0,1 2 0,1 14 0,-1-25 0,0 1 0,1-1 0,0 1 0,-1-1 0,2-2 0,2 3 0,-4 0 0,0-1 0,2-1 0,0 2 0,1 0 0,-1-1 0,1 0 0,-2-1 0,1 1 0,0-1 0,1-1 0,2 3 0,-2-2 0,0 0 0,1 0 0,-2 0 0,2 1 0,-1-3 0,2 2 0,-1-1 0,-2 0 0,2 1 0,2-1 0,-4-1 0,0 1 0,5-1 0,-2 1 0,-2-1 0,-1 0 0,4 0 0,-3-1 0,0 1 0,2-1 0,5-2 0,-7 2 0,-1 0 0,3-1 0,-3 2 0,-1-3 0,0 2 0,1-1 0,2 0 0,-3 1 0,4-1 0,-4-2 0,0 3 0,0 0 0,0-2 0,0 1 0,0 0 0,4 0 0,-3-5 0,1 1 0,-2-2 0,4 3 0,-5-3 0,5-13 0,2-29 0,-4 27 0,0 0 0,0 1 0,-3-3 0,-4-39 0,4 62-49,0 0 1,0 1-1,0 0 0,-2 0 0,2-1 1,0-1-1,-1 1 0,1 0 0,-2 1 1,2-1-1,-2 2 0,2-2 0,-2 2 1,1-2-1,1 1 0,-2 0 0,-2-1 1,3 1-1,1 0 0,0 0 0,-1-1 1,-3 1-1,3 1 0,0-1 0,-1 0 0,1 0 1,-6 0-1,-7-2-6777</inkml:trace>
  <inkml:trace contextRef="#ctx0" brushRef="#br0" timeOffset="1902.66">734 36 24575,'0'20'0,"0"-1"0,0-1 0,-3 1 0,0 1 0,1-1 0,-15 35 0,9-36 0,4 0 0,-1 0 0,2 0 0,1-2 0,-1 22 0,-3-1 0,5 36 0,1-51 0,0 31 0,0-51 0,0-1 0,0-1 0,0 2 0,0 0 0,0-1 0,-1 2 0,1-2 0,-2 1 0,2-1 0,-2 1 0,1-1 0,1 0 0,0-1 0,-1 2 0,1-1 0,-2 0 0,1 1 0,0-1 0,-4 0 0,4 0 0,1 1 0,-2-1 0,2-1 0,-1 1 0,0 0 0,0 0 0,-4-1 0,5 1 0,-1-1 0,-3 1 0,3-1 0,0 1 0,0-1 0,0 0 0,0 0 0,0 0 0,-6 0 0,-5-1 0,3-1 0,-1 0 0,1 1 0,-1-3 0,-13-4 0,-12-3 0,19 8 0,1 2 0,-21 0 0,-21-2 0,46 0-1365</inkml:trace>
  <inkml:trace contextRef="#ctx0" brushRef="#br0" timeOffset="2869.4">1008 99 24575,'-7'0'0,"0"0"0,-1 0 0,2 1 0,0 0 0,-3 0 0,5 0 0,-4 0 0,3 2 0,-15 3 0,19-4 0,-2 0 0,1 0 0,0 0 0,-3 0 0,2 0 0,0 1 0,2-1 0,-1 0 0,1 1 0,-1-1 0,-1 1 0,0 1 0,2-1 0,1-1 0,0 1 0,-1 0 0,1 0 0,0 0 0,-1 0 0,1 0 0,-1 3 0,1-3 0,0 3 0,0-1 0,0-1 0,0 0 0,0 1 0,1-1 0,0 0 0,-1 1 0,1-1 0,-1 1 0,1-1 0,8 8 0,-8-9 0,0-1 0,1-1 0,2 1 0,-3 0 0,4 0 0,-3 0 0,0-1 0,1 1 0,-2 0 0,3 1 0,-2-2 0,3 0 0,-3 0 0,2 0 0,-2-1 0,2 1 0,-2 0 0,1-1 0,2 1 0,-1-1 0,12 2 0,-2-2 0,0 1 0,-1-2 0,1 0 0,20-3 0,-32 3 0,0 1 0,-1-1 0,1 0 0,-1 0 0,0 0 0,0-1 0,3 1 0,-3 0 0,-1 0 0,2-1 0,1 1 0,-2 0 0,0 0 0,0 0 0,-1-1 0,1 1 0,-1-1 0,1 1 0,0 0 0,-1 0 0,1-2 0,-1 1 0,0 1 0,1 0 0,-1-3 0,1-7 0,-1 0 0,0 2 0,-2-13 0,1 9 0,1 0-116,-4-37 366,4 46-357,-1 1 0,0 2 0,-2 0 0,3-2 0,-2-1 0,2 1 0,-3 0-1,1 0 1,0 1 0,1-1 0,-2 1 0,2-2 0,-5-1 0,-6 0-6719</inkml:trace>
  <inkml:trace contextRef="#ctx0" brushRef="#br0" timeOffset="4098.29">1094 54 24575,'1'120'0,"-3"139"0,2-256 0,0 1 0,0 0 0,0-1 0,-1 1 0,1-1 0,-1 1 0,-3 0 0,4-4 0,-2 3 0,1 2 0,-3-2 0,2 0 0,1 0 0,-2 0 0,-4 6 0,5-6 0,-6-1 0,6 0 0,-2 0 0,1 0 0,-3-1 0,3 0 0,-1 2 0,1-2 0,-5 0 0,6 0 0,-1 0 0,-2-1 0,0 1 0,-4-1 0,-37 0-1365,26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8:19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1 183 24575,'4'-1'0,"-1"-1"0,1 0 0,0 1 0,-1-1 0,1-1 0,-1 1 0,0-1 0,0 1 0,0-1 0,4-5 0,-3 5 0,14-14 0,0 3 0,-2-2 0,-1-1 0,15-19 0,-29 35 0,-1-1 0,1 1 0,0 0 0,-1 0 0,1 0 0,0 0 0,0 0 0,0 0 0,0 0 0,-1 1 0,2 0 0,-1-1 0,0 0 0,0 1 0,0-1 0,0 0 0,2 0 0,-2 1 0,-1 0 0,1 0 0,0 1 0,-1-1 0,1 0 0,-1 0 0,1 0 0,-1 1 0,1-1 0,-1 0 0,1 1 0,-1-1 0,0 0 0,1 1 0,-1-1 0,1 1 0,-1-1 0,0 0 0,1 0 0,-1 1 0,0-1 0,0 1 0,1-1 0,-1 1 0,0-1 0,0 2 0,2 4 0,0-1 0,-1 2 0,0-1 0,0-1 0,0 9 0,-3 160-1365,2-159-5461</inkml:trace>
  <inkml:trace contextRef="#ctx0" brushRef="#br0" timeOffset="1261.83">588 13 24575,'-19'0'0,"5"-1"0,1 1 0,-1 1 0,1 0 0,-19 3 0,29-4 0,0 1 0,0 0 0,0 0 0,0 0 0,1 1 0,-1-1 0,0 0 0,1 1 0,-1-1 0,1 1 0,-1-1 0,1 2 0,0-1 0,0 0 0,0-1 0,0 2 0,0-1 0,1 1 0,-1-1 0,1 0 0,-1 1 0,1-1 0,0 1 0,-1 4 0,2-5 0,-1 0 0,1 0 0,0-1 0,0 1 0,0 0 0,1 0 0,-1-1 0,0 1 0,1 0 0,-1-1 0,1 1 0,0-1 0,-1 1 0,1 0 0,0-1 0,0 1 0,0-1 0,0 0 0,0 1 0,1-1 0,-1 0 0,0 1 0,1-1 0,-1 0 0,1 0 0,-1 0 0,1-1 0,2 2 0,5 3 0,1 0 0,0-2 0,18 5 0,-16-4 0,-7-3 0,1 1 0,-1 0 0,0 1 0,1-2 0,-1 2 0,-1 0 0,1 0 0,0 0 0,-1 0 0,8 8 0,-9-8 0,-1 1 0,0-2 0,0 2 0,0 0 0,0-2 0,0 2 0,-1 0 0,0-1 0,0 1 0,0 0 0,0-1 0,-1 2 0,1-1 0,-1-1 0,-1 7 0,1-6 0,-1 1 0,1-2 0,-1 2 0,0-1 0,-1 0 0,1 0 0,-1 0 0,0-1 0,0 1 0,0 1 0,-1-3 0,1 2 0,-1 0 0,0-1 0,0 0 0,0 0 0,-7 5 0,-3 1 0,0-1 0,-1-1 0,-26 12 0,33-17 0,-8 4-1365,0-2-5461</inkml:trace>
  <inkml:trace contextRef="#ctx0" brushRef="#br0" timeOffset="2988.45">939 0 24575,'-4'1'0,"0"1"0,0-1 0,0 1 0,0-1 0,0 1 0,1 0 0,-1 1 0,1-1 0,-1 0 0,1 1 0,0 0 0,-5 5 0,-3 1 0,6-3 0,-1-2 0,1 2 0,0 0 0,0 0 0,1-1 0,0 2 0,0-1 0,0 1 0,1-1 0,0 1 0,1 0 0,-3 10 0,2-3 0,1 1 0,1 0 0,0 0 0,3 29 0,-2-42 0,0 0 0,1 1 0,0-1 0,-1 0 0,1-1 0,0 1 0,0 0 0,0 1 0,0-1 0,0 0 0,1-2 0,-1 2 0,1 0 0,-1 0 0,1-1 0,0 1 0,-1-1 0,1 0 0,0 0 0,0 1 0,0-1 0,0 0 0,0 0 0,0 0 0,1-1 0,-1 1 0,3 0 0,0 1 0,0-2 0,0 0 0,0 1 0,0-1 0,0 0 0,0 0 0,0 0 0,0-1 0,0 1 0,0 0 0,0-2 0,5-1 0,-9 3 4,0-1-1,1 0 1,-1 1-1,1-1 1,-1 0-1,0 0 1,0 0-1,0 1 1,0-1-1,1 0 1,-1 0 0,0 0-1,-1-1 1,1 1-1,0 0 1,0 0-1,0-1 1,-1 2-1,1-2 1,-1 1-1,1-1 1,-1 1-1,0-1 1,1 1-1,-1-1 1,0 1-1,0 0 1,0 0-1,0-1 1,0 1-1,-1-1 1,1 1-1,-1-2 1,0 0-97,0 0 0,0 0 1,0 1-1,0 0 0,0-1 0,-1 0 0,0 1 0,1 0 1,-1 0-1,0-1 0,0 1 0,0 0 0,-1 0 1,1 1-1,-5-4 0,-6-1-6733</inkml:trace>
  <inkml:trace contextRef="#ctx0" brushRef="#br0" timeOffset="4220.56">1221 13 24575,'0'2'0,"0"4"0,0 1 0,0-1 0,1 0 0,0 1 0,3 11 0,-3-17 0,-1 0 0,1 1 0,0-1 0,-1 0 0,1 1 0,0-1 0,0-1 0,0 1 0,0 1 0,0-1 0,0 0 0,0 0 0,0 0 0,1 0 0,-1-1 0,0 1 0,0 0 0,1 0 0,0-1 0,0 1 0,-1-1 0,1 0 0,-1 0 0,1 0 0,-1 0 0,1 1 0,-1-1 0,1 0 0,-1 0 0,1 0 0,-1-1 0,1 1 0,2 0 0,10-5 0,7-1 0,-20 6 0,-1 0 0,1 0 0,-1 0 0,1 0 0,-1 0 0,1 1 0,-1-1 0,1 0 0,-1 0 0,1 0 0,-1 1 0,1-1 0,-1 0 0,0 1 0,1-1 0,-1 0 0,1 1 0,-1-1 0,0 1 0,1-1 0,-1 0 0,0 1 0,0-1 0,1 1 0,-1-1 0,0 1 0,0-1 0,0 1 0,1-1 0,-1 1 0,0-1 0,0 1 0,0-1 0,0 0 0,0 0 0,0 1 0,0 0 0,0 8 0,-1 1 0,0-1 0,-4 17 0,-1 8 0,3-13 0,-2-1 0,-8 24 0,-5 24 0,3-18 90,11-39-453,-1 0-1,2 0 0,-3 17 0,5-13-6462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8:37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59 189 24575,'0'0'0,"-1"0"0,1 0 0,-1-1 0,1 1 0,-1 0 0,1-1 0,-1 1 0,1 0 0,-1 0 0,1 0 0,0 0 0,-1-1 0,1 1 0,-1 0 0,1-2 0,0 2 0,-1-1 0,1 1 0,0-1 0,0 1 0,0-1 0,-1 1 0,1-1 0,0 1 0,0-1 0,0 0 0,0 1 0,0-1 0,0 1 0,0 0 0,0 0 0,0-1 0,0 1 0,0-1 0,0 1 0,1-2 0,-1-1 0,0 1 0,0 1 0,1-1 0,-1 0 0,1 0 0,0 0 0,-1 0 0,1 0 0,1-2 0,7-5 0,-1 2 0,2-2 0,-1 3 0,1-3 0,0 3 0,1 0 0,0 0 0,18-6 0,-28 11 0,0 1 0,0 0 0,-1-1 0,1 1 0,0 0 0,0 0 0,0 0 0,0 0 0,0 0 0,0 0 0,0 0 0,0 0 0,0 1 0,0-1 0,0 0 0,0 0 0,0 1 0,0-1 0,0 0 0,0 0 0,0 1 0,0-1 0,-1 1 0,1 0 0,0-1 0,0 1 0,-1 0 0,1-1 0,0 1 0,-1 0 0,1 1 0,-1-1 0,1-1 0,-1 1 0,0 0 0,1-1 0,-1 1 0,0 0 0,1 0 0,-1 0 0,0 0 0,0 0 0,0 1 0,1 8 0,0 0 0,0 0 0,-2 14 0,1-16 0,0 16 0,0-8 0,0 0 0,-5 23 0,4-34 0,0 1 0,-1-2 0,1 1 0,-1 0 0,-1 1 0,1-3 0,-1 3 0,1-2 0,-1 1 0,-1-1 0,-4 5 0,-11 12 0,-1-3 0,-1 1 0,0-1 0,-2-3 0,-32 20 0,63-37 0,7-3 0,0 1 0,19-5 0,112 8 20,-85 2-1405,-44-1-5441</inkml:trace>
  <inkml:trace contextRef="#ctx0" brushRef="#br0" timeOffset="872.43">276 197 24575,'13'0'0,"-1"-1"0,1 1 0,-1-2 0,1 0 0,-1-1 0,0 0 0,0-2 0,0 1 0,-1 0 0,0-2 0,0 1 0,0-2 0,0 0 0,-1 0 0,0 0 0,-1-1 0,0 0 0,11-13 0,-14 15 0,-1-1 0,0 3 0,0-2 0,0 2 0,6-5 0,-10 8 0,-1 1 0,0 0 0,0 0 0,0 0 0,0 0 0,0 0 0,0 0 0,0 0 0,0 0 0,1 0 0,-1 0 0,0 0 0,0 0 0,0 0 0,0 0 0,0 0 0,0 0 0,1 0 0,-1 0 0,0 0 0,0 0 0,0 0 0,0 0 0,0 0 0,1 0 0,-1 0 0,0 0 0,0 0 0,0 0 0,0 0 0,0 0 0,0 0 0,0 0 0,1 0 0,-1 0 0,0 0 0,0 1 0,0-1 0,0 0 0,0 0 0,0 0 0,0 0 0,0 0 0,0 0 0,0 0 0,0 1 0,0-1 0,1 0 0,-1 0 0,0 0 0,0 0 0,0 11 0,-5 11 0,-35 77 0,23-59 35,10-25-502,1 0 1,-6 22-1,10-26-6359</inkml:trace>
  <inkml:trace contextRef="#ctx0" brushRef="#br0" timeOffset="1868.41">642 40 24575,'17'24'0,"-17"-23"0,4 10 0,1-1 0,0 0 0,1 1 0,0-2 0,8 11 0,-13-18 0,0-1 0,1 0 0,-1 1 0,1-1 0,-1 2 0,1-2 0,0 0 0,0 0 0,0 0 0,0 0 0,0 0 0,0 0 0,0 0 0,0 0 0,0-1 0,0 1 0,0-1 0,1 1 0,-1-1 0,0 0 0,0 0 0,1 0 0,-1 0 0,0 0 0,0 0 0,0-1 0,1 1 0,-1-1 0,0 1 0,0-1 0,0 0 0,0 0 0,0 0 0,3-2 0,3-2 0,-1 0 0,-1 0 0,1-1 0,-1 0 0,10-13 0,-13 16 0,0 0 0,-1-1 0,1 0 0,-1 0 0,0 1 0,0-1 0,0-1 0,-1 1 0,1 0 0,-1-1 0,0 1 0,0-8 0,-18 53 0,-4 9 0,16-38 0,0-2 0,0 1 0,1 2 0,0-1 0,-1 15 0,1-9 0,0 1 0,-13 32 0,1-2 0,-3-5-1365,14-30-5461</inkml:trace>
  <inkml:trace contextRef="#ctx0" brushRef="#br0" timeOffset="3144.4">955 0 24575,'-1'1'0,"0"-1"0,1 0 0,-1 0 0,1 1 0,-1-1 0,1 0 0,-1 1 0,1-1 0,-1 0 0,1 1 0,0-1 0,-1 1 0,1-1 0,-1 0 0,1 0 0,0 1 0,0-1 0,-1 2 0,1-2 0,0 1 0,0-1 0,-1 1 0,1 0 0,0-1 0,0 1 0,0-1 0,0 2 0,-3 17 0,3-15 0,-2 37 0,3 56 0,-1-95 0,0-1 0,0 0 0,1 1 0,-1 0 0,0 1 0,1-2 0,0 0 0,-1 1 0,1-1 0,0 1 0,0-1 0,0 1 0,0-2 0,0 3 0,0-2 0,0 1 0,0-1 0,1 0 0,-1 0 0,0 0 0,1-1 0,2 3 0,-1-2 0,0 0 0,1 2 0,-1-2 0,1-1 0,0 0 0,-1 1 0,1-1 0,0 0 0,-1 0 0,7 0 0,-1-1 0,-1 1 0,0-3 0,1 1 0,-1 0 0,0 0 0,0-1 0,0-1 0,-1 1 0,11-7 0,-15 6 0,0 2 0,0-1 0,-1 1 0,1-1 0,-1-2 0,0 3 0,0-1 0,0-1 0,0 1 0,0-1 0,-1 1 0,0-2 0,0 2 0,0 0 0,1-6 0,-1 4 0,0 1 0,0-2 0,1 3 0,-1-2 0,1 0 0,0 1 0,1-1 0,2-4 0,-5 9 0,0 0 0,0 0 0,1 0 0,-1 0 0,0 0 0,0 0 0,0-1 0,0 1 0,0 0 0,0 0 0,0 0 0,0 0 0,0 0 0,0 0 0,0 0 0,1 0 0,-1 0 0,0 0 0,0 0 0,0 0 0,0 0 0,0 0 0,0 0 0,0 0 0,1 0 0,-1 0 0,0 0 0,0 0 0,0 0 0,0 0 0,0 0 0,0 0 0,1 0 0,-1 0 0,0 0 0,0 0 0,0 0 0,0 0 0,0 0 0,0 0 0,0 0 0,1 0 0,-1 0 0,0 0 0,0 0 0,0 0 0,2 9 0,-1 9 0,-15 108 0,2-80 0,8-36 0,1 0 0,1 1 0,-2 12 0,-2 34 16,-2 43-1397,7-85-5445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8:47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1 122 24575,'1'-3'0,"0"1"0,-1 0 0,1 0 0,0-2 0,1 3 0,-1-2 0,0 1 0,1 0 0,-2 0 0,2 2 0,1-4 0,-2 2 0,1 0 0,1 0 0,0 0 0,-1 0 0,1 1 0,-1-1 0,3 0 0,9-6 0,-5 6 0,26-12 0,-35 13 0,1 1 0,1-1 0,-1 0 0,0 1 0,2 0 0,-1-2 0,0 2 0,-1 0 0,0-1 0,0 1 0,0 0 0,2 0 0,-2 0 0,1 1 0,-2-1 0,1 0 0,2 0 0,-1 2 0,0-2 0,-1 1 0,0-1 0,1 1 0,-2 0 0,1-1 0,2 2 0,-2 0 0,1-1 0,0 1 0,-2 0 0,2 1 0,-2 1 0,4-4 0,-4 0 0,0 2 0,1 0 0,-1 1 0,1-1 0,-1 0 0,0 1 0,0 2 0,2 11 0,0-1 0,8 21 0,-6-21 0,-1-2 0,4 29 0,-7-36 0,0 0 0,-1 2 0,1-2 0,-1 0 0,-2 3 0,2-4 0,-1 1 0,-1 1 0,1 1 0,0-2 0,-4-1 0,3 2 0,0-3 0,0 4 0,-3-3 0,0-1 0,3 2 0,-2-1 0,-12 9 0,3-3 0,10-8 0,0 0 0,-1 1 0,3 0 0,-2-2 0,0 1 0,0-1 0,-2 1 0,3-2 0,0 2 0,-1-1 0,-4 0 0,4 0 0,-1-1 0,-6 1 0,9-2 0,1 0 0,1 0 0,-2 0 0,2-1 0,-1 1 0,-1 0 0,1 0 0,0 0 0,0-1 0,1 1 0,-2-1 0,2 1 0,0-1 0,-1 1 0,1-1 0,-1 0 0,0 1 0,1-1 0,-1 0 0,1 0 0,-1 0 0,1 1 0,-1-2 0,1 2 0,-1-1 0,1 0 0,0-1 0,0 2 0,-1-1 0,1 1 0,0-1 0,0 0 0,0 1 0,0-1 0,0 0 0,0 0 0,1-1 0,-1-2 0,0 1 0,0 0 0,1 0 0,-1-1 0,1 0 0,0 4 0,0-1 0,0-2 0,1-1 0,0-2 0,3 3 0,-2 0 0,3 0 0,-3 0 0,1 0 0,-1 1 0,2 0 0,-3-1 0,7 2 0,-4-1 0,-2 0 0,2 0 0,0 0 0,8 1 0,-2 0 0,-1-1 0,1 2 0,0-1 0,-2 1 0,21 3 0,-25-2 11,1 0 0,-2-1 0,1 3 0,-2 0 0,2-1 0,2 0 0,-5 0 0,3 1 0,0-1-1,-2 0 1,6 7 0,-4-4-310,3-1 0,-3 0-1,-1 0 1,16 3 0,-9-3-6527</inkml:trace>
  <inkml:trace contextRef="#ctx0" brushRef="#br0" timeOffset="1835.76">345 60 24575,'140'0'0,"-138"0"0,2 0 0,-1 0 0,-2 1 0,0-1 0,-1 0 0,1 0 0,2 0 0,-1 1 0,-2-1 0,5 1 0,-3 0 0,-1 0 0,0 0 0,-1 1 0,1-1 0,2 0 0,-2 1 0,-1-2 0,6 0 0,-5 0 0,0 0 0,1 1 0,-1 1 0,-1-1 0,1 2 0,-1-2 0,0 0 0,1 1 0,-1-1 0,0 1 0,0 1 0,1-3 0,-1 2 0,0 2 0,0 5 0,0 2 0,-1-2 0,1 0 0,-1 1 0,-3 8 0,-5 13 0,3 14 51,-6 22-1467,12-52-5410</inkml:trace>
  <inkml:trace contextRef="#ctx0" brushRef="#br0" timeOffset="2942.6">390 204 24575,'3'0'0,"8"0"0,2 0 0,6 0 0,0 0 0,2 0 0,-1 0 0,6 0 0,-9 0-8191</inkml:trace>
  <inkml:trace contextRef="#ctx0" brushRef="#br0" timeOffset="5324.41">851 114 24575,'-16'0'0,"7"1"0,0-1 0,0 0 0,-2-1 0,4 0 0,-16-4 0,21 5 0,0 0 0,-1-1 0,2 1 0,-2-1 0,3 0 0,-1 1 0,0-1 0,0 0 0,-1 0 0,1 0 0,0 1 0,-1-1 0,2 0 0,-2 1 0,2-4 0,-1 4 0,-1-2 0,2 1 0,-1-1 0,1 1 0,-1-1 0,1 1 0,-2-1 0,2 1 0,-1-1 0,1 1 0,0 0 0,0-2 0,0 2 0,0-1 0,0 1 0,0 1 0,0 0 0,0 0 0,1-3 0,1-2 0,-1 2 0,0 2 0,1-2 0,-1 0 0,1 0 0,-2 2 0,3-2 0,-1 1 0,0 1 0,-1 0 0,0-3 0,2 4 0,1-3 0,-1 1 0,-1 0 0,2-1 0,49-17 0,-52 19 0,0-1 0,1 2 0,-1 0 0,0 0 0,0-1 0,1 1 0,0-1 0,-2 1 0,2 0 0,0 0 0,-1 0 0,3 0 0,-2 0 0,-2 0 0,2 0 0,-1 0 0,0 1 0,0-1 0,0 0 0,0 1 0,2-1 0,-2 0 0,1 2 0,-1-2 0,0 1 0,-1 0 0,1 0 0,0 0 0,-1 0 0,1 0 0,2 0 0,-1 1 0,0 1 0,-1 1 0,2 0 0,-3 0 0,0 0 0,3 1 0,-2-2 0,-1 1 0,0 1 0,0 6 0,0 5 0,0-1 0,-4 3 0,4-1 0,-5 0 0,2-3 0,-2 3 0,0-1 0,-15 24 0,18-34 0,-10 19 0,-1-3 0,-20 30 0,26-47 0,5 1 0,0-2 0,-3 2 0,-1-4 0,3 1 0,-3 3 0,1-2 0,-1-1 0,0 2 0,2-2 0,-3 0 0,2-1 0,-2 1 0,2 0 0,-14 2 0,19-5 0,-1 0 0,-2 1 0,3-1 0,-1 0 0,0 0 0,0 0 0,0 0 0,0 0 0,1 0 0,-1 0 0,-2-1 0,2 1 0,-1 0 0,-1-1 0,3 1 0,-1 0 0,0-1 0,1 1 0,-1-1 0,1 0 0,-1 1 0,1-1 0,0-1 0,-1 2 0,1 0 0,-1-1 0,0 0 0,1-1 0,-1 2 0,-4-1 0,5 1 0,-1-1 0,1 0 0,0 0 0,-1 0 0,1 0 0,0 0 0,-1 1 0,1-1 0,0-1 0,0 1 0,0 0 0,0 0 0,0 0 0,0 0 0,1-2 0,-1 0 0,0-1 0,1 0 0,-1 4 0,1-3 0,4-1 0,-4 1 0,1 0 0,-1-1 0,-1 1 0,1 0 0,0 0 0,1 0 0,7-3 0,-4-1 0,2 2 0,-1-2 0,5 3 0,-1-2 0,7-4 0,-16 9 0,1 0 0,2 0 0,-2 0 0,2 1 0,-2 0 0,1-1 0,0 1 0,-1-2 0,1 2 0,-2 0 0,2 0 0,1 0 0,0 0 0,-3 0 0,0 2 0,2-2 0,3 1 0,-5-1 0,0 0 0,2 1 0,4 0 0,-2 1 0,17 13 0,-3-1 0,25 18 0,-40-30-124,1 0 0,-3 0 0,1 1 0,0-2 0,0 1 0,-1-1-1,2-1 1,3 0 0,-5 0 0,3 2 0,13 2-6702</inkml:trace>
  <inkml:trace contextRef="#ctx0" brushRef="#br0" timeOffset="7439.4">1147 0 24575,'0'11'0,"-1"-2"0,-1 1 0,-7 16 0,3 1 0,4-17 0,-2-1 0,1 0 0,-9 11 0,10-12 0,0 0 0,-2-1 0,0 0 0,4 1 0,-3-1 0,0 10 0,3-17 0,0 1 0,0-1 0,0 0 0,0 1 0,1-1 0,-1 1 0,0-1 0,1 1 0,-1 0 0,0-1 0,1 2 0,-1-2 0,2 1 0,-2 1 0,1-2 0,-1 1 0,0-1 0,0 0 0,0 0 0,1 0 0,-1 1 0,2-1 0,-1 0 0,-1 1 0,1-1 0,0 0 0,-1 0 0,2 0 0,-1 0 0,0 0 0,-1 0 0,0 0 0,1 0 0,34 1 0,-30-2 0,25 1 0,-21 1 0,2-1 0,0 0 0,-5-1 0,7 1 0,12-5 0,-24 4 0,1 1 0,-1-2 0,6 1 0,-6 0 0,0 0 0,-1 1 0,1-1 0,0 1 0,0-1 0,0 0 0,1-2 0,-2 2 0,1 1 0,1-3 0,-2 2 0,1 1 0,-1-5 0,12-28 0,-12 26 0,1 4 0,-1-3 0,3 3 0,-1-3 0,3-5 0,-5 11 0,0 0 0,0 0 0,0 0 0,0 0 0,0 0 0,0 0 0,0 0 0,0 0 0,0-1 0,0 1 0,0 0 0,0 0 0,0 0 0,0 0 0,0 0 0,0 0 0,0 0 0,0 0 0,0 0 0,0 0 0,0 0 0,0 0 0,0 0 0,0 0 0,0-1 0,0 1 0,0 0 0,0 0 0,0 0 0,0 0 0,1 0 0,-1 0 0,0 0 0,0 0 0,0 0 0,0 0 0,0 0 0,0 0 0,0 0 0,0 0 0,0 0 0,1 0 0,-1 0 0,0 0 0,0 1 0,0-1 0,0 0 0,0 0 0,0 0 0,0 0 0,0 0 0,0 0 0,0 0 0,0 0 0,1 0 0,-1 0 0,0 0 0,0 0 0,0 1 0,2 7 0,0 13 0,-16 97 0,0-76 0,11-33 0,0 0 0,0 2 0,0 15 0,-9 40-1365,10-53-5461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9:05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24575,'131'1'0,"-129"-1"0,0 0 0,0 0 0,1 1 0,-1-1 0,0 1 0,0 0 0,0-1 0,0 0 0,0 1 0,0 1 0,0-1 0,0 0 0,0 1 0,0-1 0,-1-1 0,1 2 0,0-1 0,-1 1 0,1 1 0,-1-2 0,0 0 0,0 1 0,1 0 0,-1 0 0,0 0 0,-1 0 0,1 0 0,0 0 0,-1 0 0,1 0 0,-1 1 0,1-1 0,-1-1 0,0 2 0,0 2 0,0 0 0,0 0 0,-1 1 0,0-1 0,1 1 0,-2-1 0,1 1 0,-1-2 0,0 2 0,0-1 0,0 0 0,-1 0 0,0-1 0,-3 6 0,-1-3 0,1-1 0,-2 0 0,1-1 0,0 1 0,-1-1 0,0 0 0,-1 0 0,-10 4 0,-22 11 0,84-4 0,-33-13 0,0-1 0,0 0 0,0 1 0,14-1 0,-14-2 0,0 1 0,0 0 0,0 1 0,13 4 0,-21-5 0,-1-1 0,1 1 0,-1 0 0,1 0 0,0 0 0,-1 0 0,0 0 0,1-1 0,-1 2 0,0 0 0,1-1 0,-1 1 0,0-1 0,0 0 0,0 0 0,0 1 0,0 0 0,0 2 0,0-1 0,0 1 0,0 0 0,0-1 0,-1 0 0,0 2 0,0-2 0,0 1 0,0 5 0,-2 1 0,0-1 0,-1 0 0,0 1 0,0-1 0,-9 17 0,10-22 6,-1 0 0,0-1 0,0 0 0,0 2 0,0-3 0,0 1 0,0 0 0,-1 0 0,0 0 0,0-1 0,1 0 0,-2 1 0,1-1 1,0 0-1,0-2 0,0 2 0,-1-1 0,-6 1 0,-6 1-332,0-1-1,0-1 1,-25-1 0,38 0 151,-13-1-6651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9:08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88 175 24575,'-5'0'0,"2"0"0,-1 0 0,1 0 0,-1-1 0,1 1 0,-1-1 0,1 0 0,0 0 0,-2 0 0,2 0 0,0-1 0,-4-1 0,5 1 0,0 0 0,0 0 0,1 0 0,-1 0 0,0 0 0,1 0 0,0 1 0,-1-3 0,1 2 0,0 0 0,0 0 0,1 0 0,-1-2 0,0 2 0,1 0 0,0 0 0,-2-5 0,2 3 0,0-1 0,0 1 0,2-2 0,-2 3 0,1-1 0,0-1 0,1 1 0,-1 0 0,1 0 0,-1 0 0,1 0 0,0 0 0,1 1 0,-1-2 0,1 1 0,0 2 0,-1-2 0,2 1 0,-1 0 0,1-1 0,-1 2 0,1 0 0,0-1 0,5-2 0,-3 2 0,-1-1 0,2 1 0,-1 1 0,1-1 0,-1 1 0,0 0 0,2 1 0,-2-1 0,1 1 0,-1 1 0,1-1 0,1 1 0,-2 0 0,1 0 0,0 1 0,7 2 0,-11-3 0,-1 1 0,0 0 0,0 0 0,0 0 0,0 0 0,0 1 0,-1-1 0,1 0 0,0 0 0,0 0 0,-1 2 0,1-1 0,-1 0 0,1-1 0,-1 0 0,0 1 0,0 1 0,1-1 0,-1 0 0,0 0 0,0 0 0,-1 1 0,1-1 0,-1-1 0,1 2 0,-1 0 0,0-1 0,0 2 0,0 10 0,-1-1 0,0 0 0,-7 23 0,4-12 0,1 32 0,3-42 0,-1 1 0,-4 24 0,4-35 0,0 2 0,-1-2 0,1 1 0,-1-1 0,0 1 0,-1-1 0,1 0 0,-1 0 0,-1 0 0,1 0 0,0 0 0,-4 3 0,-2 3 0,-2-2 0,1 1 0,0-1 0,-1-1 0,-1 0 0,0 0 0,1-2 0,-2 1 0,1-1 0,-21 6 0,32-11 0,0 0 0,0 0 0,0 0 0,0 1 0,0-1 0,1 0 0,-1 0 0,0 0 0,0 0 0,0 0 0,0 0 0,0-1 0,1 1 0,-2 0 0,1 0 0,0-1 0,0 1 0,0 0 0,1-1 0,-1 1 0,0-1 0,1 1 0,-1-1 0,0 1 0,1-1 0,-1 0 0,0 0 0,0-1 0,0 1 0,0-1 0,1 0 0,-1 1 0,0 0 0,1-2 0,0 1 0,-1 1 0,1-1 0,0 0 0,0 1 0,0-5 0,1 3 0,-1 0 0,0-2 0,1 2 0,0-1 0,0 1 0,0 0 0,0-2 0,1 3 0,-1-2 0,1 1 0,0 0 0,0 0 0,4-4 0,-2 4 0,0 0 0,0 1 0,1 0 0,-1 0 0,0 0 0,1 0 0,0 1 0,0 0 0,-1 1 0,1-1 0,0-1 0,0 2 0,-1 0 0,2 0 0,-1 0 0,0 0 0,-1 2 0,1-1 0,0-1 0,7 3 0,-3 0 0,0 1 0,0-1 0,1 1 0,-1 0 0,-1 1 0,0 0 0,1 1 0,-1 0 0,7 7 0,28 28-1365,-35-34-5461</inkml:trace>
  <inkml:trace contextRef="#ctx0" brushRef="#br0" timeOffset="1373.05">451 63 24575,'-2'0'0,"1"0"0,0 0 0,-1 1 0,1-1 0,0 1 0,0-1 0,-1 1 0,1 0 0,0-1 0,0 1 0,0 0 0,0 0 0,0 1 0,-1-2 0,1 1 0,0 0 0,0 0 0,1 0 0,-1 0 0,0 0 0,1 1 0,-1-1 0,1 0 0,-1 0 0,1 1 0,-1-1 0,1 0 0,0 0 0,0 1 0,0-1 0,0 2 0,-2 9 0,1-1 0,1 20 0,0-21 0,0 7 0,-1-7 0,1-1 0,0 0 0,0 0 0,3 9 0,-3-15 0,0-2 0,1 0 0,-1 1 0,1 0 0,0-1 0,-1 1 0,1 0 0,0-1 0,0 1 0,0-1 0,0 1 0,0-1 0,2 1 0,-2-1 0,0 0 0,1 1 0,-1-1 0,1 0 0,-1 0 0,1 0 0,-1 0 0,1-1 0,0 1 0,-1-1 0,4 2 0,2-1 0,2 0 0,-1 0 0,-1-1 0,1 0 0,0 0 0,0-1 0,-1 0 0,1-2 0,-1 2 0,1-1 0,9-4 0,-15 6 0,1-1 0,-1 0 0,1 0 0,-1-1 0,1 1 0,0 0 0,-1-1 0,0 1 0,0-1 0,0 0 0,0 0 0,0 0 0,-1 0 0,1 1 0,0-2 0,-1 0 0,0 1 0,1 1 0,-1-3 0,0 2 0,0-1 0,0 2 0,-1-3 0,1 2 0,-1 0 0,1-1 0,-1 1 0,0-2 0,0 2 0,0 0 0,0-1 0,-1 0 0,1 1 0,-1-1 0,0-2 0,-4-6 0,0 0 0,-1 1 0,0 1 0,-2-1 0,1 1 0,-17-18 0,20 24-38,0 0-1,1 0 1,-1 0 0,0 1-1,0-1 1,0 2 0,0-2-1,-9-2 1,4 2-982,-2-3-5806</inkml:trace>
  <inkml:trace contextRef="#ctx0" brushRef="#br0" timeOffset="2699.45">525 67 24575,'1'1'0,"0"-1"0,0 0 0,0 1 0,0-1 0,0 1 0,0-1 0,0 2 0,0-2 0,0 0 0,1 1 0,-1 0 0,0-1 0,0 1 0,-1 0 0,1 0 0,0 0 0,-1 0 0,1 0 0,0 0 0,-1 0 0,1 0 0,0 1 0,9 29 0,-8-26 0,9 29 0,-1-8 0,-2 0 0,-2 1 0,0-1 0,-2 1 0,3 39 0,-7-60 0,0 5 0,-1 0 0,2-1 0,0 1 0,0 0 0,1 0 0,4 10 0,-6-20 0,0 1 0,1 0 0,-1-1 0,0 0 0,1 0 0,-1 0 0,0 0 0,0 0 0,0 0 0,0 1 0,0 0 0,0-1 0,0 0 0,-1-1 0,1 2 0,0-1 0,-1 0 0,1 1 0,-1-1 0,1 0 0,-1 0 0,0 0 0,0 1 0,-1 0 0,0-1 0,0 2 0,0-2 0,-1 0 0,1 0 0,-1 0 0,1 1 0,0-1 0,-1 0 0,1-1 0,-3 3 0,-7-2 0,0 1 0,0 0 0,-21-1 0,-23 4-1365,41-3-5461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9:14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0 24575,'-2'2'0,"1"0"0,-1 0 0,0 0 0,1-1 0,-1 1 0,0-1 0,0 0 0,0 1 0,0-1 0,-4 2 0,0 1 0,-4 2 0,4-2 0,0-1 0,0 3 0,0-3 0,1 1 0,-8 10 0,12-13 0,-1 1 0,1 0 0,0 0 0,0 0 0,0 0 0,0 0 0,1 0 0,-1 0 0,0 0 0,1 1 0,0-1 0,-1 0 0,1 0 0,0 0 0,0 0 0,0 1 0,1-1 0,-1 0 0,0-1 0,1 3 0,0-2 0,0 2 0,2 2 0,0-1 0,-1 1 0,2-1 0,-1 0 0,1 0 0,-1-1 0,2 2 0,-1-2 0,0 0 0,1 0 0,0 0 0,0 0 0,0-1 0,0 0 0,12 6 0,-8-6 0,0 1 0,0-1 0,0-1 0,0 1 0,1 0 0,-1-2 0,0-1 0,1 1 0,15-1 0,-20-1 0,0 1 0,1 0 0,-1 0 0,-1-1 0,1-2 0,0 2 0,0-1 0,0 1 0,-1-1 0,7-4 0,-9 5 0,0 0 0,-1-1 0,1 0 0,0 1 0,0-2 0,-1 1 0,0 0 0,1 0 0,-1 0 0,0-1 0,0 2 0,0-2 0,0 1 0,-1-1 0,1 1 0,-1-1 0,1 1 0,-1 0 0,0 0 0,0-2 0,0-1 0,0 1 0,0 1 0,0 0 0,0 0 0,-1-2 0,1 3 0,-1-1 0,0-1 0,0 1 0,0 0 0,0 1 0,-1-2 0,1 2 0,-1-1 0,0 0 0,0 0 0,0 0 0,0 1 0,0 0 0,-1-1 0,1 0 0,-1 2 0,1-1 0,-1 0 0,0 0 0,0 0 0,0 1 0,0-1 0,-6-1 0,-21-9-1365,18 6-5461</inkml:trace>
  <inkml:trace contextRef="#ctx0" brushRef="#br0" timeOffset="1153.99">241 70 24575,'0'-3'0,"-4"0"0,-5 0 0,0-3 0,-3-1 0,-2 1 0,1-2 0,-1 1 0,0 2 0,-4 2 0,2 2-8191</inkml:trace>
  <inkml:trace contextRef="#ctx0" brushRef="#br0" timeOffset="2370.08">305 70 24575,'1'93'0,"-3"104"0,2-196 0,0 2 0,-1-1 0,1 0 0,-1-2 0,1 2 0,-1 0 0,0 1 0,1-3 0,-1 2 0,0 0 0,0-1 0,0 1 0,0-1 0,-1 0 0,1 1 0,0 0 0,-1-1 0,1 0 0,-1 0 0,1-1 0,-1 1 0,0 0 0,1 0 0,-1 0 0,0 0 0,0-1 0,1 2 0,-1-2 0,0 0 0,0 0 0,-3 1 0,-7 0 0,0 0 0,-1-1 0,-23-3 0,13 3 0,-38-3-1365,42 3-5461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9:28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0 24575,'-1'0'0,"0"1"0,0-1 0,-1 0 0,0 1 0,1-1 0,-1 1 0,0 0 0,2-1 0,-1 1 0,-1 0 0,0 0 0,1-1 0,0 1 0,1-1 0,-2 1 0,2 1 0,0-1 0,-1-1 0,0 2 0,0-1 0,1 0 0,0 0 0,0 0 0,-2 1 0,2-1 0,0 0 0,-1 0 0,1 0 0,0 1 0,0 0 0,-3 48 0,3-44 0,1 110 0,-1-112 0,1-2 0,-1 1 0,0-1 0,1 1 0,0-2 0,-1 1 0,2 0 0,-2 0 0,1 0 0,0 2 0,0-2 0,1 0 0,-2 0 0,2-1 0,0 1 0,1 0 0,-1-1 0,0 1 0,4 0 0,-2 1 0,-2-1 0,2 0 0,0-1 0,0 1 0,2-1 0,-1 1 0,-1-1 0,0 0 0,-1-1 0,10 1 0,0-1 0,-1 0 0,3-1 0,-5 0 0,5-1 0,-3 0 0,26-8 0,-31 6 0,2-1 0,1 1 0,-1-3 0,-1 1 0,1 2 0,0-3 0,-3 0 0,13-13 0,-5 7 0,29-42 0,-55 70 0,4 0 0,-13 20 0,2 2 0,-25 61 0,39-87 25,1 0 1,0-2-1,2 3 0,-7 13 0,6-14-398,1 2 1,-2-3-1,-6 20 0,4-19-6453</inkml:trace>
  <inkml:trace contextRef="#ctx0" brushRef="#br0" timeOffset="1027.58">445 234 24575,'4'-1'0,"2"1"0,-1 0 0,-2-2 0,2 2 0,-1-1 0,-1-1 0,2 0 0,-1 0 0,0 0 0,0 0 0,0-1 0,-1 2 0,8-6 0,3-6 0,28-25 0,-11 7 0,-31 31 0,1 0 0,-1-1 0,0 1 0,0 0 0,1-1 0,-1 1 0,0 0 0,1-1 0,-1 1 0,0 0 0,2 0 0,-2-1 0,0 1 0,2 0 0,-2 0 0,1 0 0,-1 0 0,0-1 0,1 1 0,-1 0 0,2 0 0,-2 0 0,2 0 0,-2 0 0,0 0 0,1 0 0,-1 0 0,1 0 0,-1 0 0,0 0 0,0 1 0,0-1 0,1 0 0,-1 0 0,1 0 0,-1 0 0,2 1 0,-1 0 0,-1 1 0,1-2 0,0 1 0,-1 1 0,0-1 0,0 0 0,1 1 0,-1-1 0,0 0 0,0 0 0,0 4 0,-2 37 0,-4-11 0,-1 0 0,-12 39 0,4-21 0,11-32 0,-3 2 0,-9 24 0,11-37-1365</inkml:trace>
  <inkml:trace contextRef="#ctx0" brushRef="#br0" timeOffset="3434.29">835 173 24575,'47'3'0,"3"1"0,69 15 0,-118-19 0,2 0 0,-1 1 0,0 0 0,0-1 0,-1 1 0,1 1 0,0-1 0,-1 0 0,0 0 0,3 1 0,-1-1 0,-1 0 0,-1 1 0,0-1 0,1 0 0,-1 1 0,1-2 0,0 2 0,-2 0 0,0 0 0,1 1 0,0-2 0,-1 1 0,0 0 0,1 0 0,-1-1 0,1 1 0,-1 1 0,0-1 0,0 2 0,0 7 0,0-2 0,-1 3 0,0-2 0,-3 15 0,1-20 0,-22 69 0,9-28 0,1-17 44,12-22-397,-1 2 1,2-1 0,-3 13 0,2-7-6474</inkml:trace>
  <inkml:trace contextRef="#ctx0" brushRef="#br0" timeOffset="4694.8">912 358 24575,'2'0'0,"6"0"0,5 0 0,3 0 0,4 0 0,1 0 0,-1 0-8191</inkml:trace>
  <inkml:trace contextRef="#ctx0" brushRef="#br0" timeOffset="6223.18">1325 251 24575,'-2'0'0,"-1"0"0,1 1 0,0-1 0,-2 1 0,1 0 0,1 0 0,0 0 0,-2 0 0,1 0 0,1 1 0,0-1 0,0 0 0,-1 0 0,3 0 0,-2 1 0,0 1 0,-1-1 0,-2 3 0,-2 4 0,0 1 0,-9 18 0,11-21 0,3-2 0,0 0 0,0-1 0,-3 1 0,3 1 0,1-3 0,-1 2 0,2 0 0,0 1 0,-1-1 0,1 5 0,0-9 0,1 1 0,-1 0 0,0 1 0,0-1 0,0-1 0,0 1 0,1-1 0,0 1 0,0-1 0,1 0 0,-2 1 0,4 0 0,-2-1 0,-1 1 0,0-1 0,0 2 0,0-2 0,0 1 0,1-2 0,0 1 0,0 0 0,-1 0 0,0 0 0,1-1 0,-2 1 0,3 0 0,-1 0 0,0-1 0,3 1 0,8 2 0,-1-2 0,1 0 0,1 0 0,-3-1 0,2 0 0,-2-1 0,2 0 0,11-4 0,-22 4 0,0 0 0,0 0 0,1 0 0,1 0 0,-3-1 0,1 2 0,-1-2 0,0 1 0,1-2 0,-1 1 0,0 0 0,1 0 0,-1 0 0,0 0 0,0 1 0,-1 0 0,0-1 0,2-1 0,-1 1 0,-1-1 0,0 1 0,1 0 0,-1 0 0,0 0 0,0 0 0,-1-3 0,1-4 0,0 0 0,-1 1 0,-1-1 0,1 1 0,-5-13 0,6 19-91,-1 0 0,1 2 0,-1-1 0,0-1 0,0 1 0,1-1 0,-2 1 0,1 0 0,1 0 0,-2-1 0,0 1 0,0 0 0,0 0 0,-1-1 0,-8-4-6735</inkml:trace>
  <inkml:trace contextRef="#ctx0" brushRef="#br0" timeOffset="7908.61">1354 290 24575,'3'0'0,"-2"0"0,1 0 0,-1 1 0,1-1 0,-1 1 0,1-1 0,-1 1 0,0 0 0,1-1 0,0 0 0,-1 1 0,3 0 0,-3 0 0,0 0 0,-1 0 0,1 0 0,1 1 0,-1-1 0,1 3 0,19 29 0,-12-16 0,-5-9 0,3 2 0,-4-1 0,3 0 0,-3 1 0,-1 0 0,-1 0 0,1 0 0,0 0 0,-2 0 0,1 1 0,-2-3 0,1 3 0,-1-1 0,-2-2 0,2 4 0,-5 12 0,4-22 0,0 1 0,1-1 0,-1 2 0,1-3 0,-1 2 0,-2-1 0,3 0 0,0 0 0,-2 0 0,2 0 0,-2-1 0,1 0 0,0 2 0,0-1 0,-1-1 0,2 0 0,-8 2 0,-1 1 0,-2-1 0,2 0 0,-15 2 0,-23 6 0,3 5-1365,29-13-5461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4:59:47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512 20 24575,'-35'-1'0,"-11"1"0,-81 11 0,81-9 0,41-2 0,-9 0 0,9 0 0,-4 0 0,2 1 0,-1 0 0,-13 4 0,17-3 0,2 0 0,1 0 0,-2 0 0,2 0 0,-2-1 0,0 2 0,1-1 0,0 0 0,0 0 0,1 2 0,-2-1 0,2 0 0,0-1 0,0 0 0,-1 1 0,1 0 0,0 1 0,1-2 0,-1 4 0,-2 8 0,2 1 0,0 19 0,1-33 0,0 0 0,0 0 0,0-1 0,0 1 0,0 0 0,0 0 0,0 0 0,0 0 0,0 0 0,0 0 0,0 0 0,0 0 0,1 0 0,-1 1 0,1-1 0,-1 0 0,0-1 0,0 0 0,1 1 0,1 0 0,-2 0 0,1-1 0,0 1 0,0 0 0,-1-1 0,2 1 0,-1-1 0,0 1 0,0-1 0,-1 1 0,3-1 0,2 1 0,0-1 0,-1 1 0,-1-1 0,1 0 0,2-1 0,5 0 0,6-1 0,-11 1 0,2 0 0,-4 1 0,1 0 0,6 0 0,-9 0 0,16 3 0,-16-3 0,0 1 0,0-1 0,-1 1 0,0 0 0,3-1 0,-4 0 0,1 1 0,0 0 0,0 0 0,0-1 0,0 3 0,2-2 0,-2 0 0,0 0 0,0 2 0,0-2 0,-1 0 0,2 0 0,-2 0 0,2 1 0,-1-1 0,-1 2 0,1-1 0,-1-1 0,0 3 0,3 3 0,-2 3 0,0-1 0,-1 2 0,0-4 0,0 3 0,-1-2 0,-1 1 0,-2 11 0,2-14 0,0-1 0,1-1 0,-1 1 0,-3-1 0,3 1 0,0 0 0,2-2 0,-5 0 0,2 3 0,-2-4 0,0 1 0,4 1 0,-4 1 0,1-2 0,1 0 0,-14 4 0,1 2 0,-5-1 0,0 0 0,-41 6 0,24-2 28,29-8-306,1 0-1,-4-1 0,1-1 1,-13 1-1,9-2-6547</inkml:trace>
  <inkml:trace contextRef="#ctx0" brushRef="#br0" timeOffset="2023.45">783 20 24575,'0'-1'0,"0"1"0,-1 0 0,1-1 0,0 1 0,-2-1 0,2 1 0,0 0 0,-1 0 0,1-1 0,-2 1 0,2 0 0,0-1 0,0 1 0,0 0 0,-1-1 0,1 1 0,-1 0 0,-1-1 0,2 1 0,-1 0 0,1 0 0,0 0 0,0-1 0,-1 1 0,0 0 0,1 0 0,-23-2 0,20 2 0,-7-2 0,4 2 0,-3 0 0,3 0 0,-2 2 0,1-1 0,-4 0 0,7 1 0,-16 3 0,14-5 0,4 1 0,0 2 0,-1-3 0,2 2 0,-2 2 0,-2-2 0,3-1 0,-1 0 0,1 1 0,0 1 0,0-1 0,1 0 0,1 1 0,-4 0 0,3-1 0,-1 0 0,-1 1 0,2-1 0,0 1 0,-1 1 0,1-1 0,1 5 0,-1 0 0,0 0 0,0 0 0,1 1 0,0-1 0,2 9 0,-2-15 0,1 2 0,-1-2 0,0 0 0,0 0 0,0-1 0,1 1 0,1-1 0,-1 2 0,0-1 0,1-2 0,-1 2 0,2-1 0,-3 1 0,4-1 0,-4 1 0,1-1 0,0 1 0,0-1 0,1 0 0,0 1 0,1-1 0,-3 0 0,2-1 0,3 1 0,-3 0 0,3 0 0,8 1 0,0-1 0,-4 0 0,7-1 0,15-2 0,-12 1 0,-6 1 0,26 1 0,-32 0 0,-2 0 0,-2 0 0,1 0 0,4 0 0,-3 0 0,-2 1 0,-1 0 0,5 0 0,-2 1 0,-1 0 0,-1-1 0,6 6 0,-7-3 0,3-2 0,1 1 0,-4-1 0,2 2 0,-2 0 0,1 0 0,-1 1 0,2-1 0,-2-2 0,0 2 0,-1 2 0,0-2 0,0 0 0,1 8 0,-1 9 0,-1-2 0,-3 33 0,2-50 0,1 2 7,0-2-1,-1 2 0,-1 0 0,1-2 1,0 2-1,-2-1 0,1 0 1,0 0-1,-2 0 0,2 0 1,1-1-1,-3 2 0,-1-2 0,0 1 1,3-1-1,0-1 0,-1 1 1,-7 3-1,-2 0-171,7-3 0,-7 3 0,5-2 0,-1-2 0,-3 2 0,1-1 0,3 1 0,-18-1 0,12-1-6661</inkml:trace>
  <inkml:trace contextRef="#ctx0" brushRef="#br0" timeOffset="4684.53">1278 7 24575,'-60'0'0,"-65"1"0,123-1 0,1 0 0,-4 0 0,4 2 0,-1-2 0,1 1 0,0-1 0,-2 1 0,2 0 0,-1 0 0,0 0 0,-1 0 0,1 0 0,1-1 0,-1 1 0,2 0 0,-3 0 0,3 0 0,-1 1 0,-1-1 0,1 1 0,0 1 0,-1-1 0,2-1 0,0 0 0,-3 0 0,2 1 0,1 0 0,-1 0 0,1 0 0,-1 0 0,1 0 0,0 2 0,-1 6 0,1 2 0,0-1 0,0-1 0,3 15 0,-2-13 0,-1-10 0,0 0 0,0 0 0,3 1 0,-3-1 0,0 0 0,0 0 0,2-1 0,-2 1 0,1-1 0,0 2 0,-1-1 0,2-1 0,-1 0 0,-1 0 0,3 1 0,-3-1 0,1 1 0,1-1 0,-1 1 0,2-1 0,0 0 0,-3 2 0,2-2 0,0-1 0,1 1 0,0 1 0,7 0 0,-6-1 0,7 0 0,-4 0 0,1-1 0,0 0 0,8-1 0,-10 0 0,1 0 0,-2 1 0,3 0 0,-5 0 0,4 0 0,-2 1 0,2 0 0,-1 0 0,-1 0 0,1 0 0,-1 1 0,9 3 0,-11-3 0,-2 1 0,0-1 0,-1-1 0,3 2 0,1-1 0,-2 1 0,-2-1 0,1 1 0,0-2 0,-1 2 0,1-2 0,0 1 0,-1 1 0,3 0 0,-3-1 0,0 6 0,0 45 0,-3-35 0,3 2 0,-2 28 0,2-45 0,-1-1 0,0 0 0,1 1 0,0 1 0,-2-2 0,-2 1 0,2-1 0,1 1 0,1 1 0,-2-3 0,0 1 0,0 0 0,-6 4 0,3-3-151,-1 3-1,-3-1 0,2-2 0,-2 3 1,1-3-1,3 0 0,-4 0 1,-11 2-1,5-1-6674</inkml:trace>
  <inkml:trace contextRef="#ctx0" brushRef="#br0" timeOffset="6350">1419 55 24575,'6'-5'0,"2"0"0,-4 0 0,6 1 0,-3 0 0,1 2 0,14-9 0,14-2 0,-35 13 0,-1-1 0,2 0 0,-1 1 0,1-1 0,-1 0 0,2 1 0,-3-1 0,5 1 0,-4 0 0,1-1 0,-1 1 0,0 0 0,0 0 0,1 0 0,-1 0 0,-1 0 0,2 1 0,-2-1 0,5 0 0,-4 1 0,0-1 0,2 1 0,1 1 0,-3-1 0,0-1 0,0 1 0,-1 0 0,1 2 0,-1-2 0,2 0 0,-1 1 0,-1-1 0,0 0 0,0 0 0,1 0 0,-1 0 0,0 2 0,2-3 0,-2 2 0,0-1 0,0 3 0,0-3 0,0 0 0,0-1 0,-2 2 0,2-1 0,0 1 0,-1 2 0,-2 2 0,2-1 0,-1 0 0,0 2 0,-4-1 0,-2 6 0,6-10 0,-1 2 0,2 1 0,-1-3 0,0 4 0,-3-2 0,5 0 0,-3 1 0,0 6 0,3-10 0,0 0 0,0 0 0,0-1 0,1 1 0,-1 0 0,0 0 0,1 0 0,-1 0 0,1 0 0,-1 0 0,3-1 0,-3 1 0,0 1 0,0-1 0,0-1 0,4 1 0,-3-1 0,-1 1 0,1 0 0,0-1 0,0 1 0,0-1 0,-1 0 0,0 1 0,1-1 0,-1 0 0,1 1 0,1-1 0,-2 0 0,1 0 0,41 4 0,-30-1 0,-8-3 0,1 1 0,-4-1 0,1 1 0,2-1 0,-2 1 0,2 0 0,-3 0 0,1 0 0,2 0 0,-3 1 0,1-1 0,2 1 0,-1 0 0,-1 1 0,1-1 0,-1-1 0,0 1 0,-1 1 0,1-1 0,-1 0 0,0 0 0,1 1 0,-2-1 0,2 1 0,-2 1 0,1-3 0,0 2 0,0 1 0,-1-1 0,0 0 0,1-1 0,-1 0 0,0 0 0,0 0 0,-1 1 0,1 0 0,-1 0 0,1 0 0,-1-1 0,0 1 0,0-1 0,0 1 0,1 0 0,-4 2 0,-3 3-124,-4 2 0,2 0 0,2-3 0,-1 0 0,-5 2 0,5 0-1,-4-3 1,2 1 0,-2-2 0,-20 10 0,19-9-6702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5:00:05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627 53 24575,'-466'0'0,"464"-1"0,0 1 0,-2 0 0,1 0 0,0 1 0,-1-1 0,0 4 0,1-3 0,-1-1 0,3 0 0,-1 0 0,-1 1 0,0 0 0,-2 0 0,3 0 0,-3 6 0,3-7 0,-2 1 0,3 1 0,1 0 0,-2-1 0,1 4 0,0-3 0,1-2 0,-1 2 0,-1 1 0,1-2 0,1 0 0,0 4 0,-1-4 0,1 3 0,0-3 0,0 0 0,0 2 0,1 0 0,-1-1 0,0 0 0,3 5 0,5 19 0,2 2 0,1 1 0,-2-4 0,27 38 0,-35-59 0,1-3 0,-2 1 0,3 0 0,-2-1 0,-1 1 0,2-1 0,1 1 0,0 1 0,-1-3 0,1 2 0,-1-1 0,0 0 0,-1 1 0,1 1 0,3-2 0,-2 0 0,0 0 0,-2 0 0,1-1 0,2 0 0,-2 0 0,3 0 0,14 0 0,-8 0 0,3 0 0,22-4 0,3-4 0,-34 8 0,4-1 0,0 1 0,-3 0 0,3 0 0,16 3 0,-25-3 0,1 1 0,3-1 0,-3 0 0,1 2 0,0 2 0,1-3 0,2 0 0,-4 0 0,0-1 0,1 1 0,-1 1 0,0-2 0,-1 3 0,5 0 0,-4 0 0,1-2 0,0 0 0,-1-1 0,0 4 0,1 3 0,2 3 0,5 2 0,-3 3 0,-4-6 0,1 5 0,-1-2 0,5 19 0,-7-24 0,0-2 0,0 0 0,0 1 0,-3-4 0,1 5 0,1-2 0,0 3 0,0-3 0,-1-3 0,0 3 0,1 0 0,-1-1 0,-2 0 0,-3 4 0,4-5 0,0 1 0,1 1 0,-11 2 0,-11 14 0,0-3 0,-47 25 0,56-37 0,3-2 0,-23 8 0,-12 2 0,39-7 0,-2-4 0,1-2 0,-1 1 0,1 2 0,1-3 0,-16 0 0,-7 0 0,-24-3 0,54 2-38,0 0 0,-1 0 0,1 0 1,-1 0-1,1 0 0,0 0 0,-2 0 0,2 0 0,0-1 0,1 1 0,-2-4 0,-3 4 0,4 0 0,-1 0 0,1 0 0,0-1 1,0 0-1,0 1 0,1 0 0,-1-1 0,-1 0 0,2 0 0,0 0 0,-2-1 0,1 2 0,1-6 0,-1 6 0,0 0 0,1-1 1,-1-1-1,1 2 0,-1-2 0,1 1 0,0 0 0,-1-3 0,2-4-6788</inkml:trace>
  <inkml:trace contextRef="#ctx0" brushRef="#br0" timeOffset="1088.83">710 118 24575,'-12'31'0,"11"-28"0,1-1 0,0-1 0,-1 1 0,1-1 0,0 6 0,1-5 0,-1-1 0,0 1 0,1 0 0,-1-1 0,0 3 0,1-3 0,-1 1 0,1 0 0,0 1 0,2-3 0,2 3 0,-3 0 0,-2-2 0,2 2 0,-1-1 0,1-1 0,1 1 0,-2 1 0,3-2 0,0-1 0,-4 1 0,4-1 0,-3 1 0,1-1 0,2 2 0,0-2 0,3 1 0,23 2 0,-3-3 0,4 0 0,48-7 0,-73 6 0,5-3 0,-6 1 0,2-2 0,-2 2 0,1 1 0,1-2 0,-3 1 0,3 0 0,-3-2 0,1 0 0,1-1 0,-2 1 0,0 1 0,2-3 0,-1 4 0,-2-3 0,-1 0 0,4-2 0,0-5 0,-6 12 0,0 0 0,0-2 0,0 1 0,0 1 0,0 0 0,0-1 0,-1-1 0,1 2 0,0-1 0,-1-1 0,-1 2 0,2 0 0,-1 0 0,0-1 0,1 0 0,-2 2 0,0-2 0,0 2 0,1-5 0,0 5 0,1-1 0,-1 0 0,-1 0 0,1 0 0,-2 0 0,2 0 0,-5 1 0,-2-8 0,-4 5 0,1-4 0,-15-2 0,6 3 0,3-2 40,-4 3 0,-34-13 0,46 17-226,-4 0 1,3-1-1,-2 2 0,5 0 1,-3 0-1,-2 0 1,-15 3-1,12 2-6640</inkml:trace>
  <inkml:trace contextRef="#ctx0" brushRef="#br0" timeOffset="2947.35">977 5 24575,'1'0'0,"-1"0"0,1 0 0,-1 0 0,0 0 0,0 4 0,1-4 0,-1 0 0,0 0 0,2 0 0,-2 0 0,0 0 0,0 0 0,0 0 0,2 1 0,-2-1 0,0 0 0,0 1 0,0-1 0,0 0 0,0 0 0,0 0 0,1 0 0,-1 1 0,0-1 0,0 1 0,0 0 0,5 20 0,-4-15 0,11 29 0,-7-24 0,-2-1 0,-1-3 0,1 7 0,1 7 0,-2 209 0,-4-117 0,3-92 0,0-11 0,-1 1 0,-2 18 0,2-27 0,0 0 0,-2 1 0,0 0 0,0-1 0,1 0 0,1 0 0,-1 2 0,1-2 0,-2 1 0,1 0 0,-2-2 0,1 1 0,0-1 0,-2 1 0,0 2 0,-6 3 0,1-2 0,-2 2 0,-1-4 0,3 0 0,-2 4 0,-3-6 0,-20 7 0,-16 4 0,23-6-455,2 2 0,-32 5 0,43-11-6371</inkml:trace>
  <inkml:trace contextRef="#ctx0" brushRef="#br0" timeOffset="3977.45">1109 237 24575,'8'-1'0,"-5"-1"0,0 1 0,1 0 0,0-2 0,-1 0 0,2 2 0,1 0 0,-3-2 0,4-4 0,3 1 0,42-21 0,-37 18 0,0 4 0,-1-6 0,3 1 0,-5 4 0,22-25 0,15-16 0,-49 47 0,0 0 0,0 0 0,0 0 0,0 0 0,0 0 0,0 0 0,0 0 0,0 0 0,0 0 0,0 0 0,0 0 0,0 0 0,0 0 0,1 0 0,-1 0 0,0 0 0,0 0 0,0 0 0,0 0 0,1 0 0,-1 0 0,0 0 0,0 0 0,0 0 0,0 0 0,1 0 0,-1 0 0,0 0 0,0 0 0,0 0 0,0 0 0,0 0 0,0 0 0,1 0 0,-1 0 0,0 0 0,0 0 0,0 0 0,0 2 0,0-2 0,0 0 0,0 0 0,0 0 0,2 0 0,-2 0 0,0 1 0,0-1 0,0 0 0,0 0 0,0 0 0,0 0 0,0 4 0,0-4 0,0 0 0,0 0 0,0 0 0,0 0 0,0 0 0,0 0 0,0 0 0,0 0 0,-2 0 0,2 0 0,0 0 0,0 13 0,-4 9 0,-20 111 0,-2-59 0,25-74 0,-31 121 0,17-56-1365,11-56-5461</inkml:trace>
  <inkml:trace contextRef="#ctx0" brushRef="#br0" timeOffset="5906.67">1686 80 24575,'-1'-5'0,"-2"4"0,1 0 0,-2-1 0,3 1 0,-2 0 0,1-3 0,-1 3 0,1-1 0,-1 2 0,2 0 0,-2-1 0,2 1 0,-3-1 0,2 0 0,-2 1 0,0-1 0,3 1 0,-3 0 0,3 0 0,-2 0 0,-1 0 0,2 1 0,-1-1 0,0 1 0,1-1 0,1 1 0,-8 0 0,6-1 0,2 2 0,-1 3 0,-2-5 0,2 2 0,2 0 0,-4-1 0,3 0 0,-2 4 0,1-3 0,0 0 0,-2 0 0,1 0 0,3 1 0,-2 0 0,1 0 0,-1 0 0,2-2 0,0 2 0,-1 0 0,1 0 0,0 1 0,0 4 0,0-2 0,0-3 0,0 6 0,0-6 0,1 0 0,-1 3 0,2-1 0,-1 3 0,1-5 0,0 1 0,7 6 0,-1 6 0,21 22 0,3 2 0,-28-30 0,3-1 0,-1-2 0,3 2 0,-6 3 0,1-1 0,2 1 0,-3-3 0,0 2 0,0 1 0,1-2 0,-1 19 0,-1-23 0,-4 3 0,2-2 0,0 1 0,0 1 0,-3-1 0,-1-1 0,3 1 0,-2 0 0,-5 8 0,6-12 0,0-1 0,0 0 0,0 0 0,1-1 0,-2 0 0,0 5 0,-2-5 0,2 0 0,0 0 0,1 1 0,-3 1 0,3-3 0,-1 0 0,-2 0 0,1-1 0,-1 2 0,1-1 0,2 0 0,-4 1 0,3-1 0,-5 3 0,-1-4 0,5 0 0,-2 0 0,3-1 0,-2 1 0,0-3 0,-4 2 0,4-2 0,2 2 0,-1-1 0,-1 2 0,1-2 0,-4 2 0,2-3 0,3-2 0,-2 3 0,2 0 0,-1 0 0,-1-6 0,3 7 0,-10-10 0,8 9 0,3 0 0,0-1 0,0 1 0,-1 0 0,-2-1 0,4-2 0,-1 1 0,-1 1 0,0 1 0,1-4 0,0 5 0,1-2 0,-2-1 0,2 1 0,0 1 0,0-2 0,0 0 0,0 0 0,0 1 0,2 1 0,-1-2 0,0 0 0,1 1 0,-1 0 0,0 2 0,0-4 0,1 3 0,1-2 0,-1 4 0,-1-6 0,4 0 0,10-8 0,2 3 0,2-4 0,-6 2 0,41-19 0,-1 1 0,-27 14 0,-17 13 0,1-2 0,-3 1 0,3 1 0,-5-3 0,7 1 0,-8-1 0,6-1 0,-6 1 0,10-8 0,-6 1 0,-4 12 0,-2-3 0,-1 2 0,2-3 0,-3 3 0,6-12 0,-5 14 0,-1-1 0,0-1 0,0 0 0,0 1 0,0 2 0,-1-2 0,1 2 0,0-2 0,-1 0 0,1-1 0,-1-1 0,0 3 0,0 1 0,-1-4 0,2 1 0,0 2 0,-2 1 0,-1-4 0,-2-3 5,-3 3 1,3-2-1,-1 2 0,1-2 0,-1 2 0,0 0 0,1 1 1,-5-2-1,4 2 0,-1 0 0,0-1 0,0 1 0,-1 2 1,-17-2-1,-1 2-151,1-5 0,-4 5 0,-25 2 0,12 0-713,26 0-5967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5:00:17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0 406 24575,'4'-1'0,"0"0"0,0-1 0,-1-2 0,1 3 0,0-3 0,1 4 0,-2-2 0,1-3 0,-2 3 0,5-5 0,-4 2 0,16-12 0,72-61 0,-45 46 0,-27 20 0,-1-1 0,17-16 0,43-56 0,-75 80 0,4-2 0,-4 4 0,2-1 0,0-3 0,9-6 0,-12 13 0,-2 0 0,0 0 0,0 0 0,0 0 0,0 0 0,1 0 0,-1 0 0,1 0 0,-1 0 0,0 0 0,1 0 0,-1 0 0,0 0 0,2 0 0,-2 0 0,0 0 0,0 0 0,1 1 0,-1-1 0,0 0 0,1 0 0,-1 0 0,0 0 0,1 4 0,-1-4 0,0 0 0,0 0 0,0 1 0,1-1 0,-1 0 0,0 0 0,0 1 0,0-1 0,1 0 0,-1 1 0,0-1 0,0 0 0,0 0 0,0 0 0,0 0 0,0 1 0,0-1 0,0 0 0,0 1 0,0-1 0,0 0 0,0 1 0,0-1 0,0 2 0,3 18 0,-3-19 0,-3 130 0,3 47 0,3-165-1365,0-1-5461</inkml:trace>
  <inkml:trace contextRef="#ctx0" brushRef="#br0" timeOffset="980.18">626 194 24575,'6'-1'0,"-3"0"0,3 0 0,-1-1 0,2 1 0,-4-2 0,1 2 0,2-1 0,-2 0 0,3 0 0,0-4 0,13-6 0,0 1 0,-1-2 0,2 3 0,-7-5 0,1 1 0,24-20 0,-5 0 0,-31 32 0,3-1 0,-3-4 0,1 5 0,-1-1 0,2 1 0,8-6 0,-13 8 0,1-1 0,-1 1 0,0 0 0,0 0 0,1 0 0,-1-1 0,0 1 0,1 0 0,-1 0 0,2 0 0,-1 0 0,-1 0 0,1 0 0,0 0 0,-1 0 0,2 0 0,-2 1 0,3-1 0,-3 0 0,2 0 0,-2 0 0,0 1 0,1 0 0,1-1 0,-2 1 0,1-1 0,0 6 0,1-6 0,-2 0 0,1 0 0,-1 1 0,0 0 0,0-1 0,1 1 0,-1 0 0,0 0 0,1 0 0,-1 4 0,2 22 0,-1-3 0,-1 1 0,-1 28 0,0 8 0,-17 92 0,18-97-1365,0-40-5461</inkml:trace>
  <inkml:trace contextRef="#ctx0" brushRef="#br0" timeOffset="6844.8">1143 227 24575,'26'-15'0,"-8"8"0,77-29 0,-88 32 0,6-5 0,-2 3 0,1 0 0,-3-4 0,18-10 0,-23 14 0,-2 4 0,0 0 0,0-1 0,2 2 0,-1-5 0,0 5 0,-1 0 0,2 0 0,-1-1 0,-1 0 0,6 2 0,-7 0 0,-1 0 0,3 0 0,-3 0 0,1 0 0,-1 0 0,2 0 0,-2 0 0,1 0 0,-1 0 0,0 0 0,1 0 0,-1 0 0,1 0 0,-1 0 0,1 0 0,-1 0 0,0 0 0,1 0 0,-1 1 0,0-1 0,0 1 0,0-1 0,0 1 0,1-1 0,-1 0 0,0 1 0,0-1 0,0 1 0,0-1 0,1 0 0,-1 0 0,0 0 0,0 1 0,0-1 0,0 1 0,1 22 0,-1-21 0,0 55 0,-2-2 0,-18 86 0,13-66-1365,4-60-5461</inkml:trace>
  <inkml:trace contextRef="#ctx0" brushRef="#br0" timeOffset="9662.4">1876 117 24575,'0'-1'0,"0"1"0,-1-1 0,1 1 0,0-1 0,-1 1 0,1 0 0,0 0 0,-2 0 0,2 0 0,0-1 0,-2 1 0,2 0 0,-1-2 0,1 2 0,-1 0 0,1-1 0,-1 1 0,1 0 0,-2-2 0,2 2 0,-1 0 0,0 0 0,1 0 0,-2 0 0,2-1 0,0 1 0,-1 0 0,-21-1 0,17 1 0,-4-1 0,-7 0 0,0 0 0,0 1 0,3 0 0,-4 0 0,-19 3 0,35-3 0,0 0 0,0 1 0,0-1 0,-2 1 0,2-1 0,0 2 0,-1-1 0,1-1 0,0 2 0,0-1 0,0-1 0,1 0 0,-1 1 0,0 0 0,0 0 0,0 0 0,-1 0 0,2 2 0,-2-3 0,2 2 0,-2 0 0,1-1 0,1 1 0,0-2 0,0 5 0,-1-3 0,1 2 0,0-1 0,0-2 0,1 3 0,-1 0 0,0-1 0,0-2 0,3 6 0,3 0 0,-4 2 0,2-2 0,1 1 0,1 1 0,10 12 0,12 9 0,-9-11 0,24 28 0,-40-41 0,-1 1 0,4 0 0,-3-1 0,0 2 0,1-2 0,-3 3 0,3-1 0,-3-1 0,0 8 0,-1-9 0,3 6 0,-3 0 0,0 1 0,0 0 0,-3 15 0,3-25 0,-1-2 0,1 3 0,0-2 0,-1 1 0,-1-2 0,0 3 0,1-1 0,-1-2 0,0 3 0,1-2 0,-1-1 0,-1 1 0,2 1 0,-1-2 0,-1 2 0,1-1 0,1-2 0,-1 2 0,-1 2 0,1-3 0,-4 1 0,3-2 0,-1 2 0,2-2 0,0 0 0,-1 0 0,-4 1 0,0 1 0,4-1 0,-4-1 0,3 0 0,-5 1 0,4-2 0,-1 1 0,3-1 0,-4 1 0,2-2 0,1 1 0,-2 1 0,-1 0 0,4-2 0,-3 0 0,-5-5 0,4 3 0,3 2 0,3-2 0,-3 3 0,1-2 0,-1-1 0,0 2 0,1-4 0,1 4 0,1-1 0,0-2 0,-2 1 0,1 2 0,-1-4 0,0 2 0,1 1 0,2-3 0,0 4 0,-1-2 0,-1-8 0,1 4 0,1 3 0,0-3 0,0 2 0,1 0 0,1-1 0,-1 0 0,-1 2 0,5-3 0,-2 3 0,4-16 0,-5 17 0,1 1 0,1-3 0,0 4 0,1-2 0,-2-2 0,1 3 0,1-1 0,0-1 0,-2 4 0,3-2 0,0 0 0,-2 2 0,2-4 0,8 1 0,125-55 0,-118 48 0,-13 9 0,-3-3 0,2 3 0,-2-2 0,2-1 0,-4 1 0,4-2 0,-2 3 0,-2-1 0,3-1 0,2-1 0,-1-4 0,-7 8 0,1 1 0,-1-1 0,0-1 0,1 1 0,-1 0 0,0 1 0,0 1 0,0-3 0,0 1 0,2-2 0,-2 3 0,0 1 0,-2-2 0,2-2 0,0 2 0,-1-2 0,1 2 0,0 0 0,-1-2 0,-2 3 0,2-3 0,0 3 0,0 1 0,0-2 0,-4 2 0,2-1 0,1-3 0,0 4 0,-1-4 0,1 3 0,1 0 0,-2-1 0,-5 2 0,1-4-195,0 1 0,-1 2 0,-1 0 0,2 0 0,-3 1 0,-11-1 0,2 1-6631</inkml:trace>
  <inkml:trace contextRef="#ctx0" brushRef="#br0" timeOffset="11451.32">2305 117 24575,'-4'0'0,"-1"1"0,1-1 0,-3 1 0,2 2 0,-1-1 0,1 0 0,-1-1 0,1 0 0,0 0 0,0 0 0,2 3 0,-2-1 0,0 1 0,0-1 0,2-2 0,0 4 0,-6 0 0,6-4 0,0 5 0,0-3 0,-2 0 0,2 4 0,-1 1 0,0 0 0,-1 3 0,1-5 0,-3 6 0,5-4 0,0 3 0,0-1 0,-1-1 0,2 1 0,0-1 0,1 18 0,0-25 0,0 0 0,1 0 0,-1 2 0,1-4 0,-1 3 0,2-1 0,-1-1 0,0 0 0,0 1 0,-1 1 0,2-1 0,-2-1 0,2 1 0,-2 0 0,3-1 0,-1 0 0,1 3 0,-1-3 0,-1 0 0,1 1 0,1-1 0,-2-1 0,1 0 0,0 0 0,-1 1 0,1 0 0,-1-1 0,2 0 0,1 2 0,-2-2 0,3 3 0,11-3 0,0 1 0,-3-1 0,2 0 0,17-4 0,-4 2 0,-13 2 0,-8 0 0,3 0 0,-2 0 0,0-1 0,15 0 0,-21 0 0,1 1 0,-2-2 0,1 1 0,0 1 0,-1-1 0,1 0 0,-1-2 0,2 2 0,-2 0 0,1 1 0,-1-2 0,0 1 0,2 0 0,-2-1 0,0 1 0,0-2 0,0 1 0,-1 1 0,1 1 0,0-2 0,-1 0 0,1 0 0,0 2 0,-1-5 0,2-9 0,-2 0 0,0 1 0,0-1 0,-1 1 0,-1-2 0,0 1 0,0 2 0,-3-4 0,-8-16 0,11 28 5,0 0 0,2 3 0,-3-2 0,2-1 0,-1 2 0,-1-2 0,1 3 0,-1-1 0,1 1 0,0-1 0,-1-3 0,-1 3 0,2 0 0,-1 1 0,0 1 0,-1-3 0,3 2 0,-2-2 0,-1 2 0,0 1 0,1-1 0,-1 0 0,-7 1 0,7-1-140,-4 1 0,-1 0 0,2 0 0,-2 1 0,4-1 0,-2 0 0,2 2 0,-4-1 0,2 2 0,-10 2 0,6 2-6691</inkml:trace>
  <inkml:trace contextRef="#ctx0" brushRef="#br0" timeOffset="12758.7">2348 127 24575,'3'0'0,"1"1"0,0-1 0,-1 1 0,0-1 0,1 0 0,-1 0 0,-2 0 0,0 1 0,3 3 0,-1-4 0,0 1 0,-2 1 0,3 1 0,-2-1 0,0-1 0,-1 0 0,1 0 0,1 2 0,-2 1 0,4-1 0,2 8 0,1 1 0,10 21 0,-5-11 0,26 69 0,-30-75 0,-4-3 0,0 3 0,0-2 0,-2 0 0,-1 2 0,0-2 0,1 1 0,-3 27 0,1-31 0,0-2 0,-1 0 0,1 1 0,10 15 0,-6-14 0,-2 1 0,1 19 0,2 0 0,-4-21 0,0-4 0,-1 2 0,-1 0 0,0 15 0,-1-21 0,1 0 0,-1 1 0,1-2 0,-1 1 0,0-1 0,1-1 0,-1 1 0,0 0 0,0-1 0,0 1 0,-2 0 0,3 3 0,0-3 0,-3-1 0,3 1 0,-1 0 0,0-1 0,-1 0 0,1 2 0,0-2 0,-2 0 0,2 1 0,-2-1 0,2 0 0,-1 0 0,-1 0 0,2 0 0,-2 0 0,-8 1 0,-1-1 0,-25-1 0,25 1 0,-4-1 0,3 1 0,0 0 0,-3 1 0,4 0 0,-1 1 0,-28 7 0,6 0-1365,20-7-5461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4T15:11:24.3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490 1763 24575,'2'100'0,"-4"110"0,-26-34-2193,5-96 2193,15-54 0,-10 43 0,-10 141 0,-7-88 0,1 3 0,24-66 0,-35 93 0,17-42 0,4-13 0,-14 37 0,0 15 0,13-82 0,-27 80 0,30-88-86,17-44 236,0 3 1,-13 27 0,14-43 1460,2-11-1284,3-11-438,37-226-2629,-31 207 2740,19-65 0,-13 53 0,3 3 0,-8-3 0,7-77 0,-7 95-61,-4 2 0,1-1 1,16-36-1,11-50-1753,-20 79 1814,19-57 0,5-27 0,-29 98 0,2 0 0,13-29 0,12-34 0,-24 54 0,4 0 0,20-35 0,-11 24 0,36-63 0,-33 55-760,3 2 0,54-75 0,-38 61 1025,19-25 180,64-75-445,-34 50 613,-62 71-164,5 8 0,-2-6 0,66-41 0,-56 40-396,-33 31-28,41-31 1096,88-65 1,-106 81-1051,-16 12 114,34-14-1,-49 26-142,3-1 0,-2 0 0,2 3 0,-1-1 0,0 0-1,0 1 1,-2 0 0,4-1 0,0 1 0,8 1 0,-14 0-13,3 0 0,-2 1 0,0 0 0,-1 0 0,0 0 1,2 0-1,1-1 0,-4 2 0,2-1 0,-1 0 0,0-1 1,-1 4-1,1-3 0,1 3 0,-1-2 0,0-1 0,0 2 0,-1-2 1,0 1-1,0 0 0,2 1 0,-2 0 0,0-1 0,2 3 0,1 7-27,0-1 0,-1 1-1,-1-2 1,2 21-1,-4-29-8,3 31-616,5 1 1,4 34-1,34 179-2725,-41-196 3286,-3-28-670,13 45-1,5 19-277,20 147-1,-29-177 848,16 74-1,8 37-107,-25-82 72,12 79-697,-15-128 756,38 219-71,-39-219 427,15 52 1,2 26 163,-15-51-277,15 141 507,-19-166-745,2 3 0,20 62-1,-6-26 25,-6 1 111,-7-40 0,14 54 0,-4-36 0,12 87 0,-25-124 0,1 13 730,14 59 0,-6-58 1968,7 62 1,-36-135 302,-53-96-3053,51 108-1313,1 4-5461</inkml:trace>
  <inkml:trace contextRef="#ctx0" brushRef="#br0" timeOffset="373.33">365 2720 24575,'6'0'0,"0"-1"0,1-2 0,-1 2 0,-2 0 0,2 0 0,-2 0 0,9-5 0,19-6 0,9 2 0,-5-3 0,3 7 0,-1-1 0,44-1 0,-51 6-479,-4-3 0,58-11-1,-53 8-131,63-6 0,13 4 137,51-4-338,-131 13 442,-6-2 0,4 1 1,33-13-1,-27 7 210,43-6-1,21 5 161,70-8 0,-114 14 0,0-5 0,58-15 0,-59 10 0,-3 5 0,66-6 0,-82 10 0,-2-2 0,48-12 0,12 2 0,-60 10-2,133-15-18,-142 20 450,-1-2-1,3-3 1,30-9 0,-27 9-17,-7 2 1,3-2 0,27 0 0,45-6 461,-65 5-7547</inkml:trace>
  <inkml:trace contextRef="#ctx0" brushRef="#br0" timeOffset="823.99">1936 0 24575,'-2'69'-67,"1"-22"-264,1-4 0,14 83 1,0-61 85,-2-31 261,2 58 1,-10-62-39,3-1 0,0-1 1,19 48-1,-10-33-1045,-6-15-4699</inkml:trace>
  <inkml:trace contextRef="#ctx0" brushRef="#br0" timeOffset="1513.08">5991 2316 24575,'-7'0'0,"-3"0"0,5 2 0,-4 0 0,3 0 0,-4-1 0,1 2 0,-8 4 0,-57 31 0,45-23 0,-1 5 0,2-4 0,0 7 0,2-4 0,-34 36 0,34-28 0,-4 2 0,-55 30 0,29-22-779,-54 56 1,-25 10 94,57-45-1831,55-36 2329,-1-4 0,-50 30-1,-41 28 1429,70-48-887,4 0-1,2 3 1,-40 40-1,33-29-245,-76 77 906,113-112-965,1 5 0,3-5 0,-4 4 0,6 1 0,-5-3 0,-1 15 0,-5 4 910,10-15-920,2-8 0,-1 5 0,0-2 0,1 3 1,-4 8-1,6-16-42,-1 1 1,1 3 0,0-4-1,1 1 1,-1 1-1,2-2 1,0 1 0,-1 0-1,0 0 1,1 4-1,-1-7 1,1 4 0,2 4-1,11 6 2,-5 1 0,4-1 0,0 0 0,25 18 0,75 44 0,-79-59 0,63 27 0,-56-26 0,-14-8 0,6-2 0,48 11 0,-57-12 0,40 12 0,-49-14 0,2-3 0,0 2 0,23 4 0,-8-5 0,279 21 0,114-26 0,-396-1-168,-2 0-1,0-1 1,2-1 0,-3-1-1,1-3 1,-2 3-1,2-6 1,37-14-1,-20 8-362,-19 5 40,5-2-1,48-28 1,-29 6-288,-26 20-3112</inkml:trace>
  <inkml:trace contextRef="#ctx0" brushRef="#br0" timeOffset="2193.64">6413 1033 24575,'0'1843'-7714,"-1"-1821"7924,-4-1-1,1 1 1,0-2-1,-8 25 0,4-19 59,1 2 0,-3 30 0,6 161-208,7-125 1826,-3-81-1571,0 22 34,0-33-303,1 2-1,-1-2 1,0 0-1,1-1 0,-1 1 1,0 0-1,1 1 1,0 0-1,0-1 1,1-1-1,-1 1 0,3 3 1,-4-5-1,1 0-1,0 0 1,-1 0 0,1 0 0,0 0-1,-1 0 1,1 0 0,0 0 0,-1 0-1,2 0 1,-2 0 0,1 0 0,-1 0-1,2 0 1,-1 0 0,0 0 0,-1 0-1,1 0 1,0 0 0,-1 0 0,1 0-1,0 0 1,1 0 0,-2 0 0,1 0-1,0 0 1,-1 0 0,1 0 0,-1 0 0,1-2-1,0 2 1,-1-1 0,1 0 0,19-18 882,-17 17-915,8-13 36,-2 5 0,14-26 0,-2-2 9,111-134-1639,55-51-239,-159 188 1590,5 1-1,0 2 0,1 2 0,60-46 0,-57 55 1305,-15 6-938,28-19 1,-38 26 221,0-1 1,1 1-1,1-1 1,1 1 0,-3 4-1,2-3 1,1 1 0,33-6-1,3-7-357,13-1 0,-60 19 0,1 0 0,2 0 0,-3 0 0,4 1 0,-2 0 0,-1 0 0,-2 0 0,3 0 0,11 3 0,-14-2 0,1-1 0,-1 1 0,-1 2 0,3 0 0,-2-2 0,-1 1 0,2-1 0,-2 1 0,0 0 0,3 0 0,-3 3 0,1-3 0,-1 0 0,0 1 0,0-2 0,-2 3 0,3 0 0,0 0 0,2 5 0,0 3 0,-3-2 0,1 5 0,-1-5 0,3 21 0,-2 14 0,-3-29 0,1-1 0,3 0 0,-2 4 0,10 28 0,5 1-446,12 74-1,-25-110 350,23 103 16,74 201-1466,-88-276 1547,54 122 0,-51-121 195,-1-7 201,19 28-1,-10-21 420,15 24-54,-35-58-754,2-2 0,-1 3 0,-1-1 0,3-4 0,0 2 0,-2 2 0,11 2 0,-14-6-7,5-1 0,-2 1 0,-2-2 0,2 1 0,1-2 0,-3 3 0,3-3 0,-1 1 0,3-1 0,-4 0 0,-1 2 0,3-2 0,1 0 0,-3-2 0,2 2 0,-1 0 0,0-1 0,-2 1 0,3-3 0,-1 2 0,0-1 0,9-3 0,8-5 0,-4-3 0,2 3 0,34-26 0,-40 22 0,121-87 0,-111 81-1365,-2 4-5461</inkml:trace>
  <inkml:trace contextRef="#ctx0" brushRef="#br0" timeOffset="2723.94">9105 3203 24575,'-1'0'0,"-15"0"0,5 0 0,-4 1 0,-18 3 0,30-4 0,-2 2 0,1-1 0,1 0 0,-1 1 0,2-1 0,-2 0 0,1 1 0,-2-1 0,2 3 0,-2-2 0,3-2 0,-1 3 0,0 2 0,1-2 0,-1 0 0,-2 4 0,-12 19 0,2-1 0,2 5 0,1-3 0,-1 3 0,-14 59 0,7-29 0,11-33 0,4-3 0,-10 33 0,13-29 0,1-3 0,0 3 0,2-2 0,2 27 0,-1-34 0,3-2 0,0 2 0,0-2 0,1 0 0,5 0 0,12 29 0,-5-20 0,33 55 0,-43-72 0,0 0 0,-1-2 0,2 0 0,-2 3 0,6-2 0,8 5 0,-3-1 0,5 2 0,-2-1 0,3-1 0,5 2 0,37 14 0,1-11 0,-35-6 0,0-2 0,3 0 0,-4-4 0,40 4 0,239-9 0,-294-3 0,4 1 0,-7 0 0,2-1 0,1-1 0,1-2 0,0 1 0,-4-1 0,1 1 0,2-2 0,20-13 0,-17 7 0,0 1 0,-1-5 0,0 2 0,-5 2 0,7-7 0,17-25 0,37-60 0,-68 88 0,0 2 0,0 3 0,-1-2 0,2-2 0,6-28 0,-11 23 0,4 5 0,10-32 0,-10 29 0,-2 0 0,9-30 0,-8-4 0,0-6 0,-11-72 0,4 120 0,0 0 0,-2-2 0,2 1 0,-2-1 0,-1 2 0,2-2 0,-2 2 0,-2-2 0,1 5 0,-12-19 0,-3 6 0,6 1 0,-5 3 0,-43-35 0,26 29 0,3 0 0,-64-28 0,-3 2 0,83 43 0,-6-3 0,1 4 0,4-3 0,-4 1 0,-1 3 0,-42-3 0,-142 3 0,139 5 0,25 0 60,-51 8 0,81-9-246,0 2 1,0 0-1,1 3 0,-1 1 1,1-2-1,2 0 1,-21 9-1,8 3-6640</inkml:trace>
  <inkml:trace contextRef="#ctx0" brushRef="#br0" timeOffset="3471.19">10373 3236 24575,'-1'107'0,"3"130"0,3-210 0,0 0 0,-2 0 0,19 43 0,38 73 0,-45-114 0,0-2 0,3-2 0,33 40 0,-41-57 0,-1 2 0,-3-4 0,7 0 0,-6 3 0,6-3 0,-5 1 0,3 0 0,14 5 0,3-1 0,-4-3 0,44 11 0,-44-11 0,3-2 0,-3-4 0,2 0 0,31-1 0,-40-1 0,3-1 0,-2 1 0,-1-2 0,2 0 0,1-3 0,24-11 0,24-11-805,101-55 0,51-50 630,-155 85-31,97-87-1,-154 129 213,158-148-1374,-120 108 1163,57-79 1,-19 4-623,-54 75 993,-2 1 0,38-92 1,-10 26 1393,-55 109-1510,-1-5 3,0 2-1,4 1 1,-4-1 0,2 0-1,2-1 1,0 1-1,-1-2 1,-3 6-36,0 0 0,0 0 0,1 0 0,-1 0 0,0 0 0,0 0-1,0 0 1,0 0 0,0 0 0,0 0 0,0 0 0,2 0 0,-2 0 0,0-1 0,0 1 0,0 0 0,0 0 0,1 0-1,-1 0 1,0 0 0,0 0 0,0 0 0,0 0 0,0 0 0,0 0 0,0 0 0,0 0 0,0 0 0,0 0 0,0 0 0,3 0-1,-3 0 1,0 0 0,0 0 0,0 0 0,0 0 0,0 0 0,0 1 0,0-1 0,0 0 0,0 0 0,0 0 0,0 0-1,1 0 1,-1 0 0,3 9 731,-3 15-274,-24 330-208,24-303-266,0-15 0,0 4 0,13 64 0,-9-83 0,4 2 0,-2 0 0,4-3 0,22 43 0,-14-30 0,-10-18 0,1 2 0,0 0 0,17 17 0,-23-30 0,2 2 0,1-1 0,-1-3 0,0 3 0,-2 0 0,2-3 0,2 1 0,-2-1 0,0 1 0,2 0 0,-2-1 0,-1 1 0,2 2 0,15-2 0,-6-2 0,2 2 0,1-1 0,-1-2 0,2 0 0,-1 0 0,-2 0 0,2-2 0,0-1 0,2 2 0,-2-2 0,21-12 0,-6 0 0,0-2 0,53-36 0,43-19-142,1-2-293,-38 15-1241,19-7 1257,38-33-730,-31 27 431,-83 46 842,4 2 0,70-32 1,-83 42-62,1-2 1,33-18 0,-42 19 304,4 1 1,-1 2-1,3 0 1,21-10-1,-38 20-335,-1 2 0,-3-1 1,2-1-1,2 1 0,-2 1 0,-2 0 0,4 0 0,-2-1 0,-1 1 0,7 1 0,-9-1 23,0 0-1,0 0 0,-2 0 0,3 1 0,0 1 0,-1-2 1,1 1-1,-1-1 0,1 0 0,-2 2 0,1-2 0,-1 1 1,-1 2-1,0 0 0,4-3 0,-4 2 0,1 0 0,0-1 0,0 0 1,0 0-1,0-1 0,0 2 0,0 3 0,0-2 0,-1-1 1,2 2-1,1 12 6,-2 0 0,1 2 0,-2-3 0,-2 33 0,1-32-65,0-1 1,1-1-1,0 1 0,2 1 1,-1-2-1,4 16 0,12 18 4,6 53 0,6 43 0,-24-123 0,3 2 0,0-2 0,22 36 0,-14-28 0,-10-15 0,6 0 0,-5-2 0,3 0 0,-2 0 0,5 4 0,-2-7 0,1 1 0,1-2 0,16 17 0,-27-24 4,0 0 0,0 0 0,0 0 0,-2 0 0,3-1 0,-1 1 0,0-1 0,-1 1 0,3-1 0,-3 0 0,1 1 0,2-1 0,-2 0 0,0 0 0,0 0 0,0 0 0,0 0 0,0-1 0,0 1 0,1-1 0,1 1 0,-2 0 0,-1-1 0,1 0 0,-1 1 0,0-2 0,1 1 0,-1 1 0,4-2 0,0-5-190,-1 5 1,2-2-1,-2-2 0,2-2 1,-3 6-1,1-2 1,4-11-1,1-5-6640</inkml:trace>
  <inkml:trace contextRef="#ctx0" brushRef="#br0" timeOffset="5089.49">15698 2806 24575,'-4'2'0,"-3"-2"0,-3 1 0,6-1 0,-3 2 0,0-1 0,-1 1 0,1-1 0,3 1 0,-2 0 0,-3 0 0,5 2 0,-12 8 0,-2 1 0,0 0 0,-19 26 0,7-12 0,-28 29-752,-90 111 0,-24 77-753,78-84 551,57-85 677,20-50 289,2 3-3,1 2 0,-16 37 0,4 3-16,19-59 288,-1 2 0,3 5 0,0-5 0,1 1 0,-3 23 0,6-33-195,1 0 0,1 0 0,-1 2 0,1-4 0,-1 0 0,1 2 0,0 0 0,-1 1 0,2-4 1,-1 2-1,2 1 0,-2 0 0,1-1 0,1 0 0,-2 0 0,2 0 0,-2 1 0,2-3 0,1 3 0,0-1 1,-1-1-1,0 1 0,5 3 0,1-3-35,-2-1-1,4 4 1,-4-3 0,2 1-1,1-2 1,1 1 0,-4-1 0,18 1-1,-6-1-50,1-1 0,-3-1 0,2-1 0,1-1 0,-2-1 0,-1 1 0,2-2 0,-2-1 0,1 0 0,32-13 0,-16 2 0,-2 1 0,0-2 0,59-41 0,-34 16 0,55-42 0,21-32 0,-82 65-1032,-4-4-1,75-101 0,-104 131 1033,-7 11 0,-3 0 0,2 0 0,-3 2 0,0-3 0,-2 0 0,11-28 0,-7-7 0,14-41 0,-14 58 92,-2 1-1,0-2 1,-1-37-1,-5-102 685,-3 95-412,2 67-248,1 3 68,-1-1 1,0 2-1,-1 2 1,1-3-1,-2 1 1,1-1 0,-7-13-1,8 21-184,0 0 0,0 0 0,0 0 0,0 0 0,0-1 0,0 1 0,0 0 0,0 0 0,0 0 0,0 0 0,0 0 0,0 0 0,0 0 0,0 0 0,0 0 0,0 0 0,0 0 0,0 0 0,0 0 0,-1 0 0,1 0 0,0 0 0,0 0 0,0 0 0,0 0 0,0 0 0,0 0 0,0 0 0,0 0 0,0 0 0,-1 0 0,1 0 0,0 0 0,0 0 0,0 0 0,0 0 0,0 0 0,0 0 0,0 0 0,0 0 0,0 0 0,-1 0 0,1 0 0,0 0 0,0 0 0,0 0 0,0 0 0,0 0 0,0 0 0,0 0 0,0 0 0,0 0 0,0 0 0,0 0 0,-1 0 0,1 0 0,0 0 0,0 0 0,0 0 0,0 0 0,0 0 0,0 0 0,0 1 0,-4 10 0,0 11 0,1 275 0,6-167 0,-3 1192-5044,-3-1295 4744,0-3 1,0 2-1,-16 36 1,-3 39-445,15 91-392,0-6 60,-8 208 1076,13-357 0,-2 1 0,-16 61 0,10-51 0,-2 45 0,10 185 491,2-16 480,-16-154-592,4 23-413,16-38-3,-2-51 1300,-10 68 0,8-105-1104,-1 2 0,0-2 0,-1 1 0,1-1 0,-1 0 0,0 0 0,-1 0 0,1 2 0,-2-3 0,1-1 0,1 3 0,-3-2 0,1 0 0,0-2 0,1 1 0,-7 8 0,8-9-67,-3 2-1,3-3 1,-3-1 0,1 3-1,0-2 1,0 0 0,2 0-1,-5 0 1,4-1-1,-1 1 1,0 0 0,1-1-1,-3 0 1,2 0 0,0 0-1,3 0 1,-4-1-1,0 0 1,1 0 0,0 1-1,1-1 1,-1 0 0,-8-3-1,-8-9-91,-1 3 0,2-4 0,0 4 0,-30-28 0,13 9 0,-97-87 0,25 24 0,48 44-1413,-93-99 0,105 93 1120,-77-125 0,101 144 356,-46-85-560,6-22 681,58 126-40,-1 1 0,2-1 0,2 0 0,-1 0 1,-1-3-1,3-15 0,2-103-306,1 74 238,-1-27-198,-1 37-247,9-84 0,-4 115 369,2 0 0,2-1 1,0 1-1,18-32 0,1 0-742,-11 20 692,4 0 0,0 3 0,0-1 0,51-49 0,-28 30 1474,-19 25-1338,2 1 1,-1 2 0,45-31 0,3-1-83,-46 35-267,1 1 1,-1-1-1,6 7 0,34-18 0,-4-1 211,-34 19 14,0-4 1,1 5-1,-1 1 0,5 0 1,36-8-1,27-3-1469,-62 13 806,67-11 1,-19 11 780,-23 2-10,67-4 1,413 13 714,-503 0-145,51 7 0,19 3 2316,163-12-883,-259-3-2073,3 1 0,0 0 0,1-1 0,-8 1 0,8-4 0,0 3 0,-1-4 0,-4 3 0,3-1 0,17-12 0,-16 6 0,0 1 0,-1-1 0,-3 2 0,2-5 0,0 3 0,-1 0 0,18-28 0,7-19 0,-20 42 0,-5-6 0,22-33 0,-28 46 0,47-118 0,-43 103 0,-4-1 0,1 1 0,2-39 0,-6 42-189,2 2 1,4-2-1,4-23 0,-5 26 5,-2-6 0,0 5 0,3-24 1,-4-31 928,-8-97 0,4 166-745,0-3 0,-1 2 0,-1-1 0,-2 0 0,3-1 0,-1 4 0,-4-12 0,6 14 0,-1 1 0,0 0 0,1 1 0,-1-3 0,-1 2 0,1 0 0,-1 0 0,0-3 0,1 3 0,-1 0 0,1 0 0,-1 0 0,0-1 0,2 2 0,-1-1 0,-1 0 0,0 0 0,0 1 0,-2 0 0,2 0 0,-1 0 0,2 0 0,-1 0 0,0 0 0,1 0 0,-2 0 0,2 0 0,-2 0 0,1 0 0,0 0 0,2 0 0,-5 1 0,-9 1-113,7 3 0,-3 1 1,3-1-1,-3-3 0,1 3 0,0 0 0,0 1 0,2 0 0,-1 1 0,0 0 1,-8 9-1,-8 13-856,-34 51 1,42-56 785,-16 33 83,-51 105 0,51-98 852,19-47-265,8 3 0,-5-1 0,2 2 0,4-1 0,-9 30 0,9-13-487,1 63 0,4-84 0,0-8 0,2 6 0,-2 2 0,1-5 0,2 2 0,1 0 0,0-1 0,8 15 0,-8-20 0,-2-2 0,0 0 0,1 2 0,4-1 0,-4-3 0,2 3 0,0-1 0,13 8 0,1-2 0,34 17 0,-6-7 0,-33-13 0,1 0 0,-1-2 0,2-3 0,-3 3 0,3-2 0,-2-1 0,4-2 0,19 5 0,17-5 0,62-2 0,-30-3 0,-73 4 0,-4 0 0,2-2 0,0 2 0,-3-1 0,4-1 0,-5-1 0,3 1 0,0-3 0,1 3 0,-2-3 0,18-11 0,35-17 0,-23 12 0,44-29 0,101-88 0,-147 111 0,-3-5 0,-3-1 0,45-51 0,-56 60 0,-5-2 0,1 1 0,23-45 0,35-127 0,-46 116-496,-18 48 106,1 4 0,-2-2-1,0-1 1,1-46 0,-11 2 390,-1 54 0,1 1 0,1 0 0,0-2 0,10-21 0,27-124-71,-36 147 59,-1-4 0,0 2 0,-1 1 0,-2-2 0,-8-29 0,-3-25 12,58 136 2590,-12-13-2924,4-3 0,-1-1 0,6-2-1,-4-1 1,92 56 0,-74-54-156,16 10-292,59 33 782,-1 2 0,-59-41 22,-32-19-953,47 22-1,68 27 564,-83-40-267,15 5-198,-32-13 1079,-29-15 73,2-2-1,21 8 1,33 9 118,-7 4 868,-71-29-1170,3 1 1,-2-2-1,0 2 0,1-2 1,-2 2-1,2 1 0,-2-3 1,0 2-1,-1 1 0,1-1 1,1 1-1,-1 2 0,0-2 1,-1 0-1,1-2 1,3 6-1,-5-4-54,0 1 1,-1-2-1,1 0 1,0 1-1,-1 3 0,1-3 1,-1 0-1,0-1 0,0 1 1,0-2-1,0 4 1,-1-1-1,1-1 0,-1-2 1,0 2-1,1-1 1,-1 1-1,0 3 0,-1-4 1,-2 3-1,-94 141-81,88-119 0,2-4 0,-4 2 0,5 0 0,1-1 0,-4 38 0,5-7 0,-1-1 0,12 101 0,-5-135 0,0-3 0,2 0 0,0 0 0,3 2 0,0-1 0,0-1 0,0 0 0,7-1 0,5 25 0,3-11 0,-1-2 0,7 0 0,43 46 0,-34-43 0,33 46 0,-47-49 0,1-3 0,2 0 0,51 36 0,-46-37-682,53 20-1,-54-30-6143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1T14:52:03.175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37201 12050 16383 0 0,'0'-6'0'0'0,"0"-7"0"0"0,0-4 0 0 0,0-7 0 0 0,0-2 0 0 0,0-4 0 0 0,0 1 0 0 0,0-1 0 0 0,0-2 0 0 0,-4 7 0 0 0,-11 5 0 0 0,-4 10 0 0 0,-9 3 0 0 0,5 9 0 0 0,-4 3 0 0 0,6 7 0 0 0,-1 3 0 0 0,3 1 0 0 0,3-2 0 0 0,-1 5 0 0 0,-1-5 0 0 0,3 2 0 0 0,-3 4 0 0 0,2 3 0 0 0,-1-3 0 0 0,2 0 0 0 0,-4-2 0 0 0,4 0 0 0 0,0-2 0 0 0,-2-1 0 0 0,-1 0 0 0 0,3 0 0 0 0,-4 2 0 0 0,3 6 0 0 0,-1 1 0 0 0,2 5 0 0 0,-3-5 0 0 0,1-2 0 0 0,5 4 0 0 0,3-3 0 0 0,-1 0 0 0 0,0-4 0 0 0,3 5 0 0 0,1 0 0 0 0,2 2 0 0 0,9-5 0 0 0,7-2 0 0 0,8-9 0 0 0,6-3 0 0 0,6-5 0 0 0,1 0 0 0 0,2-2 0 0 0,1-2 0 0 0,-1 1 0 0 0,-2 0 0 0 0,2 0 0 0 0,-7-5 0 0 0,0 1 0 0 0,-1-2 0 0 0,-2 1 0 0 0,6 2 0 0 0,-1-3 0 0 0,2 0 0 0 0,0 1 0 0 0,3 0 0 0 0,-1-3 0 0 0,-1 0 0 0 0,1 2 0 0 0,0-3 0 0 0,0 0 0 0 0,-2 0 0 0 0,-4 0 0 0 0,-1-1 0 0 0,0 3 0 0 0,0-3 0 0 0,2-1 0 0 0,2 0 0 0 0,1 0 0 0 0,-4-2 0 0 0,-6-2 0 0 0,2 2 0 0 0,-5-6 0 0 0,-2-3 0 0 0,-2-3 0 0 0,-11-1 0 0 0,2-2 0 0 0,-4 0 0 0 0,-10-2 0 0 0,4 0 0 0 0,-12 7 0 0 0,2 0 0 0 0,-6 1 0 0 0,7-1 0 0 0,-7 2 0 0 0,3 1 0 0 0,-2 4 0 0 0,3 1 0 0 0,-2 0 0 0 0,-3 6 0 0 0,1-1 0 0 0,-2-1 0 0 0,-2 3 0 0 0,-2 5 0 0 0,-4 1 0 0 0,-1 1 0 0 0,-2 2 0 0 0,5 5 0 0 0,0 1 0 0 0,2 7 0 0 0,0 0 0 0 0,1 1 0 0 0,1 2 0 0 0,5 0 0 0 0,-1-1 0 0 0,-2 1 0 0 0,-4-2 0 0 0,4 2 0 0 0,-2-1 0 0 0,1-1 0 0 0,-5 1 0 0 0,3 1 0 0 0,1-2 0 0 0,0 0 0 0 0,1 5 0 0 0,0-1 0 0 0,-1-5 0 0 0,4 4 0 0 0,0-6 0 0 0,0 3 0 0 0,2-2 0 0 0,-1 3 0 0 0,2-1 0 0 0,2 1 0 0 0,4 4 0 0 0,-4-1 0 0 0,4-1 0 0 0,1 6 0 0 0,4 1 0 0 0,10-3 0 0 0,6-6 0 0 0,7-4 0 0 0,11-3 0 0 0,4-5 0 0 0,0-2 0 0 0,-2-7 0 0 0,-3-2 0 0 0,0 0 0 0 0,-2-2 0 0 0,-2-1 0 0 0,0 3 0 0 0,-1-4 0 0 0,-2 0 0 0 0,5-2 0 0 0,2 2 0 0 0,-4-4 0 0 0,-1 2 0 0 0,-1-1 0 0 0,-1 0 0 0 0,3-1 0 0 0,-4-3 0 0 0,2 3 0 0 0,-3-2 0 0 0,2 0 0 0 0,-5 2 0 0 0,4 1 0 0 0,-6-2 0 0 0,2-3 0 0 0,-2 4 0 0 0,-2-4 0 0 0,0 1 0 0 0,1 0 0 0 0,-1 0 0 0 0,-3-4 0 0 0,5 6 0 0 0,-1-4 0 0 0,-3 0 0 0 0,-8 3 0 0 0,-10 4 0 0 0,-9 4 0 0 0,-8 4 0 0 0,1 8 0 0 0,0 4 0 0 0,-5 2 0 0 0,7 2 0 0 0,2 1 0 0 0,-5-1 0 0 0,2 3 0 0 0,3-3 0 0 0,-4 5 0 0 0,-2-2 0 0 0,5 2 0 0 0,-2-1 0 0 0,0 1 0 0 0,-4 5 0 0 0,-2-3 0 0 0,5 1 0 0 0,-1 0 0 0 0,0-3 0 0 0,-2 2 0 0 0,4-2 0 0 0,1 0 0 0 0,3 0 0 0 0,2-1 0 0 0,-2 2 0 0 0,3-4 0 0 0,3 4 0 0 0,-6-2 0 0 0,7 1 0 0 0,1 4 0 0 0,5 4 0 0 0,1 3 0 0 0,3 0 0 0 0,9-1 0 0 0,7-8 0 0 0,7-5 0 0 0,9-4 0 0 0,2-4 0 0 0,3-3 0 0 0,-5-7 0 0 0,-2-3 0 0 0,-1 1 0 0 0,5-2 0 0 0,-1-1 0 0 0,-4-1 0 0 0,-2-3 0 0 0,3 5 0 0 0,-6-3 0 0 0,2 0 0 0 0,-1 0 0 0 0,5 0 0 0 0,-3-1 0 0 0,-1-1 0 0 0,-2-1 0 0 0,-1 3 0 0 0,0-3 0 0 0,7-2 0 0 0,1-6 0 0 0,-5 0 0 0 0,3 1 0 0 0,3 0 0 0 0,-8-1 0 0 0,1 5 0 0 0,-3 0 0 0 0,-5-3 0 0 0,-1 3 0 0 0,1-1 0 0 0,-1 5 0 0 0,2-1 0 0 0,-11 0 0 0 0,-9 5 0 0 0,-11 8 0 0 0,-9 7 0 0 0,1 5 0 0 0,0 4 0 0 0,2 2 0 0 0,5 5 0 0 0,1-1 0 0 0,1 1 0 0 0,1-3 0 0 0,-1 0 0 0 0,-2 3 0 0 0,1 5 0 0 0,1-6 0 0 0,-2 2 0 0 0,-2-3 0 0 0,4-1 0 0 0,-1-2 0 0 0,-2 2 0 0 0,0-5 0 0 0,5 5 0 0 0,-6-4 0 0 0,3 2 0 0 0,-1-1 0 0 0,2 1 0 0 0,-3-1 0 0 0,1 2 0 0 0,-1-1 0 0 0,4 0 0 0 0,1 5 0 0 0,-3-5 0 0 0,12-2 0 0 0,1-9 0 0 0,10-5 0 0 0,3-6 0 0 0,4-4 0 0 0,2-3 0 0 0,3-2 0 0 0,-2 0 0 0 0,2 0 0 0 0,-2-1 0 0 0,-1 2 0 0 0,2-1 0 0 0,0 2 0 0 0,-2-2 0 0 0,3-3 0 0 0,1-2 0 0 0,0-4 0 0 0,1 2 0 0 0,-2-1 0 0 0,-8 1 0 0 0,5-1 0 0 0,-3-4 0 0 0,-4 1 0 0 0,-1-2 0 0 0,-14 4 0 0 0,-1 7 0 0 0,-9 11 0 0 0,-2 7 0 0 0,-1 10 0 0 0,0 5 0 0 0,0 8 0 0 0,0-1 0 0 0,0 1 0 0 0,1-5 0 0 0,3 1 0 0 0,-4-1 0 0 0,5-2 0 0 0,-3-1 0 0 0,2 0 0 0 0,-3-1 0 0 0,1 1 0 0 0,-1-1 0 0 0,4 2 0 0 0,-4-4 0 0 0,1 4 0 0 0,-1-2 0 0 0,3 1 0 0 0,-2 0 0 0 0,-1 0 0 0 0,1-1 0 0 0,2 2 0 0 0,-4-1 0 0 0,4 0 0 0 0,0 0 0 0 0,-2-1 0 0 0,-1 1 0 0 0,3-1 0 0 0,8 0 0 0 0,10-3 0 0 0,7-9 0 0 0,7-5 0 0 0,0-6 0 0 0,4-1 0 0 0,-3-7 0 0 0,1 4 0 0 0,-3-3 0 0 0,-2-6 0 0 0,1 4 0 0 0,-3-1 0 0 0,-2-3 0 0 0,3 2 0 0 0,-4 1 0 0 0,7-2 0 0 0,-2-2 0 0 0,4 2 0 0 0,-4-2 0 0 0,-1 1 0 0 0,1 3 0 0 0,-2 0 0 0 0,-2-4 0 0 0,1 5 0 0 0,2 0 0 0 0,-3-4 0 0 0,-3 9 0 0 0,-4 11 0 0 0,-2 10 0 0 0,-4 4 0 0 0,-5 7 0 0 0,0 1 0 0 0,-5 2 0 0 0,2-2 0 0 0,-1 5 0 0 0,0 0 0 0 0,0 2 0 0 0,1 1 0 0 0,-1-1 0 0 0,0 3 0 0 0,1 1 0 0 0,1-1 0 0 0,-2 0 0 0 0,2-1 0 0 0,4 2 0 0 0,-4-7 0 0 0,0-1 0 0 0,2 1 0 0 0,-3 1 0 0 0,-1 0 0 0 0,1-10 0 0 0,11-4 0 0 0,4-11 0 0 0,8-6 0 0 0,0-5 0 0 0,5-8 0 0 0,4-3 0 0 0,0-7 0 0 0,1 5 0 0 0,-2 0 0 0 0,0 5 0 0 0,-4 0 0 0 0,3-1 0 0 0,3-4 0 0 0,-3 0 0 0 0,2 2 0 0 0,-4 0 0 0 0,3-2 0 0 0,3 0 0 0 0,-2-2 0 0 0,-1 4 0 0 0,-1-2 0 0 0,0 7 0 0 0,-5-1 0 0 0,4-3 0 0 0,-1-2 0 0 0,3 4 0 0 0,-6 0 0 0 0,-3-4 0 0 0,3 4 0 0 0,-1-1 0 0 0,-4-1 0 0 0,5 3 0 0 0,-3-4 0 0 0,-3 2 0 0 0,-2 7 0 0 0,-7 6 0 0 0,-4 8 0 0 0,-8 6 0 0 0,-1 5 0 0 0,3 6 0 0 0,-3 1 0 0 0,0 1 0 0 0,-3 3 0 0 0,3 3 0 0 0,-5-6 0 0 0,4 3 0 0 0,1-1 0 0 0,2-1 0 0 0,-2-2 0 0 0,4 2 0 0 0,0-2 0 0 0,-3-1 0 0 0,-1 4 0 0 0,-1 2 0 0 0,-1 2 0 0 0,0 0 0 0 0,-1-2 0 0 0,1 0 0 0 0,4 1 0 0 0,-3-6 0 0 0,2 0 0 0 0,-3 1 0 0 0,4 4 0 0 0,-1 2 0 0 0,2-3 0 0 0,-2-2 0 0 0,1 4 0 0 0,2-7 0 0 0,-3 1 0 0 0,3 4 0 0 0,4-11 0 0 0,9-5 0 0 0,7-2 0 0 0,6-11 0 0 0,2-2 0 0 0,6 1 0 0 0,-4-6 0 0 0,3 2 0 0 0,4-3 0 0 0,1 0 0 0 0,-3-2 0 0 0,-1 2 0 0 0,2-2 0 0 0,2 1 0 0 0,-3-1 0 0 0,-3 3 0 0 0,2-3 0 0 0,4 1 0 0 0,3 0 0 0 0,-2 2 0 0 0,5 3 0 0 0,-6-4 0 0 0,-3 2 0 0 0,3 0 0 0 0,0-1 0 0 0,1-1 0 0 0,3 0 0 0 0,-4-1 0 0 0,-3 0 0 0 0,-6-1 0 0 0,0 3 0 0 0,5-3 0 0 0,2-3 0 0 0,0 3 0 0 0,0-4 0 0 0,-2 4 0 0 0,2-2 0 0 0,3-2 0 0 0,0-2 0 0 0,3 1 0 0 0,-5 2 0 0 0,-2-4 0 0 0,-3-1 0 0 0,-3 2 0 0 0,-1 1 0 0 0,-1-3 0 0 0,-3 1 0 0 0,-5 2 0 0 0,-9 10 0 0 0,-10 6 0 0 0,-2 11 0 0 0,-5 2 0 0 0,3 7 0 0 0,-7 0 0 0 0,5 1 0 0 0,-5 0 0 0 0,6 2 0 0 0,-4 2 0 0 0,2 3 0 0 0,-1-2 0 0 0,4 0 0 0 0,-4-4 0 0 0,3 1 0 0 0,-3-2 0 0 0,2-1 0 0 0,-3 0 0 0 0,5 0 0 0 0,-4 2 0 0 0,-3 7 0 0 0,-1 0 0 0 0,3-2 0 0 0,0 0 0 0 0,0-2 0 0 0,1-3 0 0 0,-1-2 0 0 0,4 2 0 0 0,-3-3 0 0 0,5 1 0 0 0,-6 4 0 0 0,3 2 0 0 0,-1-1 0 0 0,1 1 0 0 0,-2-4 0 0 0,5 1 0 0 0,-6 3 0 0 0,-3 2 0 0 0,2 1 0 0 0,-1-2 0 0 0,1 1 0 0 0,3 1 0 0 0,0 0 0 0 0,6-8 0 0 0,1-11 0 0 0,6-13 0 0 0,0-9 0 0 0,4-6 0 0 0,0-7 0 0 0,8 0 0 0 0,2-2 0 0 0,-4 0 0 0 0,0 1 0 0 0,5 5 0 0 0,-1 1 0 0 0,-1 2 0 0 0,-3-2 0 0 0,4 5 0 0 0,0-2 0 0 0,-2 1 0 0 0,3-4 0 0 0,0 0 0 0 0,0-1 0 0 0,1 2 0 0 0,1-1 0 0 0,-6 3 0 0 0,7-4 0 0 0,-2 1 0 0 0,-5-3 0 0 0,7-1 0 0 0,-3 0 0 0 0,0 0 0 0 0,1 5 0 0 0,0-1 0 0 0,-2 2 0 0 0,-4-1 0 0 0,3-3 0 0 0,2 0 0 0 0,-6-1 0 0 0,5-1 0 0 0,-8 8 0 0 0,-1 15 0 0 0,-4 7 0 0 0,-7 9 0 0 0,-2 9 0 0 0,-1 3 0 0 0,-5 1 0 0 0,2 1 0 0 0,2 1 0 0 0,0-5 0 0 0,0 0 0 0 0,-1 2 0 0 0,0 3 0 0 0,-1-4 0 0 0,1 1 0 0 0,2-1 0 0 0,-1-2 0 0 0,2 0 0 0 0,2 3 0 0 0,-3-3 0 0 0,3-1 0 0 0,-1 3 0 0 0,0-1 0 0 0,-1-2 0 0 0,5 4 0 0 0,-7-3 0 0 0,2 0 0 0 0,2 2 0 0 0,-2 3 0 0 0,1 1 0 0 0,0-8 0 0 0,5-10 0 0 0,2-15 0 0 0,3-8 0 0 0,4-7 0 0 0,5-5 0 0 0,1-4 0 0 0,-5 2 0 0 0,8 1 0 0 0,-2 4 0 0 0,0 0 0 0 0,1-1 0 0 0,3 0 0 0 0,-1 0 0 0 0,2-3 0 0 0,-4 0 0 0 0,2 6 0 0 0,0-2 0 0 0,-2 2 0 0 0,1 3 0 0 0,0 2 0 0 0,-2-5 0 0 0,1 6 0 0 0,2-3 0 0 0,-5 0 0 0 0,5 2 0 0 0,-1-2 0 0 0,-5 0 0 0 0,7-3 0 0 0,-3-2 0 0 0,4-4 0 0 0,-1 0 0 0 0,-3-1 0 0 0,3 4 0 0 0,0 3 0 0 0,-6 0 0 0 0,6 4 0 0 0,-2-1 0 0 0,-7 4 0 0 0,-7 9 0 0 0,-7 6 0 0 0,-1 9 0 0 0,-8 1 0 0 0,2 7 0 0 0,-2 3 0 0 0,-1 5 0 0 0,1-2 0 0 0,2 0 0 0 0,-4 1 0 0 0,-1 3 0 0 0,3 1 0 0 0,-5-3 0 0 0,5-2 0 0 0,-1-5 0 0 0,2 2 0 0 0,-1 0 0 0 0,2 3 0 0 0,-2-1 0 0 0,-4-1 0 0 0,4 3 0 0 0,-4-3 0 0 0,5-2 0 0 0,-2 2 0 0 0,-6 0 0 0 0,10-1 0 0 0,-9 3 0 0 0,5 2 0 0 0,-1-4 0 0 0,5 1 0 0 0,-4-2 0 0 0,5-4 0 0 0,-3 0 0 0 0,1 2 0 0 0,-2-3 0 0 0,2 1 0 0 0,-2 4 0 0 0,-3 3 0 0 0,-4 4 0 0 0,2 1 0 0 0,-1-4 0 0 0,6-1 0 0 0,-1 4 0 0 0,13-13 0 0 0,0-9 0 0 0,4-13 0 0 0,8-3 0 0 0,0-6 0 0 0,8 1 0 0 0,2-4 0 0 0,2 1 0 0 0,3-5 0 0 0,5-1 0 0 0,6-3 0 0 0,-8 1 0 0 0,2 2 0 0 0,2 4 0 0 0,-6-3 0 0 0,1 6 0 0 0,-4-1 0 0 0,1 4 0 0 0,-5 0 0 0 0,2 0 0 0 0,0 2 0 0 0,-1 0 0 0 0,-1-2 0 0 0,3 3 0 0 0,-4-1 0 0 0,4-2 0 0 0,-1 1 0 0 0,1 2 0 0 0,-3-4 0 0 0,2 4 0 0 0,0-4 0 0 0,-1 5 0 0 0,1-6 0 0 0,1 6 0 0 0,-2-4 0 0 0,2 2 0 0 0,-3-2 0 0 0,3 4 0 0 0,-1-6 0 0 0,1 5 0 0 0,-9 2 0 0 0,-10 9 0 0 0,-6 9 0 0 0,-8 5 0 0 0,0 2 0 0 0,-3 4 0 0 0,-1-1 0 0 0,0-3 0 0 0,2 5 0 0 0,-1-4 0 0 0,1 2 0 0 0,-2 2 0 0 0,-2-2 0 0 0,2 2 0 0 0,-3 3 0 0 0,-1 2 0 0 0,-4 0 0 0 0,2 5 0 0 0,2-5 0 0 0,2-1 0 0 0,2-4 0 0 0,1-1 0 0 0,1-3 0 0 0,0 1 0 0 0,0-2 0 0 0,2 0 0 0 0,-1-1 0 0 0,1 3 0 0 0,-3-2 0 0 0,-3 0 0 0 0,-5 5 0 0 0,2 5 0 0 0,-1-5 0 0 0,6 3 0 0 0,0-6 0 0 0,1 2 0 0 0,0-2 0 0 0,3-1 0 0 0,-4 4 0 0 0,5 4 0 0 0,-4-3 0 0 0,4-1 0 0 0,-4 0 0 0 0,3-1 0 0 0,-4-3 0 0 0,3 1 0 0 0,5-6 0 0 0,9-8 0 0 0,4-5 0 0 0,8-6 0 0 0,2-5 0 0 0,6 1 0 0 0,-2-2 0 0 0,3-1 0 0 0,5-1 0 0 0,2 2 0 0 0,-1-2 0 0 0,-2 2 0 0 0,4 0 0 0 0,0 1 0 0 0,3-2 0 0 0,3 2 0 0 0,-8-1 0 0 0,0 1 0 0 0,3-1 0 0 0,-1 0 0 0 0,-2 0 0 0 0,-3 1 0 0 0,5-2 0 0 0,0 1 0 0 0,2 1 0 0 0,3-2 0 0 0,1 2 0 0 0,-1 0 0 0 0,2 0 0 0 0,-1-1 0 0 0,-4-1 0 0 0,-2 3 0 0 0,-1 0 0 0 0,-6 2 0 0 0,5 0 0 0 0,-3 2 0 0 0,1-2 0 0 0,-3 1 0 0 0,-2-2 0 0 0,-10-1 0 0 0,-8 8 0 0 0,-8 5 0 0 0,-8 2 0 0 0,-4 7 0 0 0,0-1 0 0 0,-1 5 0 0 0,1 1 0 0 0,1 3 0 0 0,0-3 0 0 0,2 4 0 0 0,0 0 0 0 0,0 7 0 0 0,-1-7 0 0 0,3 3 0 0 0,4 2 0 0 0,-3-3 0 0 0,1 1 0 0 0,-2-5 0 0 0,2 1 0 0 0,-5 2 0 0 0,3 3 0 0 0,-3-1 0 0 0,1-2 0 0 0,6 5 0 0 0,-3-5 0 0 0,1-1 0 0 0,-3 6 0 0 0,2 1 0 0 0,3-1 0 0 0,3 4 0 0 0,0-5 0 0 0,-3-11 0 0 0,9-5 0 0 0,4-13 0 0 0,8-2 0 0 0,-1-7 0 0 0,10 1 0 0 0,-6-5 0 0 0,7 5 0 0 0,-1-2 0 0 0,-3-6 0 0 0,1-1 0 0 0,1 1 0 0 0,-1 2 0 0 0,1 2 0 0 0,-2 0 0 0 0,1-2 0 0 0,-1-1 0 0 0,0 0 0 0 0,1-1 0 0 0,1 6 0 0 0,-2-2 0 0 0,2-3 0 0 0,-3 0 0 0 0,3 0 0 0 0,-1 1 0 0 0,-7-3 0 0 0,4 4 0 0 0,-1-1 0 0 0,-3-1 0 0 0,-10 3 0 0 0,-9 2 0 0 0,-9 8 0 0 0,-9 2 0 0 0,-2 3 0 0 0,-5 2 0 0 0,4 7 0 0 0,3 0 0 0 0,3 7 0 0 0,3 0 0 0 0,-2 3 0 0 0,-3-2 0 0 0,4 4 0 0 0,-2-4 0 0 0,6 2 0 0 0,-3 0 0 0 0,-1-2 0 0 0,2 5 0 0 0,0 0 0 0 0,-5-2 0 0 0,-1 0 0 0 0,2 0 0 0 0,1-3 0 0 0,3 3 0 0 0,0-3 0 0 0,3 2 0 0 0,-2-4 0 0 0,5 4 0 0 0,-4-2 0 0 0,3 1 0 0 0,-3 0 0 0 0,2 0 0 0 0,-1-1 0 0 0,2 2 0 0 0,-4-1 0 0 0,4 0 0 0 0,0 5 0 0 0,-8 1 0 0 0,2 4 0 0 0,-1-3 0 0 0,6 0 0 0 0,-3-3 0 0 0,3-1 0 0 0,-2-1 0 0 0,1-3 0 0 0,-1 6 0 0 0,2 2 0 0 0,-2-4 0 0 0,9 0 0 0 0,4-14 0 0 0,10-4 0 0 0,4-8 0 0 0,5-4 0 0 0,3-2 0 0 0,1-1 0 0 0,-1-2 0 0 0,2 1 0 0 0,-2-1 0 0 0,2 2 0 0 0,-4 0 0 0 0,4-6 0 0 0,-4-1 0 0 0,3 3 0 0 0,-2-4 0 0 0,-4 2 0 0 0,2 1 0 0 0,-2 1 0 0 0,-2-3 0 0 0,3 3 0 0 0,-2 1 0 0 0,-3-5 0 0 0,-1 0 0 0 0,3 2 0 0 0,-2 1 0 0 0,1-4 0 0 0,4 6 0 0 0,-4-1 0 0 0,2 6 0 0 0,-5 13 0 0 0,-4 11 0 0 0,2 8 0 0 0,-3 6 0 0 0,-1 4 0 0 0,0 1 0 0 0,0 2 0 0 0,-1 0 0 0 0,1 0 0 0 0,0-1 0 0 0,-1-2 0 0 0,1 2 0 0 0,0-2 0 0 0,0 1 0 0 0,0 0 0 0 0,0-1 0 0 0,0 0 0 0 0,0 0 0 0 0,0 2 0 0 0,0-2 0 0 0,0 1 0 0 0,0 0 0 0 0,7-6 0 0 0,0-11 0 0 0,0-14 0 0 0,-1-10 0 0 0,-3-9 0 0 0,0-7 0 0 0,0-3 0 0 0,-3-1 0 0 0,0-2 0 0 0,-7 0 0 0 0,-1 2 0 0 0,1 0 0 0 0,-5 6 0 0 0,0 1 0 0 0,1 1 0 0 0,0 4 0 0 0,-1 0 0 0 0,-5 4 0 0 0,4-2 0 0 0,1 8 0 0 0,3 10 0 0 0,3 12 0 0 0,4 5 0 0 0,2 6 0 0 0,0 6 0 0 0,0 0 0 0 0,1 3 0 0 0,-1-2 0 0 0,1 0 0 0 0,-1-1 0 0 0,0 2 0 0 0,0-3 0 0 0,0 1 0 0 0,0 0 0 0 0,7-6 0 0 0,1 0 0 0 0,-2-1 0 0 0,0-10 0 0 0,4-5 0 0 0,0-11 0 0 0,-1-7 0 0 0,4-12 0 0 0,-3-2 0 0 0,1-4 0 0 0,-5-3 0 0 0,3 5 0 0 0,4 1 0 0 0,-8 0 0 0 0,2-1 0 0 0,1-1 0 0 0,3 0 0 0 0,-3-3 0 0 0,-3 2 0 0 0,7-1 0 0 0,-5-1 0 0 0,3 10 0 0 0,-5 14 0 0 0,-1 12 0 0 0,-3 11 0 0 0,0 6 0 0 0,7 2 0 0 0,3-6 0 0 0,10-6 0 0 0,4-4 0 0 0,0-9 0 0 0,0-4 0 0 0,2-2 0 0 0,-3-5 0 0 0,-2 1 0 0 0,2 0 0 0 0,0-3 0 0 0,-1 1 0 0 0,0 4 0 0 0,-3-4 0 0 0,2 0 0 0 0,3 4 0 0 0,-5-2 0 0 0,2-1 0 0 0,-4-1 0 0 0,2-2 0 0 0,-3 1 0 0 0,1-1 0 0 0,-4-2 0 0 0,3 1 0 0 0,-1 0 0 0 0,1 0 0 0 0,-1-1 0 0 0,1 2 0 0 0,0-1 0 0 0,0 1 0 0 0,-1-1 0 0 0,2 0 0 0 0,-4 0 0 0 0,5 1 0 0 0,-2-2 0 0 0,-1 1 0 0 0,0 1 0 0 0,2-2 0 0 0,-2 2 0 0 0,1 0 0 0 0,0 0 0 0 0,0-1 0 0 0,0-1 0 0 0,0 3 0 0 0,-2-3 0 0 0,-2-3 0 0 0,-6-4 0 0 0,4 4 0 0 0,-2-5 0 0 0,1 4 0 0 0,-10 0 0 0 0,-6 9 0 0 0,-6 8 0 0 0,0 9 0 0 0,-5 5 0 0 0,2 2 0 0 0,-4 1 0 0 0,3 3 0 0 0,-3 0 0 0 0,1-2 0 0 0,-1 6 0 0 0,5 2 0 0 0,-4 4 0 0 0,1 0 0 0 0,0-4 0 0 0,3 0 0 0 0,0 1 0 0 0,-2 1 0 0 0,7 3 0 0 0,-7-7 0 0 0,1 2 0 0 0,5-1 0 0 0,-4-2 0 0 0,-1-1 0 0 0,8 2 0 0 0,-6-2 0 0 0,3 0 0 0 0,0 4 0 0 0,3 1 0 0 0,-2-5 0 0 0,0 0 0 0 0,0-5 0 0 0,3-13 0 0 0,2-12 0 0 0,8-1 0 0 0,2-7 0 0 0,3-4 0 0 0,-4-2 0 0 0,-1-4 0 0 0,5 5 0 0 0,0 0 0 0 0,1 1 0 0 0,-4-2 0 0 0,3 4 0 0 0,1-1 0 0 0,-4-1 0 0 0,3-2 0 0 0,-7 0 0 0 0,0-3 0 0 0,5 5 0 0 0,2 0 0 0 0,-2-1 0 0 0,-4 0 0 0 0,2-3 0 0 0,-2 1 0 0 0,-1-4 0 0 0,-2 2 0 0 0,0-2 0 0 0,-9 5 0 0 0,4 12 0 0 0,-4 13 0 0 0,-3 6 0 0 0,0 9 0 0 0,-5 5 0 0 0,4 5 0 0 0,-4 2 0 0 0,0 2 0 0 0,0 2 0 0 0,1 1 0 0 0,3-2 0 0 0,-1-5 0 0 0,1-1 0 0 0,3-1 0 0 0,0-2 0 0 0,-3-3 0 0 0,3 4 0 0 0,4-8 0 0 0,9-7 0 0 0,1-9 0 0 0,9-6 0 0 0,-1-5 0 0 0,6 0 0 0 0,-2-3 0 0 0,2 0 0 0 0,0-2 0 0 0,1-1 0 0 0,-3-5 0 0 0,3 4 0 0 0,-3-2 0 0 0,1 5 0 0 0,0-1 0 0 0,0-3 0 0 0,-1-1 0 0 0,2 2 0 0 0,-4-1 0 0 0,5 4 0 0 0,-2-1 0 0 0,-1 3 0 0 0,0-1 0 0 0,2 2 0 0 0,-2 9 0 0 0,-5 10 0 0 0,-3 9 0 0 0,-2 8 0 0 0,-4 3 0 0 0,-2 5 0 0 0,0 1 0 0 0,-6-5 0 0 0,-2-1 0 0 0,0-1 0 0 0,1 3 0 0 0,4 0 0 0 0,0 0 0 0 0,1 2 0 0 0,-4-5 0 0 0,-1-11 0 0 0,4-8 0 0 0,7-10 0 0 0,-3-9 0 0 0,4-7 0 0 0,3-1 0 0 0,2 0 0 0 0,-1-3 0 0 0,-3-1 0 0 0,4 3 0 0 0,0 1 0 0 0,1-2 0 0 0,-5 0 0 0 0,-4-2 0 0 0,7 5 0 0 0,0-2 0 0 0,-3-1 0 0 0,1-1 0 0 0,-3 0 0 0 0,-2-4 0 0 0,-2 2 0 0 0,1-2 0 0 0,-7 3 0 0 0,-8 8 0 0 0,-6 6 0 0 0,-7 6 0 0 0,-4 3 0 0 0,-4 1 0 0 0,2 4 0 0 0,-2-1 0 0 0,2 0 0 0 0,1 6 0 0 0,7 0 0 0 0,4 5 0 0 0,0 0 0 0 0,5 5 0 0 0,-2-5 0 0 0,1 5 0 0 0,8 1 0 0 0,-1 5 0 0 0,8 4 0 0 0,-1 1 0 0 0,3 2 0 0 0,0-1 0 0 0,2 0 0 0 0,-2 3 0 0 0,5-8 0 0 0,10-6 0 0 0,6-5 0 0 0,7-7 0 0 0,1-4 0 0 0,-4-6 0 0 0,6-4 0 0 0,-11-5 0 0 0,-4-4 0 0 0,0 0 0 0 0,-3-6 0 0 0,-3 3 0 0 0,1 2 0 0 0,0-3 0 0 0,-3-2 0 0 0,-2-2 0 0 0,5 5 0 0 0,-3-3 0 0 0,-1 2 0 0 0,-7 3 0 0 0,-2 8 0 0 0,-9 7 0 0 0,-2 8 0 0 0,3 9 0 0 0,-5 2 0 0 0,0 4 0 0 0,6 2 0 0 0,-4 4 0 0 0,0 2 0 0 0,3 1 0 0 0,3 0 0 0 0,4 2 0 0 0,1 0 0 0 0,-7-7 0 0 0,5-12 0 0 0,3-6 0 0 0,2-12 0 0 0,3-6 0 0 0,5-6 0 0 0,1-1 0 0 0,0-4 0 0 0,1 3 0 0 0,1-1 0 0 0,0-3 0 0 0,0 6 0 0 0,2-2 0 0 0,-5-2 0 0 0,3 3 0 0 0,0-1 0 0 0,-3 0 0 0 0,-2 4 0 0 0,-3 15 0 0 0,-2 9 0 0 0,1 10 0 0 0,-3 8 0 0 0,-3 1 0 0 0,3 4 0 0 0,0 1 0 0 0,0-1 0 0 0,0 1 0 0 0,0 0 0 0 0,0-3 0 0 0,0 2 0 0 0,0-2 0 0 0,5-5 0 0 0,8-6 0 0 0,8-6 0 0 0,-1-11 0 0 0,3-4 0 0 0,-3-9 0 0 0,0-1 0 0 0,-2-2 0 0 0,2-1 0 0 0,-5-2 0 0 0,5 4 0 0 0,0 1 0 0 0,-1 1 0 0 0,3 0 0 0 0,0 3 0 0 0,-1-2 0 0 0,3 1 0 0 0,-5-2 0 0 0,-6 5 0 0 0,-5 8 0 0 0,-2 9 0 0 0,-4 10 0 0 0,-2 5 0 0 0,0 4 0 0 0,-1 0 0 0 0,0 2 0 0 0,1 1 0 0 0,-1-1 0 0 0,1 0 0 0 0,0 1 0 0 0,0-4 0 0 0,0 2 0 0 0,0 1 0 0 0,0-13 0 0 0,0-11 0 0 0,0-14 0 0 0,0-10 0 0 0,0-7 0 0 0,0-6 0 0 0,0 0 0 0 0,0-2 0 0 0,0-1 0 0 0,0 2 0 0 0,0-1 0 0 0,0 2 0 0 0,-8 5 0 0 0,2 1 0 0 0,0 1 0 0 0,-7 4 0 0 0,1 9 0 0 0,2 13 0 0 0,4 11 0 0 0,-5 2 0 0 0,1 3 0 0 0,0 6 0 0 0,6 0 0 0 0,-6-2 0 0 0,0-1 0 0 0,3 2 0 0 0,-1 2 0 0 0,5 2 0 0 0,-5-7 0 0 0,2 2 0 0 0,-4-2 0 0 0,6 4 0 0 0,-1 3 0 0 0,3-11 0 0 0,1-13 0 0 0,1-10 0 0 0,0-10 0 0 0,1-8 0 0 0,-1-6 0 0 0,7 1 0 0 0,0-3 0 0 0,1-1 0 0 0,-4 2 0 0 0,6-1 0 0 0,1 2 0 0 0,-3 0 0 0 0,-2 0 0 0 0,6 5 0 0 0,-3 2 0 0 0,0 0 0 0 0,-4-1 0 0 0,-3 9 0 0 0,3 12 0 0 0,-5 10 0 0 0,-6 5 0 0 0,0 4 0 0 0,-3 7 0 0 0,-2-2 0 0 0,-2 0 0 0 0,2 2 0 0 0,-1 4 0 0 0,-1-1 0 0 0,3 2 0 0 0,-2-3 0 0 0,0-4 0 0 0,3 3 0 0 0,-4-2 0 0 0,1-4 0 0 0,5 3 0 0 0,-2 2 0 0 0,0-2 0 0 0,-1-1 0 0 0,2-8 0 0 0,1-9 0 0 0,5-14 0 0 0,0-8 0 0 0,2-6 0 0 0,3 1 0 0 0,5 0 0 0 0,0-1 0 0 0,-3-2 0 0 0,6 5 0 0 0,1-1 0 0 0,2 5 0 0 0,7 7 0 0 0,-3 2 0 0 0</inkml:trace>
  <inkml:trace contextRef="#ctx0" brushRef="#br0" timeOffset="36.47">38708 11783 16383 0 0,'0'5'0'0'0,"0"6"0"0"0,0 8 0 0 0,0 4 0 0 0,0 4 0 0 0,0 1 0 0 0,0 3 0 0 0,0 0 0 0 0,0 0 0 0 0,0 0 0 0 0,0 0 0 0 0,0-2 0 0 0,0 1 0 0 0,0-10 0 0 0,0-15 0 0 0,0-11 0 0 0,4-6 0 0 0,5-5 0 0 0,-3-4 0 0 0,1-6 0 0 0,2 2 0 0 0,1 3 0 0 0,-1-3 0 0 0,-3 0 0 0 0,5 3 0 0 0,-2 1 0 0 0,-2-2 0 0 0,0 0 0 0 0,3 1 0 0 0,1 0 0 0 0,-4 0 0 0 0,-3 9 0 0 0,3 10 0 0 0,-6 11 0 0 0,0 10 0 0 0,-1 6 0 0 0,0 6 0 0 0,0 0 0 0 0,-7 1 0 0 0,-2 1 0 0 0,5 0 0 0 0,-5-1 0 0 0,5 1 0 0 0,1-13 0 0 0,8-8 0 0 0,2-11 0 0 0,6-5 0 0 0,0-8 0 0 0,0-6 0 0 0,0 1 0 0 0,1-3 0 0 0,1-3 0 0 0,2-1 0 0 0,0 2 0 0 0,-2 3 0 0 0,-4-4 0 0 0,5 5 0 0 0,-3-2 0 0 0,-5 1 0 0 0,-1-4 0 0 0,-3 7 0 0 0,-2 15 0 0 0,-5 3 0 0 0,-9 10 0 0 0,7 6 0 0 0,-2 7 0 0 0,-3-1 0 0 0,0-2 0 0 0,2 5 0 0 0,-1-2 0 0 0,0-1 0 0 0,1-1 0 0 0,-2 0 0 0 0,3 4 0 0 0,-1-4 0 0 0,-2-2 0 0 0,1 1 0 0 0,5-6 0 0 0,-1-13 0 0 0,2-10 0 0 0,3-10 0 0 0,0-6 0 0 0,0-4 0 0 0,0-3 0 0 0,0 0 0 0 0,0-3 0 0 0,0 3 0 0 0,0 0 0 0 0,0 1 0 0 0,0-1 0 0 0,0 2 0 0 0,0-1 0 0 0,0 1 0 0 0,0-1 0 0 0,0 1 0 0 0,-4 5 0 0 0,-9 5 0 0 0,-2 12 0 0 0,-3 13 0 0 0,0 10 0 0 0,-2 6 0 0 0,3 6 0 0 0,-3 2 0 0 0,2 2 0 0 0,0 0 0 0 0,4-1 0 0 0,2 1 0 0 0,-3-6 0 0 0,3-3 0 0 0,3 1 0 0 0,3 0 0 0 0,1 2 0 0 0,10-4 0 0 0,8-5 0 0 0,0-11 0 0 0,2-12 0 0 0,2-4 0 0 0,-2-7 0 0 0,-5-3 0 0 0,5 0 0 0 0,-3-1 0 0 0,-3-1 0 0 0,-3-4 0 0 0,-1-1 0 0 0,-4 0 0 0 0,0-4 0 0 0,-8 6 0 0 0,-5 7 0 0 0,-3 12 0 0 0,-4 6 0 0 0,0 7 0 0 0,4 10 0 0 0,1 0 0 0 0,0 2 0 0 0,-1 6 0 0 0,-1 0 0 0 0,4 3 0 0 0,6-10 0 0 0,-1-12 0 0 0,6-12 0 0 0,1-9 0 0 0,0-10 0 0 0,0-4 0 0 0,0-2 0 0 0,1 0 0 0 0,-1 9 0 0 0,0 15 0 0 0,0 12 0 0 0,-4 5 0 0 0,-4 5 0 0 0,1 9 0 0 0,1 1 0 0 0,3 5 0 0 0,-1 0 0 0 0,4 0 0 0 0,0 1 0 0 0,0 0 0 0 0,0-2 0 0 0,0 2 0 0 0,5-7 0 0 0,3-10 0 0 0,5-10 0 0 0,2-8 0 0 0,1-11 0 0 0,0-5 0 0 0,4-3 0 0 0,-4 1 0 0 0,-5-2 0 0 0,4 2 0 0 0,-2 2 0 0 0,3-3 0 0 0,-3-1 0 0 0,5 2 0 0 0,-4 0 0 0 0,4 6 0 0 0,5 3 0 0 0,-4 9 0 0 0,-5 11 0 0 0,3 12 0 0 0,-4 3 0 0 0,-1 6 0 0 0,1-4 0 0 0,-2 1 0 0 0,-2 0 0 0 0,4-3 0 0 0,-2-2 0 0 0,-1 1 0 0 0,-5 4 0 0 0,5-3 0 0 0,0-3 0 0 0,-5 2 0 0 0,9-1 0 0 0,-4 0 0 0 0,2 1 0 0 0,-8 3 0 0 0,7-3 0 0 0,-1-10 0 0 0,5-6 0 0 0,-3-11 0 0 0,-1-8 0 0 0,-3-8 0 0 0,-2-3 0 0 0,1 0 0 0 0,3 1 0 0 0,-2 0 0 0 0,-3-3 0 0 0,3 6 0 0 0,3-2 0 0 0,-4 0 0 0 0,0 0 0 0 0,-4-5 0 0 0,0 2 0 0 0,-8 3 0 0 0,-3 10 0 0 0,-6 7 0 0 0,2 12 0 0 0,-6 8 0 0 0,2 7 0 0 0,-4-1 0 0 0,5 3 0 0 0,-3 2 0 0 0,1 1 0 0 0,-2 2 0 0 0,4 2 0 0 0,2-1 0 0 0,-1-5 0 0 0,1-2 0 0 0,5 2 0 0 0,-6-4 0 0 0,5 0 0 0 0,-1 1 0 0 0,-3 4 0 0 0,3-2 0 0 0,-1 5 0 0 0,-1-5 0 0 0,0 0 0 0 0,4 0 0 0 0,0 2 0 0 0,5-8 0 0 0,6-9 0 0 0,3-8 0 0 0,7-10 0 0 0,2-9 0 0 0,2-2 0 0 0,-1 0 0 0 0,-1-4 0 0 0,-1 5 0 0 0,0-3 0 0 0,-4 2 0 0 0,2-4 0 0 0,0-2 0 0 0,-6-1 0 0 0,8-1 0 0 0,-3-1 0 0 0,0 3 0 0 0,-5-3 0 0 0,-1-1 0 0 0,2 6 0 0 0,1 1 0 0 0,1 0 0 0 0,-4-1 0 0 0,-3 12 0 0 0,0 8 0 0 0,-1 14 0 0 0,6 2 0 0 0,0 2 0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1T14:52:07.587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12130 9327 16383 0 0,'-6'0'0'0'0,"-6"0"0"0"0,-7 0 0 0 0,-5 0 0 0 0,-5 0 0 0 0,-1 0 0 0 0,-2 0 0 0 0,-1 0 0 0 0,0 0 0 0 0,1 0 0 0 0,0 0 0 0 0,1 0 0 0 0,-1 0 0 0 0,1 0 0 0 0,-1 0 0 0 0,2 0 0 0 0,-2 0 0 0 0,1 0 0 0 0,0 0 0 0 0,0 0 0 0 0,0 0 0 0 0,0 0 0 0 0,0 0 0 0 0,5 5 0 0 0,1 2 0 0 0,2 0 0 0 0,-3-2 0 0 0,-2 0 0 0 0,-1-2 0 0 0,0-2 0 0 0,-2-1 0 0 0,0 0 0 0 0,0 0 0 0 0,4 5 0 0 0,3 2 0 0 0,0-1 0 0 0,-2 0 0 0 0,-2-2 0 0 0,-1-2 0 0 0,-1-1 0 0 0,-1 1 0 0 0,0-2 0 0 0,0-2 0 0 0,0 2 0 0 0,-1 0 0 0 0,6 5 0 0 0,2 2 0 0 0,-1 1 0 0 0,-1-3 0 0 0,-1-2 0 0 0,-1 1 0 0 0,-3-3 0 0 0,0-1 0 0 0,1 0 0 0 0,-2 0 0 0 0,1 0 0 0 0,4 5 0 0 0,4 2 0 0 0,-2-1 0 0 0,-1 0 0 0 0,-1-2 0 0 0,-2-2 0 0 0,-1 0 0 0 0,0-2 0 0 0,4 6 0 0 0,1 1 0 0 0,0-1 0 0 0,-1 0 0 0 0,4-2 0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1T14:52:12.296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5992 4564 16383 0 0,'0'0'0'0'0</inkml:trace>
  <inkml:trace contextRef="#ctx0" brushRef="#br0" timeOffset="36.47">5992 4564 16383 0 0,'0'0'0'0'0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1T14:52:21.503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5595 4352 16383 0 0,'0'0'0'0'0</inkml:trace>
  <inkml:trace contextRef="#ctx0" brushRef="#br0" timeOffset="36.47">5992 4617 16383 0 0,'0'0'0'0'0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6T13:11:39.451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5992 4564 16383 0 0,'0'0'0'0'0</inkml:trace>
  <inkml:trace contextRef="#ctx0" brushRef="#br0" timeOffset="1">5992 4564 16383 0 0,'0'0'0'0'0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6T13:11:39.453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5595 4352 16383 0 0,'0'0'0'0'0</inkml:trace>
  <inkml:trace contextRef="#ctx0" brushRef="#br0" timeOffset="1">5992 4617 16383 0 0,'0'0'0'0'0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1T14:51:35.697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36922 7514 16383 0 0,'0'5'0'0'0,"0"8"0"0"0,0 5 0 0 0,0 6 0 0 0,0 4 0 0 0,5 2 0 0 0,2 2 0 0 0,0 0 0 0 0,-1-2 0 0 0,-2 3 0 0 0,3-6 0 0 0,2-3 0 0 0,-2 0 0 0 0,-2 2 0 0 0,4 1 0 0 0,1 0 0 0 0,-3 4 0 0 0,-1-2 0 0 0,3-4 0 0 0,0-1 0 0 0,-1 1 0 0 0,-2 1 0 0 0,2-5 0 0 0,1-10 0 0 0,-2-12 0 0 0,-1-12 0 0 0,-2-8 0 0 0,-2-7 0 0 0,-1-2 0 0 0,-6-3 0 0 0,-3 0 0 0 0,1 0 0 0 0,1 1 0 0 0,3-1 0 0 0,-1 2 0 0 0,-1 6 0 0 0,-4 1 0 0 0,2 0 0 0 0,2-2 0 0 0,2 0 0 0 0,-4-2 0 0 0,-1-2 0 0 0,1 1 0 0 0,1-3 0 0 0,-3 7 0 0 0,0 2 0 0 0,2-2 0 0 0,1 0 0 0 0,-3 3 0 0 0,-1 0 0 0 0,3 9 0 0 0,1 13 0 0 0,3 10 0 0 0,0 10 0 0 0,2 7 0 0 0,1 2 0 0 0,6 3 0 0 0,1 2 0 0 0,0-2 0 0 0,-1 0 0 0 0,-1 0 0 0 0,-3 1 0 0 0,-1-2 0 0 0,5-5 0 0 0,1-2 0 0 0,0-2 0 0 0,-2 4 0 0 0,-1 0 0 0 0,-2 2 0 0 0,4 2 0 0 0,1 2 0 0 0,0-3 0 0 0,-1 2 0 0 0,-3 0 0 0 0,-1-1 0 0 0,5-4 0 0 0,0-12 0 0 0,0-14 0 0 0,-2-13 0 0 0,-2-8 0 0 0,4-1 0 0 0,1-2 0 0 0,-1-3 0 0 0,-1-1 0 0 0,-2-1 0 0 0,-3 0 0 0 0,0-3 0 0 0,0 2 0 0 0,-2-1 0 0 0,1 0 0 0 0,-6 6 0 0 0,-1-1 0 0 0,0 2 0 0 0,-3-2 0 0 0,-1-1 0 0 0,2 1 0 0 0,1-6 0 0 0,5 3 0 0 0,-1 10 0 0 0,4 12 0 0 0,-1 14 0 0 0,2 9 0 0 0,-1 9 0 0 0,0 6 0 0 0,2 1 0 0 0,-2 1 0 0 0,0 0 0 0 0,0 0 0 0 0,0-1 0 0 0,0 1 0 0 0,0-2 0 0 0,0-2 0 0 0,0 2 0 0 0,0 0 0 0 0,5-5 0 0 0,7-7 0 0 0,2-12 0 0 0,-2-14 0 0 0,4-4 0 0 0,-3-6 0 0 0,-3-5 0 0 0,2 1 0 0 0,0 0 0 0 0,-3-3 0 0 0,-3-3 0 0 0,-2-2 0 0 0,-2 1 0 0 0,-2-3 0 0 0,0 1 0 0 0,0-2 0 0 0,-1 2 0 0 0,1 9 0 0 0,0 14 0 0 0,-1 14 0 0 0,1 11 0 0 0,0 5 0 0 0,0 8 0 0 0,0 2 0 0 0,0-1 0 0 0,0 1 0 0 0,0 0 0 0 0,0 0 0 0 0,0-2 0 0 0,0 1 0 0 0,0 0 0 0 0,0-3 0 0 0,0-8 0 0 0,0-15 0 0 0,0-13 0 0 0,0-9 0 0 0,0-10 0 0 0,0-5 0 0 0,0-2 0 0 0,0 1 0 0 0,0-1 0 0 0,0 1 0 0 0,0-1 0 0 0,5 7 0 0 0,3 0 0 0 0,-3 2 0 0 0,1-2 0 0 0,-2-1 0 0 0,4 5 0 0 0,0-1 0 0 0,-1 1 0 0 0,-1-3 0 0 0,-2-3 0 0 0,-3 0 0 0 0,6 4 0 0 0,0 10 0 0 0,-1 14 0 0 0,0 12 0 0 0,-2 9 0 0 0,-2 6 0 0 0,-2 4 0 0 0,1 2 0 0 0,-7 0 0 0 0,-1 0 0 0 0,0-1 0 0 0,1 1 0 0 0,3-2 0 0 0,-1-1 0 0 0,-2 2 0 0 0,-2-1 0 0 0,2-2 0 0 0,0 2 0 0 0,3 0 0 0 0,0-1 0 0 0,3-8 0 0 0,-1-16 0 0 0,1-15 0 0 0,1-8 0 0 0,4-2 0 0 0,3-5 0 0 0,-1-1 0 0 0,-2-3 0 0 0,0 0 0 0 0,-3-3 0 0 0,-1-1 0 0 0,5 7 0 0 0,1-1 0 0 0,-1 3 0 0 0,0-3 0 0 0,-2-3 0 0 0,-3 3 0 0 0,0 6 0 0 0,0 14 0 0 0,-1 13 0 0 0,-1 11 0 0 0,1 7 0 0 0,0 3 0 0 0,0 4 0 0 0,0 1 0 0 0,-1 1 0 0 0,1-2 0 0 0,0 1 0 0 0,0-1 0 0 0,0-1 0 0 0,0 0 0 0 0,0 1 0 0 0,0-3 0 0 0,0 2 0 0 0,0 0 0 0 0,0-1 0 0 0,0 1 0 0 0,0-1 0 0 0,0-9 0 0 0,0-15 0 0 0,0-13 0 0 0,0-11 0 0 0,0-7 0 0 0,0-4 0 0 0,0-4 0 0 0,0 1 0 0 0,0-3 0 0 0,0 3 0 0 0,0-1 0 0 0,0 3 0 0 0,0-1 0 0 0,0-2 0 0 0,0 3 0 0 0,0 9 0 0 0,0 15 0 0 0,0 13 0 0 0,0 11 0 0 0,0 7 0 0 0,0 4 0 0 0,6 0 0 0 0,1-2 0 0 0,0-2 0 0 0,3-2 0 0 0,1 0 0 0 0,-2-13 0 0 0,3-4 0 0 0,0-5 0 0 0</inkml:trace>
  <inkml:trace contextRef="#ctx0" brushRef="#br0" timeOffset="36.47">37827 7729 16383 0 0,'0'4'0'0'0,"0"8"0"0"0,0 8 0 0 0,0 4 0 0 0,0 3 0 0 0,0 4 0 0 0,0-1 0 0 0,-5-1 0 0 0,-2-6 0 0 0,0 3 0 0 0,1-1 0 0 0,3 5 0 0 0,0-3 0 0 0,2 2 0 0 0,1 2 0 0 0,-6-6 0 0 0,-1-11 0 0 0,1-14 0 0 0,0-12 0 0 0,3-10 0 0 0,2-4 0 0 0,-7 0 0 0 0,1-1 0 0 0,0 1 0 0 0,3-1 0 0 0,0-3 0 0 0,2 2 0 0 0,1-3 0 0 0,-5 5 0 0 0,-1 2 0 0 0,1 1 0 0 0,0 6 0 0 0,2 16 0 0 0,3 9 0 0 0,0 11 0 0 0,0 6 0 0 0,1 7 0 0 0,0-1 0 0 0,1-9 0 0 0,-1-14 0 0 0,6-5 0 0 0,1-14 0 0 0,0-6 0 0 0,-2-6 0 0 0,4-2 0 0 0,1 1 0 0 0,-2-1 0 0 0,-2-2 0 0 0,3 5 0 0 0,-1-3 0 0 0,1 3 0 0 0,-3-3 0 0 0,-3-3 0 0 0,4 5 0 0 0,1-2 0 0 0,-2 3 0 0 0,0-3 0 0 0,2 3 0 0 0,2 0 0 0 0,-2 9 0 0 0,-3 13 0 0 0,-6 4 0 0 0,-4 9 0 0 0,-1 7 0 0 0,-5 0 0 0 0,0 1 0 0 0,1 3 0 0 0,-2-3 0 0 0,1-1 0 0 0,1 4 0 0 0,-2-4 0 0 0,1 0 0 0 0,2 1 0 0 0,2 4 0 0 0,-1-2 0 0 0,-1-1 0 0 0,1 1 0 0 0,3 0 0 0 0,-4 1 0 0 0,0-4 0 0 0,2 5 0 0 0,1 0 0 0 0,2 2 0 0 0,-3-4 0 0 0,-1-1 0 0 0,1-8 0 0 0,2-13 0 0 0,2-11 0 0 0,0-10 0 0 0,2-5 0 0 0,1-6 0 0 0,0-1 0 0 0,1 0 0 0 0,4-1 0 0 0,3 1 0 0 0,-2 0 0 0 0,0 0 0 0 0,-1-1 0 0 0,-3 4 0 0 0,-1-2 0 0 0,5 1 0 0 0,1-2 0 0 0,-1 2 0 0 0,-1 0 0 0 0,-1-1 0 0 0,-7 5 0 0 0,-3 14 0 0 0,-1 12 0 0 0,-3 6 0 0 0,-1 10 0 0 0,2 4 0 0 0,1 6 0 0 0,-2-4 0 0 0,0 4 0 0 0,3-1 0 0 0,1 2 0 0 0,-3-4 0 0 0,1-1 0 0 0,-1 1 0 0 0,5 3 0 0 0,-6-4 0 0 0,1-1 0 0 0,2 3 0 0 0,1 0 0 0 0,2 4 0 0 0,2-1 0 0 0,2 4 0 0 0,0-12 0 0 0,0-12 0 0 0,0-14 0 0 0,6-9 0 0 0,1-10 0 0 0,0-3 0 0 0,-1-3 0 0 0,3 5 0 0 0,1 0 0 0 0,-2 0 0 0 0,-2 0 0 0 0,-2-1 0 0 0,3 6 0 0 0,1 9 0 0 0,-1 14 0 0 0,-2 11 0 0 0,-2 9 0 0 0,0 6 0 0 0,-2 5 0 0 0,-1 0 0 0 0,0 1 0 0 0,-1-1 0 0 0,1-4 0 0 0</inkml:trace>
  <inkml:trace contextRef="#ctx0" brushRef="#br0" timeOffset="36.47">37453 7881 16383 0 0,'-6'0'0'0'0,"-1"6"0"0"0,1 6 0 0 0,0 8 0 0 0,-3-1 0 0 0,-1 1 0 0 0,2 2 0 0 0,-2 1 0 0 0,-1-3 0 0 0,2 4 0 0 0,3 0 0 0 0,-4-2 0 0 0,1 0 0 0 0,1 1 0 0 0,3-8 0 0 0,1-11 0 0 0,2-13 0 0 0,1-10 0 0 0,1-7 0 0 0,1-3 0 0 0,-1-3 0 0 0,6 4 0 0 0,1 4 0 0 0,0-4 0 0 0,-1 1 0 0 0,-3-1 0 0 0,0 10 0 0 0,-2 14 0 0 0,0 11 0 0 0,-1 10 0 0 0,-1 8 0 0 0,1 5 0 0 0,0 3 0 0 0,0-1 0 0 0,-1 1 0 0 0,1-10 0 0 0,0-16 0 0 0,0-12 0 0 0,-5-12 0 0 0,-2-9 0 0 0,0-2 0 0 0,2-4 0 0 0,0-2 0 0 0,3 0 0 0 0,-4 6 0 0 0,-2 2 0 0 0,2 1 0 0 0,0-1 0 0 0,-2 5 0 0 0,-2 0 0 0 0,2-3 0 0 0,-2 4 0 0 0,-7 8 0 0 0,2-4 0 0 0,-4 4 0 0 0,-2 1 0 0 0,1 11 0 0 0,-2 5 0 0 0,5 4 0 0 0,-2 3 0 0 0,3 5 0 0 0,0-2 0 0 0,1 3 0 0 0,-2-3 0 0 0,3 2 0 0 0,3-8 0 0 0,4-10 0 0 0,3-8 0 0 0,1-11 0 0 0,3-5 0 0 0,0-5 0 0 0,0-2 0 0 0,1 0 0 0 0,-1-1 0 0 0,2 1 0 0 0,-2-1 0 0 0,0 2 0 0 0,0 0 0 0 0,-5 5 0 0 0,-2 12 0 0 0,-5 10 0 0 0,-1 8 0 0 0,2 11 0 0 0,-2 3 0 0 0,2 3 0 0 0,0 2 0 0 0,-1-1 0 0 0,2 0 0 0 0,0 1 0 0 0,4 3 0 0 0,3-9 0 0 0,6-8 0 0 0,3-9 0 0 0,1-11 0 0 0,4-3 0 0 0,1-5 0 0 0,-3-4 0 0 0,-7 2 0 0 0,-10 5 0 0 0,-8 3 0 0 0,-8 6 0 0 0,-4 4 0 0 0,2 7 0 0 0,1 3 0 0 0,4 6 0 0 0,6 6 0 0 0,-1-2 0 0 0,4 4 0 0 0,3 2 0 0 0,9-3 0 0 0,4 0 0 0 0,6-1 0 0 0,8-6 0 0 0,5-6 0 0 0,6-1 0 0 0,0-5 0 0 0,3-1 0 0 0,1 0 0 0 0,-1-1 0 0 0,1 1 0 0 0,-6-7 0 0 0,-2 1 0 0 0,-6-7 0 0 0,0 0 0 0 0,-4-2 0 0 0,1 0 0 0 0,-1-1 0 0 0,-5-5 0 0 0,-3-2 0 0 0,-9 1 0 0 0,-3 10 0 0 0,-7 7 0 0 0,-5 5 0 0 0,-2 8 0 0 0,-1 1 0 0 0,1 6 0 0 0,6 5 0 0 0,-2-2 0 0 0,2 2 0 0 0,3 4 0 0 0,4-4 0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1T21:04:24.9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24575,'6'0'0,"1"0"-8191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trox.be/bouches-circulaires/tlh-e1a320b39a2de55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trox.be/clapets-coupe-feu/fka2-eu-886cff7efd0fd92a" TargetMode="External"/><Relationship Id="rId1" Type="http://schemas.openxmlformats.org/officeDocument/2006/relationships/hyperlink" Target="https://www.trox.be/clapets-coupe-feu/fka2-eu-886cff7efd0fd92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FA9C-125B-0842-A9CE-61E42C9CDE16}">
  <dimension ref="B2:Z80"/>
  <sheetViews>
    <sheetView topLeftCell="AO4" zoomScale="36" zoomScaleNormal="55" workbookViewId="0">
      <selection activeCell="I24" sqref="I24"/>
    </sheetView>
  </sheetViews>
  <sheetFormatPr baseColWidth="10" defaultColWidth="10.5703125" defaultRowHeight="15"/>
  <cols>
    <col min="2" max="2" width="17.42578125" customWidth="1"/>
    <col min="3" max="3" width="13.5703125" customWidth="1"/>
    <col min="7" max="7" width="16.42578125" customWidth="1"/>
    <col min="12" max="12" width="15.42578125" customWidth="1"/>
  </cols>
  <sheetData>
    <row r="2" spans="2:14" ht="30" customHeight="1">
      <c r="B2" s="6" t="s">
        <v>0</v>
      </c>
      <c r="C2" s="10"/>
      <c r="D2" s="8" t="s">
        <v>1</v>
      </c>
      <c r="E2" s="1" t="s">
        <v>2</v>
      </c>
      <c r="F2" s="1" t="s">
        <v>3</v>
      </c>
      <c r="G2" s="2" t="s">
        <v>4</v>
      </c>
      <c r="H2" s="2" t="s">
        <v>5</v>
      </c>
      <c r="I2" s="2" t="s">
        <v>6</v>
      </c>
      <c r="J2" s="101" t="s">
        <v>7</v>
      </c>
      <c r="K2" s="101" t="s">
        <v>8</v>
      </c>
      <c r="L2" s="72" t="s">
        <v>9</v>
      </c>
      <c r="M2" s="72"/>
    </row>
    <row r="3" spans="2:14">
      <c r="B3" s="13" t="s">
        <v>10</v>
      </c>
      <c r="C3" s="12"/>
      <c r="D3" s="3">
        <v>30.36</v>
      </c>
      <c r="E3" s="15">
        <v>3.6</v>
      </c>
      <c r="F3" s="16">
        <f>D3*E3</f>
        <v>109.29600000000001</v>
      </c>
      <c r="G3" s="10">
        <v>0</v>
      </c>
      <c r="H3" s="38">
        <f>550</f>
        <v>550</v>
      </c>
      <c r="I3" s="38">
        <f>550</f>
        <v>550</v>
      </c>
      <c r="J3" s="102">
        <f>(H3/4/3600/PI()*4)^(1/2)</f>
        <v>0.22052364285005113</v>
      </c>
      <c r="K3" s="102" t="s">
        <v>11</v>
      </c>
      <c r="L3" s="75" t="s">
        <v>12</v>
      </c>
      <c r="M3" s="38"/>
      <c r="N3" s="38"/>
    </row>
    <row r="4" spans="2:14">
      <c r="B4" s="13" t="s">
        <v>13</v>
      </c>
      <c r="C4" s="12"/>
      <c r="D4" s="3">
        <v>22.85</v>
      </c>
      <c r="E4" s="15">
        <v>3.6</v>
      </c>
      <c r="F4" s="16">
        <f t="shared" ref="F4:F23" si="0">D4*E4</f>
        <v>82.26</v>
      </c>
      <c r="G4" s="10">
        <f>55-10</f>
        <v>45</v>
      </c>
      <c r="H4" s="38">
        <f>ROUND(H41/5,0)*5</f>
        <v>365</v>
      </c>
      <c r="I4" s="38">
        <f t="shared" ref="H4:I23" si="1">ROUND(I41/5,0)*5</f>
        <v>365</v>
      </c>
      <c r="J4" s="102">
        <f>(H4/4/3600/PI()*4)^(1/2)</f>
        <v>0.17964711431727265</v>
      </c>
      <c r="K4" s="102">
        <v>0</v>
      </c>
      <c r="L4" s="38"/>
      <c r="M4" s="38"/>
      <c r="N4" s="38"/>
    </row>
    <row r="5" spans="2:14">
      <c r="B5" s="13" t="s">
        <v>14</v>
      </c>
      <c r="C5" s="12"/>
      <c r="D5" s="3">
        <v>12.41</v>
      </c>
      <c r="E5" s="15">
        <v>3.6</v>
      </c>
      <c r="F5" s="16">
        <f t="shared" si="0"/>
        <v>44.676000000000002</v>
      </c>
      <c r="G5" s="10">
        <v>0</v>
      </c>
      <c r="H5" s="38">
        <f t="shared" si="1"/>
        <v>0</v>
      </c>
      <c r="I5" s="38">
        <f t="shared" si="1"/>
        <v>0</v>
      </c>
      <c r="J5" s="102">
        <f t="shared" ref="J5:J22" si="2">(H5/4/3600/PI()*4)^(1/2)</f>
        <v>0</v>
      </c>
      <c r="K5" s="102">
        <f>(I5/4/3600/PI()*4)^(1/2)</f>
        <v>0</v>
      </c>
      <c r="L5" s="38">
        <f>(J5/4/3600/PI()*4)^(1/2)</f>
        <v>0</v>
      </c>
      <c r="M5" s="38"/>
      <c r="N5" s="38"/>
    </row>
    <row r="6" spans="2:14">
      <c r="B6" s="13" t="s">
        <v>15</v>
      </c>
      <c r="C6" s="12"/>
      <c r="D6" s="3">
        <v>27.488888888888887</v>
      </c>
      <c r="E6" s="15">
        <v>3.6</v>
      </c>
      <c r="F6" s="16">
        <f t="shared" si="0"/>
        <v>98.96</v>
      </c>
      <c r="G6" s="10">
        <f>55-10</f>
        <v>45</v>
      </c>
      <c r="H6" s="38">
        <f t="shared" si="1"/>
        <v>880</v>
      </c>
      <c r="I6" s="38">
        <f t="shared" si="1"/>
        <v>440</v>
      </c>
      <c r="J6" s="102">
        <f>(H6/4/3600/PI()*4)^(1/2)</f>
        <v>0.27894279572946684</v>
      </c>
      <c r="K6" s="102" t="s">
        <v>16</v>
      </c>
      <c r="L6" s="38"/>
      <c r="M6" s="38"/>
      <c r="N6" s="38"/>
    </row>
    <row r="7" spans="2:14">
      <c r="B7" s="13" t="s">
        <v>17</v>
      </c>
      <c r="C7" s="12"/>
      <c r="D7" s="3">
        <v>18.019444444444446</v>
      </c>
      <c r="E7" s="15">
        <v>3.6</v>
      </c>
      <c r="F7" s="16">
        <f t="shared" si="0"/>
        <v>64.87</v>
      </c>
      <c r="G7" s="10">
        <f>55-10</f>
        <v>45</v>
      </c>
      <c r="H7" s="38">
        <f t="shared" si="1"/>
        <v>575</v>
      </c>
      <c r="I7" s="38">
        <f t="shared" si="1"/>
        <v>290</v>
      </c>
      <c r="J7" s="102">
        <f t="shared" si="2"/>
        <v>0.22547984915858374</v>
      </c>
      <c r="K7" s="102" t="s">
        <v>11</v>
      </c>
      <c r="L7" s="38"/>
      <c r="M7" s="38"/>
      <c r="N7" s="38"/>
    </row>
    <row r="8" spans="2:14">
      <c r="B8" s="13" t="s">
        <v>18</v>
      </c>
      <c r="D8" s="4">
        <v>18.13</v>
      </c>
      <c r="E8" s="15">
        <v>3.6</v>
      </c>
      <c r="F8" s="16">
        <f t="shared" si="0"/>
        <v>65.268000000000001</v>
      </c>
      <c r="G8" s="10">
        <f>55-10</f>
        <v>45</v>
      </c>
      <c r="H8" s="38">
        <f t="shared" si="1"/>
        <v>580</v>
      </c>
      <c r="I8" s="38">
        <f t="shared" si="1"/>
        <v>290</v>
      </c>
      <c r="J8" s="102">
        <f t="shared" si="2"/>
        <v>0.22645807435532486</v>
      </c>
      <c r="K8" s="102" t="s">
        <v>11</v>
      </c>
      <c r="L8" s="38"/>
      <c r="M8" s="38"/>
      <c r="N8" s="38"/>
    </row>
    <row r="9" spans="2:14">
      <c r="B9" s="13" t="s">
        <v>19</v>
      </c>
      <c r="C9" s="12"/>
      <c r="D9" s="3">
        <v>18.13</v>
      </c>
      <c r="E9" s="15">
        <v>3.6</v>
      </c>
      <c r="F9" s="16">
        <f t="shared" si="0"/>
        <v>65.268000000000001</v>
      </c>
      <c r="G9" s="10">
        <f>55-10</f>
        <v>45</v>
      </c>
      <c r="H9" s="38">
        <f t="shared" si="1"/>
        <v>580</v>
      </c>
      <c r="I9" s="38">
        <f t="shared" si="1"/>
        <v>290</v>
      </c>
      <c r="J9" s="102">
        <f t="shared" si="2"/>
        <v>0.22645807435532486</v>
      </c>
      <c r="K9" s="102" t="s">
        <v>11</v>
      </c>
      <c r="L9" s="38"/>
      <c r="M9" s="38"/>
      <c r="N9" s="38"/>
    </row>
    <row r="10" spans="2:14">
      <c r="B10" s="13" t="s">
        <v>20</v>
      </c>
      <c r="C10" s="12"/>
      <c r="D10" s="3">
        <v>33.299999999999997</v>
      </c>
      <c r="E10" s="15">
        <v>3.6</v>
      </c>
      <c r="F10" s="16">
        <f t="shared" si="0"/>
        <v>119.88</v>
      </c>
      <c r="G10" s="10">
        <v>0</v>
      </c>
      <c r="H10" s="38">
        <f t="shared" si="1"/>
        <v>965</v>
      </c>
      <c r="I10" s="38">
        <f>ROUND(I47/5,0)*5</f>
        <v>535</v>
      </c>
      <c r="J10" s="102">
        <f t="shared" si="2"/>
        <v>0.2921039770010358</v>
      </c>
      <c r="K10" s="102" t="s">
        <v>16</v>
      </c>
      <c r="L10" s="75" t="s">
        <v>12</v>
      </c>
      <c r="M10" s="38"/>
      <c r="N10" s="38"/>
    </row>
    <row r="11" spans="2:14" ht="15.75">
      <c r="B11" s="13" t="s">
        <v>21</v>
      </c>
      <c r="C11" s="12"/>
      <c r="D11" s="17">
        <v>45.8</v>
      </c>
      <c r="E11" s="15">
        <v>3.6</v>
      </c>
      <c r="F11" s="16">
        <f t="shared" si="0"/>
        <v>164.88</v>
      </c>
      <c r="G11" s="10">
        <f>55-10</f>
        <v>45</v>
      </c>
      <c r="H11" s="38">
        <f t="shared" si="1"/>
        <v>1375</v>
      </c>
      <c r="I11" s="38">
        <f t="shared" si="1"/>
        <v>640</v>
      </c>
      <c r="J11" s="102">
        <f t="shared" si="2"/>
        <v>0.34867849466183354</v>
      </c>
      <c r="K11" s="102" t="s">
        <v>22</v>
      </c>
      <c r="L11" s="38"/>
      <c r="M11" s="38"/>
      <c r="N11" s="38"/>
    </row>
    <row r="12" spans="2:14">
      <c r="B12" s="13" t="s">
        <v>23</v>
      </c>
      <c r="C12" s="12"/>
      <c r="D12" s="4">
        <v>7.24</v>
      </c>
      <c r="E12" s="15">
        <v>3.6</v>
      </c>
      <c r="F12" s="16">
        <f t="shared" si="0"/>
        <v>26.064</v>
      </c>
      <c r="G12" s="10">
        <f>55-10</f>
        <v>45</v>
      </c>
      <c r="H12" s="38">
        <f>54</f>
        <v>54</v>
      </c>
      <c r="I12" s="38">
        <v>54</v>
      </c>
      <c r="J12" s="102">
        <f t="shared" si="2"/>
        <v>6.9098829894267091E-2</v>
      </c>
      <c r="K12" s="102" t="s">
        <v>24</v>
      </c>
      <c r="L12" s="38"/>
      <c r="M12" s="38"/>
      <c r="N12" s="38"/>
    </row>
    <row r="13" spans="2:14" ht="15.75">
      <c r="B13" s="68" t="s">
        <v>25</v>
      </c>
      <c r="C13" s="12"/>
      <c r="D13" s="3">
        <v>18.2075</v>
      </c>
      <c r="E13" s="15">
        <v>3.6</v>
      </c>
      <c r="F13" s="16">
        <f t="shared" si="0"/>
        <v>65.546999999999997</v>
      </c>
      <c r="G13" s="10">
        <v>0</v>
      </c>
      <c r="H13" s="38">
        <f t="shared" si="1"/>
        <v>545</v>
      </c>
      <c r="I13" s="38">
        <f>H13</f>
        <v>545</v>
      </c>
      <c r="J13" s="102">
        <f>(H13/4/3600/PI()*4)^(1/2)</f>
        <v>0.21951897410409141</v>
      </c>
      <c r="K13" s="102" t="s">
        <v>11</v>
      </c>
      <c r="L13" s="38"/>
      <c r="M13" s="38"/>
      <c r="N13" s="38"/>
    </row>
    <row r="14" spans="2:14">
      <c r="B14" s="13" t="s">
        <v>26</v>
      </c>
      <c r="C14" s="12"/>
      <c r="D14" s="3">
        <v>21.21</v>
      </c>
      <c r="E14" s="15">
        <v>3.6</v>
      </c>
      <c r="F14" s="16">
        <f t="shared" si="0"/>
        <v>76.356000000000009</v>
      </c>
      <c r="G14" s="10">
        <f>55-10</f>
        <v>45</v>
      </c>
      <c r="H14" s="38">
        <v>160</v>
      </c>
      <c r="I14" s="38">
        <f t="shared" si="1"/>
        <v>295</v>
      </c>
      <c r="J14" s="102">
        <f>(H14/4/3600/PI()*4)^(1/2)</f>
        <v>0.11894160774351809</v>
      </c>
      <c r="K14" s="102" t="s">
        <v>27</v>
      </c>
      <c r="L14" s="38"/>
      <c r="M14" s="38"/>
      <c r="N14" s="38"/>
    </row>
    <row r="15" spans="2:14">
      <c r="B15" s="13" t="s">
        <v>28</v>
      </c>
      <c r="C15" s="12"/>
      <c r="D15" s="3">
        <v>30.02</v>
      </c>
      <c r="E15" s="15">
        <v>3.6</v>
      </c>
      <c r="F15" s="16">
        <f t="shared" si="0"/>
        <v>108.072</v>
      </c>
      <c r="G15" s="10">
        <v>0</v>
      </c>
      <c r="H15" s="38">
        <f t="shared" si="1"/>
        <v>960</v>
      </c>
      <c r="I15" s="38">
        <f t="shared" si="1"/>
        <v>480</v>
      </c>
      <c r="J15" s="102">
        <f t="shared" si="2"/>
        <v>0.29134624815788773</v>
      </c>
      <c r="K15" s="102" t="s">
        <v>16</v>
      </c>
      <c r="L15" s="75" t="s">
        <v>12</v>
      </c>
      <c r="M15" s="38"/>
      <c r="N15" s="38"/>
    </row>
    <row r="16" spans="2:14">
      <c r="B16" s="13" t="s">
        <v>29</v>
      </c>
      <c r="C16" s="12"/>
      <c r="D16" s="3">
        <v>52.62</v>
      </c>
      <c r="E16" s="15">
        <v>3.6</v>
      </c>
      <c r="F16" s="16">
        <f t="shared" si="0"/>
        <v>189.43199999999999</v>
      </c>
      <c r="G16" s="10">
        <f t="shared" ref="G16:G17" si="3">55-10</f>
        <v>45</v>
      </c>
      <c r="H16" s="38">
        <f>ROUND(H53/5,0)*5</f>
        <v>1580</v>
      </c>
      <c r="I16" s="38">
        <f t="shared" si="1"/>
        <v>840</v>
      </c>
      <c r="J16" s="102">
        <f t="shared" si="2"/>
        <v>0.37376820660611648</v>
      </c>
      <c r="K16" s="102" t="s">
        <v>22</v>
      </c>
      <c r="L16" s="38"/>
      <c r="M16" s="38"/>
      <c r="N16" s="38"/>
    </row>
    <row r="17" spans="2:14">
      <c r="B17" s="13" t="s">
        <v>30</v>
      </c>
      <c r="C17" s="12"/>
      <c r="D17" s="4">
        <v>55.32</v>
      </c>
      <c r="E17" s="15">
        <v>3.6</v>
      </c>
      <c r="F17" s="16">
        <f t="shared" si="0"/>
        <v>199.15200000000002</v>
      </c>
      <c r="G17" s="10">
        <f t="shared" si="3"/>
        <v>45</v>
      </c>
      <c r="H17" s="38">
        <f t="shared" si="1"/>
        <v>1770</v>
      </c>
      <c r="I17" s="38">
        <f t="shared" si="1"/>
        <v>885</v>
      </c>
      <c r="J17" s="102">
        <f t="shared" si="2"/>
        <v>0.395603792584235</v>
      </c>
      <c r="K17" s="102" t="s">
        <v>22</v>
      </c>
      <c r="L17" s="38"/>
      <c r="M17" s="38"/>
      <c r="N17" s="38"/>
    </row>
    <row r="18" spans="2:14">
      <c r="B18" s="13" t="s">
        <v>31</v>
      </c>
      <c r="C18" s="12"/>
      <c r="D18" s="3">
        <v>4.7300000000000004</v>
      </c>
      <c r="E18" s="15">
        <v>3.6</v>
      </c>
      <c r="F18" s="16">
        <f t="shared" si="0"/>
        <v>17.028000000000002</v>
      </c>
      <c r="G18" s="10">
        <f>95-10</f>
        <v>85</v>
      </c>
      <c r="H18" s="38">
        <f t="shared" si="1"/>
        <v>50</v>
      </c>
      <c r="I18" s="38">
        <f t="shared" si="1"/>
        <v>50</v>
      </c>
      <c r="J18" s="102">
        <f t="shared" si="2"/>
        <v>6.6490380066905441E-2</v>
      </c>
      <c r="K18" s="102" t="s">
        <v>24</v>
      </c>
      <c r="L18" s="38"/>
      <c r="M18" s="38"/>
      <c r="N18" s="38"/>
    </row>
    <row r="19" spans="2:14">
      <c r="B19" s="13" t="s">
        <v>32</v>
      </c>
      <c r="C19" s="12"/>
      <c r="D19" s="3">
        <v>4.37</v>
      </c>
      <c r="E19" s="15">
        <v>3.6</v>
      </c>
      <c r="F19" s="16">
        <f t="shared" si="0"/>
        <v>15.732000000000001</v>
      </c>
      <c r="G19" s="10">
        <f>95-10</f>
        <v>85</v>
      </c>
      <c r="H19" s="38">
        <f t="shared" si="1"/>
        <v>100</v>
      </c>
      <c r="I19" s="38">
        <f t="shared" si="1"/>
        <v>100</v>
      </c>
      <c r="J19" s="102">
        <f t="shared" si="2"/>
        <v>9.4031597257959385E-2</v>
      </c>
      <c r="K19" s="102" t="s">
        <v>33</v>
      </c>
      <c r="L19" s="38"/>
      <c r="M19" s="38"/>
      <c r="N19" s="38"/>
    </row>
    <row r="20" spans="2:14">
      <c r="B20" s="13" t="s">
        <v>34</v>
      </c>
      <c r="D20" s="3">
        <v>17.399999999999999</v>
      </c>
      <c r="E20" s="15">
        <v>3.6</v>
      </c>
      <c r="F20" s="16">
        <f t="shared" si="0"/>
        <v>62.639999999999993</v>
      </c>
      <c r="G20" s="10">
        <f>95-10</f>
        <v>85</v>
      </c>
      <c r="H20" s="38">
        <f t="shared" si="1"/>
        <v>50</v>
      </c>
      <c r="I20" s="38">
        <f t="shared" si="1"/>
        <v>50</v>
      </c>
      <c r="J20" s="102">
        <f t="shared" si="2"/>
        <v>6.6490380066905441E-2</v>
      </c>
      <c r="K20" s="102" t="s">
        <v>24</v>
      </c>
      <c r="L20" s="38"/>
      <c r="M20" s="38"/>
      <c r="N20" s="38"/>
    </row>
    <row r="21" spans="2:14">
      <c r="B21" s="13" t="s">
        <v>35</v>
      </c>
      <c r="D21" s="12">
        <v>12.27</v>
      </c>
      <c r="E21" s="15">
        <v>3.6</v>
      </c>
      <c r="F21" s="16">
        <f t="shared" si="0"/>
        <v>44.171999999999997</v>
      </c>
      <c r="G21" s="10">
        <f>95-10</f>
        <v>85</v>
      </c>
      <c r="H21" s="38">
        <f t="shared" si="1"/>
        <v>50</v>
      </c>
      <c r="I21" s="38">
        <f t="shared" si="1"/>
        <v>50</v>
      </c>
      <c r="J21" s="102">
        <f t="shared" si="2"/>
        <v>6.6490380066905441E-2</v>
      </c>
      <c r="K21" s="102" t="s">
        <v>24</v>
      </c>
      <c r="L21" s="38"/>
      <c r="M21" s="38"/>
      <c r="N21" s="38"/>
    </row>
    <row r="22" spans="2:14">
      <c r="B22" s="13" t="s">
        <v>36</v>
      </c>
      <c r="D22" s="12">
        <v>10.89</v>
      </c>
      <c r="E22" s="15">
        <v>3.6</v>
      </c>
      <c r="F22" s="16">
        <f t="shared" si="0"/>
        <v>39.204000000000001</v>
      </c>
      <c r="G22" s="10">
        <v>0</v>
      </c>
      <c r="H22" s="38">
        <f t="shared" si="1"/>
        <v>0</v>
      </c>
      <c r="I22" s="38">
        <f t="shared" si="1"/>
        <v>0</v>
      </c>
      <c r="J22" s="102">
        <f t="shared" si="2"/>
        <v>0</v>
      </c>
      <c r="K22" s="102">
        <f>(I22/4/3600/PI()*4)^(1/2)</f>
        <v>0</v>
      </c>
      <c r="L22" s="38">
        <f>(J22/4/3600/PI()*4)^(1/2)</f>
        <v>0</v>
      </c>
      <c r="M22" s="38"/>
      <c r="N22" s="38"/>
    </row>
    <row r="23" spans="2:14">
      <c r="B23" s="65" t="s">
        <v>37</v>
      </c>
      <c r="D23" s="12">
        <v>3.5139999999999993</v>
      </c>
      <c r="E23" s="15">
        <v>3.6</v>
      </c>
      <c r="F23" s="16">
        <f t="shared" si="0"/>
        <v>12.650399999999998</v>
      </c>
      <c r="G23" s="10">
        <v>0</v>
      </c>
      <c r="H23" s="38">
        <f t="shared" si="1"/>
        <v>0</v>
      </c>
      <c r="I23" s="38">
        <f t="shared" si="1"/>
        <v>0</v>
      </c>
      <c r="J23" s="102">
        <f>(H23/4/3600/PI()*4)^(1/2)</f>
        <v>0</v>
      </c>
      <c r="K23" s="102">
        <f>(I23/4/3600/PI()*4)^(1/2)</f>
        <v>0</v>
      </c>
      <c r="L23" s="38">
        <f>(J23/4/3600/PI()*4)^(1/2)</f>
        <v>0</v>
      </c>
      <c r="M23" s="38"/>
      <c r="N23" s="38"/>
    </row>
    <row r="24" spans="2:14" ht="28.5" customHeight="1">
      <c r="D24" s="69">
        <f>SUM(D3:D23)</f>
        <v>464.27983333333333</v>
      </c>
      <c r="E24" s="69"/>
      <c r="F24" s="69">
        <f>SUM(F3:F23)</f>
        <v>1671.4074000000001</v>
      </c>
      <c r="G24" s="69"/>
      <c r="H24" s="74">
        <f>SUM(H3:H23)</f>
        <v>11189</v>
      </c>
      <c r="I24" s="74">
        <f t="shared" ref="I24" si="4">SUM(I3:I23)</f>
        <v>6749</v>
      </c>
      <c r="J24" s="197" t="s">
        <v>38</v>
      </c>
      <c r="K24" s="197"/>
      <c r="L24" s="38"/>
      <c r="M24" s="38"/>
      <c r="N24" s="38"/>
    </row>
    <row r="25" spans="2:14" ht="15" customHeight="1">
      <c r="B25" s="53" t="s">
        <v>39</v>
      </c>
      <c r="D25">
        <f>3.975*9.6</f>
        <v>38.159999999999997</v>
      </c>
      <c r="E25" s="73">
        <v>1.25</v>
      </c>
      <c r="F25" s="74">
        <f>D25*E25</f>
        <v>47.699999999999996</v>
      </c>
      <c r="J25" s="197"/>
      <c r="K25" s="197"/>
    </row>
    <row r="26" spans="2:14">
      <c r="J26" s="197"/>
      <c r="K26" s="197"/>
    </row>
    <row r="27" spans="2:14">
      <c r="C27" t="s">
        <v>40</v>
      </c>
      <c r="E27" t="s">
        <v>41</v>
      </c>
      <c r="G27" t="s">
        <v>42</v>
      </c>
      <c r="J27" s="197"/>
      <c r="K27" s="197"/>
    </row>
    <row r="28" spans="2:14">
      <c r="B28" t="s">
        <v>43</v>
      </c>
      <c r="C28" s="69">
        <f>H24</f>
        <v>11189</v>
      </c>
      <c r="D28" s="70" t="s">
        <v>44</v>
      </c>
      <c r="E28">
        <f>(C28/7/3600/PI()*4)^(1/2)</f>
        <v>0.75188327746942485</v>
      </c>
      <c r="F28" t="s">
        <v>45</v>
      </c>
      <c r="G28" t="s">
        <v>46</v>
      </c>
      <c r="J28" s="197"/>
      <c r="K28" s="197"/>
    </row>
    <row r="29" spans="2:14" ht="18.75">
      <c r="D29" s="70"/>
      <c r="G29" s="71" t="s">
        <v>47</v>
      </c>
    </row>
    <row r="30" spans="2:14">
      <c r="C30" t="s">
        <v>48</v>
      </c>
      <c r="D30" t="s">
        <v>49</v>
      </c>
    </row>
    <row r="40" spans="8:9">
      <c r="H40">
        <v>0</v>
      </c>
      <c r="I40">
        <v>0</v>
      </c>
    </row>
    <row r="41" spans="8:9">
      <c r="H41">
        <v>365.6</v>
      </c>
      <c r="I41">
        <v>365.6</v>
      </c>
    </row>
    <row r="42" spans="8:9">
      <c r="H42">
        <v>0</v>
      </c>
      <c r="I42">
        <v>0</v>
      </c>
    </row>
    <row r="43" spans="8:9">
      <c r="H43">
        <v>879.64444444444439</v>
      </c>
      <c r="I43">
        <v>439.82222222222219</v>
      </c>
    </row>
    <row r="44" spans="8:9">
      <c r="H44">
        <v>576.62222222222226</v>
      </c>
      <c r="I44">
        <v>288.31111111111113</v>
      </c>
    </row>
    <row r="45" spans="8:9">
      <c r="H45">
        <v>580.16</v>
      </c>
      <c r="I45">
        <v>290.08</v>
      </c>
    </row>
    <row r="46" spans="8:9">
      <c r="H46">
        <v>580.16</v>
      </c>
      <c r="I46">
        <v>290.08</v>
      </c>
    </row>
    <row r="47" spans="8:9">
      <c r="H47">
        <v>965.69999999999993</v>
      </c>
      <c r="I47">
        <v>532.79999999999995</v>
      </c>
    </row>
    <row r="48" spans="8:9">
      <c r="H48">
        <v>1374</v>
      </c>
      <c r="I48">
        <v>641.19999999999993</v>
      </c>
    </row>
    <row r="50" spans="3:9">
      <c r="H50">
        <f>D13*30</f>
        <v>546.22500000000002</v>
      </c>
      <c r="I50">
        <f>D13*14</f>
        <v>254.905</v>
      </c>
    </row>
    <row r="51" spans="3:9">
      <c r="H51">
        <f>D14*30</f>
        <v>636.30000000000007</v>
      </c>
      <c r="I51">
        <f>D14*14</f>
        <v>296.94</v>
      </c>
    </row>
    <row r="52" spans="3:9">
      <c r="H52">
        <v>960.64</v>
      </c>
      <c r="I52">
        <v>480.32</v>
      </c>
    </row>
    <row r="53" spans="3:9">
      <c r="H53">
        <v>1578.6</v>
      </c>
      <c r="I53">
        <v>841.92</v>
      </c>
    </row>
    <row r="54" spans="3:9">
      <c r="H54">
        <v>1770.24</v>
      </c>
      <c r="I54">
        <v>885.12</v>
      </c>
    </row>
    <row r="55" spans="3:9">
      <c r="H55">
        <v>50</v>
      </c>
      <c r="I55">
        <v>50</v>
      </c>
    </row>
    <row r="56" spans="3:9">
      <c r="H56">
        <v>100</v>
      </c>
      <c r="I56">
        <v>100</v>
      </c>
    </row>
    <row r="57" spans="3:9">
      <c r="H57">
        <v>50</v>
      </c>
      <c r="I57">
        <v>50</v>
      </c>
    </row>
    <row r="58" spans="3:9">
      <c r="H58">
        <v>50</v>
      </c>
      <c r="I58">
        <v>50</v>
      </c>
    </row>
    <row r="59" spans="3:9">
      <c r="H59">
        <v>0</v>
      </c>
      <c r="I59">
        <v>0</v>
      </c>
    </row>
    <row r="60" spans="3:9">
      <c r="H60">
        <v>0</v>
      </c>
      <c r="I60">
        <v>0</v>
      </c>
    </row>
    <row r="64" spans="3:9">
      <c r="C64" t="s">
        <v>50</v>
      </c>
    </row>
    <row r="68" spans="7:26">
      <c r="G68" t="s">
        <v>51</v>
      </c>
      <c r="H68">
        <f>4*9*30/3.6</f>
        <v>300</v>
      </c>
    </row>
    <row r="69" spans="7:26">
      <c r="G69" t="s">
        <v>52</v>
      </c>
      <c r="H69">
        <f>(D13*30-H68)/2</f>
        <v>123.11250000000001</v>
      </c>
    </row>
    <row r="78" spans="7:26">
      <c r="Z78" t="s">
        <v>53</v>
      </c>
    </row>
    <row r="79" spans="7:26">
      <c r="Z79" t="s">
        <v>54</v>
      </c>
    </row>
    <row r="80" spans="7:26">
      <c r="Z80" t="s">
        <v>55</v>
      </c>
    </row>
  </sheetData>
  <mergeCells count="3">
    <mergeCell ref="J27:K27"/>
    <mergeCell ref="J28:K28"/>
    <mergeCell ref="J24:K26"/>
  </mergeCells>
  <phoneticPr fontId="1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BDF4-5FD1-4A99-857E-93413EA9A9B0}">
  <dimension ref="C2:S64"/>
  <sheetViews>
    <sheetView topLeftCell="B3" zoomScale="64" zoomScaleNormal="68" workbookViewId="0">
      <selection activeCell="E17" sqref="E17"/>
    </sheetView>
  </sheetViews>
  <sheetFormatPr baseColWidth="10" defaultColWidth="10.5703125" defaultRowHeight="15"/>
  <cols>
    <col min="3" max="3" width="16.5703125" customWidth="1"/>
    <col min="4" max="4" width="0" hidden="1" customWidth="1"/>
    <col min="5" max="5" width="11.5703125" customWidth="1"/>
    <col min="7" max="7" width="19" customWidth="1"/>
    <col min="8" max="8" width="18.5703125" customWidth="1"/>
    <col min="9" max="9" width="23.42578125" customWidth="1"/>
    <col min="17" max="17" width="15.5703125" customWidth="1"/>
  </cols>
  <sheetData>
    <row r="2" spans="3:17" ht="18.75" customHeight="1">
      <c r="C2" s="199" t="s">
        <v>56</v>
      </c>
      <c r="D2" s="199"/>
      <c r="E2" s="199"/>
      <c r="F2" s="199"/>
      <c r="G2" s="199"/>
      <c r="H2" s="199"/>
      <c r="I2" s="199"/>
      <c r="J2" s="199"/>
      <c r="N2" s="201" t="s">
        <v>57</v>
      </c>
      <c r="O2" s="201"/>
      <c r="Q2" s="198" t="s">
        <v>58</v>
      </c>
    </row>
    <row r="3" spans="3:17" ht="15" customHeight="1" thickBot="1">
      <c r="C3" s="199"/>
      <c r="D3" s="199"/>
      <c r="E3" s="199"/>
      <c r="F3" s="199"/>
      <c r="G3" s="199"/>
      <c r="H3" s="199"/>
      <c r="I3" s="199"/>
      <c r="J3" s="199"/>
      <c r="N3" s="201"/>
      <c r="O3" s="201"/>
      <c r="Q3" s="198"/>
    </row>
    <row r="4" spans="3:17" ht="21.75" customHeight="1" thickBot="1">
      <c r="I4" s="63" t="s">
        <v>59</v>
      </c>
      <c r="K4" s="98" t="s">
        <v>60</v>
      </c>
      <c r="L4" s="99">
        <f>-6</f>
        <v>-6</v>
      </c>
      <c r="N4" s="198" t="s">
        <v>61</v>
      </c>
      <c r="O4" s="198"/>
      <c r="Q4" s="198"/>
    </row>
    <row r="5" spans="3:17">
      <c r="E5" t="s">
        <v>62</v>
      </c>
      <c r="I5" t="s">
        <v>63</v>
      </c>
      <c r="K5" s="31"/>
      <c r="L5" s="31"/>
      <c r="N5" s="198"/>
      <c r="O5" s="198"/>
      <c r="Q5" s="198"/>
    </row>
    <row r="6" spans="3:17" ht="14.25" customHeight="1">
      <c r="J6" t="s">
        <v>64</v>
      </c>
      <c r="K6" s="197" t="s">
        <v>65</v>
      </c>
      <c r="L6" s="197"/>
    </row>
    <row r="7" spans="3:17" ht="15.75" thickBot="1"/>
    <row r="8" spans="3:17" ht="19.5" thickBot="1">
      <c r="C8" s="94" t="s">
        <v>0</v>
      </c>
      <c r="D8" s="82"/>
      <c r="E8" s="83" t="s">
        <v>5</v>
      </c>
      <c r="F8" s="84" t="s">
        <v>66</v>
      </c>
      <c r="G8" s="85" t="s">
        <v>67</v>
      </c>
      <c r="H8" s="85" t="s">
        <v>68</v>
      </c>
      <c r="I8" s="86" t="s">
        <v>69</v>
      </c>
      <c r="J8" s="86" t="s">
        <v>70</v>
      </c>
      <c r="K8" s="86" t="s">
        <v>71</v>
      </c>
      <c r="L8" s="86" t="s">
        <v>72</v>
      </c>
      <c r="M8" s="95" t="s">
        <v>73</v>
      </c>
      <c r="N8" s="86" t="s">
        <v>74</v>
      </c>
      <c r="O8" s="97" t="s">
        <v>75</v>
      </c>
      <c r="P8" s="96" t="s">
        <v>76</v>
      </c>
    </row>
    <row r="9" spans="3:17">
      <c r="C9" s="93" t="s">
        <v>10</v>
      </c>
      <c r="E9" s="78">
        <f>Données!H3</f>
        <v>550</v>
      </c>
      <c r="F9" s="79">
        <v>1.8</v>
      </c>
      <c r="G9" s="80" t="s">
        <v>77</v>
      </c>
      <c r="H9" s="81">
        <f>21</f>
        <v>21</v>
      </c>
      <c r="I9" s="76">
        <v>0</v>
      </c>
      <c r="J9" s="76">
        <v>1.2</v>
      </c>
      <c r="K9" s="76" t="s">
        <v>78</v>
      </c>
      <c r="L9" s="76" t="s">
        <v>78</v>
      </c>
      <c r="M9" s="76">
        <v>5.8000000000000003E-2</v>
      </c>
      <c r="N9" s="77">
        <v>0.35</v>
      </c>
      <c r="O9" s="38" t="s">
        <v>78</v>
      </c>
      <c r="P9" s="76">
        <f>M9*L4</f>
        <v>-0.34800000000000003</v>
      </c>
    </row>
    <row r="10" spans="3:17">
      <c r="C10" s="87" t="s">
        <v>13</v>
      </c>
      <c r="E10" s="9">
        <f>Données!H4</f>
        <v>365</v>
      </c>
      <c r="F10" s="3">
        <v>1.25</v>
      </c>
      <c r="G10" s="15" t="s">
        <v>79</v>
      </c>
      <c r="H10" s="16">
        <v>20</v>
      </c>
      <c r="I10" s="10">
        <v>26</v>
      </c>
      <c r="J10" s="10">
        <v>1.25</v>
      </c>
      <c r="K10" s="76" t="s">
        <v>78</v>
      </c>
      <c r="L10" s="10" t="s">
        <v>78</v>
      </c>
      <c r="M10" s="10">
        <v>4.7E-2</v>
      </c>
      <c r="N10" s="10">
        <v>0.34</v>
      </c>
      <c r="O10" s="43" t="s">
        <v>78</v>
      </c>
      <c r="P10" s="10">
        <f>M10*$L$4</f>
        <v>-0.28200000000000003</v>
      </c>
    </row>
    <row r="11" spans="3:17">
      <c r="C11" s="88" t="s">
        <v>14</v>
      </c>
      <c r="E11" s="9">
        <f>Données!H5</f>
        <v>0</v>
      </c>
      <c r="F11" s="3" t="s">
        <v>78</v>
      </c>
      <c r="G11" s="15" t="s">
        <v>78</v>
      </c>
      <c r="H11" s="16" t="s">
        <v>78</v>
      </c>
      <c r="I11" s="16" t="s">
        <v>78</v>
      </c>
      <c r="J11" s="16" t="s">
        <v>78</v>
      </c>
      <c r="K11" s="76" t="s">
        <v>78</v>
      </c>
      <c r="L11" s="16" t="s">
        <v>78</v>
      </c>
      <c r="M11" s="16" t="s">
        <v>78</v>
      </c>
      <c r="N11" s="16" t="s">
        <v>78</v>
      </c>
      <c r="O11" s="16" t="s">
        <v>78</v>
      </c>
      <c r="P11" s="10" t="s">
        <v>78</v>
      </c>
    </row>
    <row r="12" spans="3:17">
      <c r="C12" s="87" t="s">
        <v>15</v>
      </c>
      <c r="E12" s="9">
        <f>Données!H6</f>
        <v>880</v>
      </c>
      <c r="F12" s="3">
        <v>1.25</v>
      </c>
      <c r="G12" s="15" t="s">
        <v>80</v>
      </c>
      <c r="H12" s="16">
        <f>12.5</f>
        <v>12.5</v>
      </c>
      <c r="I12" s="10">
        <f>21</f>
        <v>21</v>
      </c>
      <c r="J12" s="10">
        <v>2.75</v>
      </c>
      <c r="K12" s="76" t="s">
        <v>78</v>
      </c>
      <c r="L12" s="10" t="s">
        <v>78</v>
      </c>
      <c r="M12" s="10">
        <v>4.8000000000000001E-2</v>
      </c>
      <c r="N12" s="10">
        <v>0.34</v>
      </c>
      <c r="O12" s="43" t="s">
        <v>78</v>
      </c>
      <c r="P12" s="10">
        <f t="shared" ref="P12:P25" si="0">M12*$L$4</f>
        <v>-0.28800000000000003</v>
      </c>
    </row>
    <row r="13" spans="3:17">
      <c r="C13" s="87" t="s">
        <v>17</v>
      </c>
      <c r="E13" s="9">
        <f>Données!H7</f>
        <v>575</v>
      </c>
      <c r="F13" s="3">
        <v>1.25</v>
      </c>
      <c r="G13" s="15" t="s">
        <v>77</v>
      </c>
      <c r="H13" s="16">
        <v>19</v>
      </c>
      <c r="I13" s="10">
        <v>28</v>
      </c>
      <c r="J13" s="10">
        <v>1.75</v>
      </c>
      <c r="K13" s="76" t="s">
        <v>78</v>
      </c>
      <c r="L13" s="10" t="s">
        <v>78</v>
      </c>
      <c r="M13" s="10">
        <v>5.8000000000000003E-2</v>
      </c>
      <c r="N13" s="10">
        <v>0.36</v>
      </c>
      <c r="O13" s="43" t="s">
        <v>78</v>
      </c>
      <c r="P13" s="10">
        <f t="shared" si="0"/>
        <v>-0.34800000000000003</v>
      </c>
    </row>
    <row r="14" spans="3:17">
      <c r="C14" s="87" t="s">
        <v>18</v>
      </c>
      <c r="E14" s="9">
        <f>Données!H8</f>
        <v>580</v>
      </c>
      <c r="F14" s="3">
        <v>1.25</v>
      </c>
      <c r="G14" s="15" t="s">
        <v>77</v>
      </c>
      <c r="H14" s="16">
        <v>20</v>
      </c>
      <c r="I14" s="10">
        <v>29</v>
      </c>
      <c r="J14" s="10">
        <v>1.75</v>
      </c>
      <c r="K14" s="76" t="s">
        <v>78</v>
      </c>
      <c r="L14" s="10" t="s">
        <v>78</v>
      </c>
      <c r="M14" s="10">
        <v>5.8000000000000003E-2</v>
      </c>
      <c r="N14" s="10">
        <v>0.36</v>
      </c>
      <c r="O14" s="43" t="s">
        <v>78</v>
      </c>
      <c r="P14" s="10">
        <f t="shared" si="0"/>
        <v>-0.34800000000000003</v>
      </c>
    </row>
    <row r="15" spans="3:17">
      <c r="C15" s="87" t="s">
        <v>19</v>
      </c>
      <c r="E15" s="9">
        <f>Données!H9</f>
        <v>580</v>
      </c>
      <c r="F15" s="3">
        <v>1.25</v>
      </c>
      <c r="G15" s="15" t="s">
        <v>77</v>
      </c>
      <c r="H15" s="16">
        <v>20</v>
      </c>
      <c r="I15" s="10">
        <v>29</v>
      </c>
      <c r="J15" s="10">
        <v>1.75</v>
      </c>
      <c r="K15" s="76" t="s">
        <v>78</v>
      </c>
      <c r="L15" s="10" t="s">
        <v>78</v>
      </c>
      <c r="M15" s="10">
        <v>5.8000000000000003E-2</v>
      </c>
      <c r="N15" s="10">
        <v>0.36</v>
      </c>
      <c r="O15" s="43" t="s">
        <v>78</v>
      </c>
      <c r="P15" s="10">
        <f t="shared" si="0"/>
        <v>-0.34800000000000003</v>
      </c>
    </row>
    <row r="16" spans="3:17">
      <c r="C16" s="87" t="s">
        <v>20</v>
      </c>
      <c r="E16" s="9">
        <f>Données!H10</f>
        <v>965</v>
      </c>
      <c r="F16" s="3">
        <v>1.8</v>
      </c>
      <c r="G16" s="15" t="s">
        <v>80</v>
      </c>
      <c r="H16" s="16">
        <v>16</v>
      </c>
      <c r="I16" s="10">
        <v>25</v>
      </c>
      <c r="J16" s="10">
        <v>2.7</v>
      </c>
      <c r="K16" s="76" t="s">
        <v>78</v>
      </c>
      <c r="L16" s="10" t="s">
        <v>78</v>
      </c>
      <c r="M16" s="10">
        <v>4.5999999999999999E-2</v>
      </c>
      <c r="N16" s="1">
        <v>0.34</v>
      </c>
      <c r="O16" s="43" t="s">
        <v>78</v>
      </c>
      <c r="P16" s="10">
        <f t="shared" si="0"/>
        <v>-0.27600000000000002</v>
      </c>
    </row>
    <row r="17" spans="3:18">
      <c r="C17" s="87" t="s">
        <v>21</v>
      </c>
      <c r="E17" s="9">
        <f>Données!H11</f>
        <v>1375</v>
      </c>
      <c r="F17" s="3">
        <v>1.25</v>
      </c>
      <c r="G17" s="15" t="s">
        <v>81</v>
      </c>
      <c r="H17" s="16">
        <f>19*2</f>
        <v>38</v>
      </c>
      <c r="I17" s="10">
        <f>26+3</f>
        <v>29</v>
      </c>
      <c r="J17" s="115">
        <v>1.25</v>
      </c>
      <c r="K17" s="76" t="s">
        <v>78</v>
      </c>
      <c r="L17" s="115">
        <v>3</v>
      </c>
      <c r="M17" s="10">
        <v>0.15</v>
      </c>
      <c r="N17" s="10">
        <v>0.25</v>
      </c>
      <c r="O17" s="43">
        <v>0.16</v>
      </c>
      <c r="P17" s="10">
        <f t="shared" si="0"/>
        <v>-0.89999999999999991</v>
      </c>
    </row>
    <row r="18" spans="3:18">
      <c r="C18" s="88" t="s">
        <v>23</v>
      </c>
      <c r="E18" s="9">
        <f>Données!H12</f>
        <v>54</v>
      </c>
      <c r="F18" s="3">
        <v>1.25</v>
      </c>
      <c r="G18" s="15" t="s">
        <v>82</v>
      </c>
      <c r="H18" s="16">
        <v>6</v>
      </c>
      <c r="I18" s="10"/>
      <c r="J18" s="10">
        <v>1.25</v>
      </c>
      <c r="K18" s="76" t="s">
        <v>78</v>
      </c>
      <c r="L18" s="10" t="s">
        <v>78</v>
      </c>
      <c r="M18" s="10">
        <v>0.02</v>
      </c>
      <c r="N18" s="10">
        <v>0.14000000000000001</v>
      </c>
      <c r="O18" s="43" t="s">
        <v>78</v>
      </c>
      <c r="P18" s="10">
        <f t="shared" si="0"/>
        <v>-0.12</v>
      </c>
    </row>
    <row r="19" spans="3:18" ht="15.75">
      <c r="C19" s="100" t="s">
        <v>384</v>
      </c>
      <c r="E19" s="9">
        <v>125</v>
      </c>
      <c r="F19" s="3">
        <v>1.8</v>
      </c>
      <c r="G19" s="15" t="s">
        <v>84</v>
      </c>
      <c r="H19" s="16">
        <v>12.5</v>
      </c>
      <c r="I19" s="10">
        <v>13</v>
      </c>
      <c r="J19" s="10">
        <v>0.2</v>
      </c>
      <c r="K19" s="76" t="s">
        <v>78</v>
      </c>
      <c r="L19" s="10" t="s">
        <v>78</v>
      </c>
      <c r="M19" s="10">
        <v>3.5000000000000003E-2</v>
      </c>
      <c r="N19" s="10">
        <v>0.25</v>
      </c>
      <c r="O19" s="43" t="s">
        <v>78</v>
      </c>
      <c r="P19" s="10">
        <f t="shared" si="0"/>
        <v>-0.21000000000000002</v>
      </c>
    </row>
    <row r="20" spans="3:18" ht="15.75">
      <c r="C20" s="89" t="s">
        <v>85</v>
      </c>
      <c r="E20" s="9">
        <v>300</v>
      </c>
      <c r="F20" s="3">
        <v>1.8</v>
      </c>
      <c r="G20" s="15" t="s">
        <v>86</v>
      </c>
      <c r="H20" s="16">
        <v>22.5</v>
      </c>
      <c r="I20" s="10">
        <v>25</v>
      </c>
      <c r="J20" s="10">
        <v>0.7</v>
      </c>
      <c r="K20" s="76" t="s">
        <v>78</v>
      </c>
      <c r="L20" s="10" t="s">
        <v>78</v>
      </c>
      <c r="M20" s="10">
        <v>3.6999999999999998E-2</v>
      </c>
      <c r="N20" s="10">
        <v>0.34</v>
      </c>
      <c r="O20" s="43" t="s">
        <v>78</v>
      </c>
      <c r="P20" s="10">
        <f t="shared" si="0"/>
        <v>-0.22199999999999998</v>
      </c>
    </row>
    <row r="21" spans="3:18" ht="15.75">
      <c r="C21" s="89" t="s">
        <v>385</v>
      </c>
      <c r="E21" s="9">
        <v>125</v>
      </c>
      <c r="F21" s="3">
        <v>1.8</v>
      </c>
      <c r="G21" s="15" t="s">
        <v>84</v>
      </c>
      <c r="H21" s="16">
        <f>H19</f>
        <v>12.5</v>
      </c>
      <c r="I21" s="10">
        <f>I19</f>
        <v>13</v>
      </c>
      <c r="J21" s="10">
        <f>J19</f>
        <v>0.2</v>
      </c>
      <c r="K21" s="76" t="s">
        <v>78</v>
      </c>
      <c r="L21" s="10" t="s">
        <v>78</v>
      </c>
      <c r="M21" s="10">
        <f>M19</f>
        <v>3.5000000000000003E-2</v>
      </c>
      <c r="N21" s="10">
        <f>N19</f>
        <v>0.25</v>
      </c>
      <c r="O21" s="43" t="s">
        <v>78</v>
      </c>
      <c r="P21" s="10">
        <f>P19</f>
        <v>-0.21000000000000002</v>
      </c>
    </row>
    <row r="22" spans="3:18">
      <c r="C22" s="87" t="s">
        <v>26</v>
      </c>
      <c r="E22" s="9">
        <f>Données!H14</f>
        <v>160</v>
      </c>
      <c r="F22" s="3">
        <v>1.25</v>
      </c>
      <c r="G22" s="15" t="s">
        <v>82</v>
      </c>
      <c r="H22" s="16">
        <f>21</f>
        <v>21</v>
      </c>
      <c r="I22" s="10">
        <f>19</f>
        <v>19</v>
      </c>
      <c r="J22" s="10">
        <v>0.75</v>
      </c>
      <c r="K22" s="76" t="s">
        <v>78</v>
      </c>
      <c r="L22" s="10" t="s">
        <v>78</v>
      </c>
      <c r="M22" s="10">
        <v>4.3999999999999997E-2</v>
      </c>
      <c r="N22" s="10">
        <v>0.31</v>
      </c>
      <c r="O22" s="43" t="s">
        <v>78</v>
      </c>
      <c r="P22" s="10">
        <f t="shared" si="0"/>
        <v>-0.26400000000000001</v>
      </c>
    </row>
    <row r="23" spans="3:18">
      <c r="C23" s="87" t="s">
        <v>28</v>
      </c>
      <c r="E23" s="9">
        <f>Données!H15</f>
        <v>960</v>
      </c>
      <c r="F23" s="3">
        <v>1.8</v>
      </c>
      <c r="G23" s="15" t="s">
        <v>80</v>
      </c>
      <c r="H23" s="16">
        <f>12.5</f>
        <v>12.5</v>
      </c>
      <c r="I23" s="10">
        <f>I21</f>
        <v>13</v>
      </c>
      <c r="J23" s="33">
        <v>2</v>
      </c>
      <c r="K23" s="76" t="s">
        <v>78</v>
      </c>
      <c r="L23" s="10" t="s">
        <v>78</v>
      </c>
      <c r="M23" s="10">
        <v>0.05</v>
      </c>
      <c r="N23" s="1">
        <v>0.38</v>
      </c>
      <c r="O23" s="43" t="s">
        <v>78</v>
      </c>
      <c r="P23" s="10">
        <f t="shared" si="0"/>
        <v>-0.30000000000000004</v>
      </c>
      <c r="Q23" s="202" t="s">
        <v>317</v>
      </c>
      <c r="R23" s="197"/>
    </row>
    <row r="24" spans="3:18">
      <c r="C24" s="87" t="s">
        <v>29</v>
      </c>
      <c r="E24" s="9">
        <f>Données!H16</f>
        <v>1580</v>
      </c>
      <c r="F24" s="3">
        <v>1.25</v>
      </c>
      <c r="G24" s="15" t="s">
        <v>81</v>
      </c>
      <c r="H24" s="16">
        <f>24*2</f>
        <v>48</v>
      </c>
      <c r="I24" s="10">
        <f>30+3</f>
        <v>33</v>
      </c>
      <c r="J24" s="10">
        <v>1.75</v>
      </c>
      <c r="K24" s="76" t="s">
        <v>78</v>
      </c>
      <c r="L24" s="10">
        <v>4</v>
      </c>
      <c r="M24" s="10">
        <v>0.125</v>
      </c>
      <c r="N24" s="10">
        <v>0.3</v>
      </c>
      <c r="O24" s="43">
        <v>0.15</v>
      </c>
      <c r="P24" s="10">
        <f t="shared" si="0"/>
        <v>-0.75</v>
      </c>
      <c r="Q24" s="202"/>
      <c r="R24" s="197"/>
    </row>
    <row r="25" spans="3:18">
      <c r="C25" s="87" t="s">
        <v>30</v>
      </c>
      <c r="E25" s="9">
        <f>Données!H17</f>
        <v>1770</v>
      </c>
      <c r="F25" s="3">
        <v>1.25</v>
      </c>
      <c r="G25" s="15" t="s">
        <v>81</v>
      </c>
      <c r="H25" s="16">
        <f>32*2</f>
        <v>64</v>
      </c>
      <c r="I25" s="10">
        <f>34</f>
        <v>34</v>
      </c>
      <c r="J25" s="115">
        <v>1.75</v>
      </c>
      <c r="K25" s="76" t="s">
        <v>78</v>
      </c>
      <c r="L25" s="115">
        <v>4</v>
      </c>
      <c r="M25" s="10">
        <v>0.16</v>
      </c>
      <c r="N25" s="10">
        <v>0.25</v>
      </c>
      <c r="O25" s="43">
        <v>0.16</v>
      </c>
      <c r="P25" s="10">
        <f t="shared" si="0"/>
        <v>-0.96</v>
      </c>
      <c r="Q25" s="202"/>
      <c r="R25" s="197"/>
    </row>
    <row r="26" spans="3:18">
      <c r="C26" s="90" t="s">
        <v>31</v>
      </c>
      <c r="E26" s="9">
        <f>Données!H18</f>
        <v>50</v>
      </c>
      <c r="F26" s="3">
        <v>0.95</v>
      </c>
      <c r="G26" s="3" t="s">
        <v>78</v>
      </c>
      <c r="H26" s="3" t="s">
        <v>78</v>
      </c>
      <c r="I26" s="3" t="s">
        <v>78</v>
      </c>
      <c r="J26" s="3" t="s">
        <v>78</v>
      </c>
      <c r="K26" s="76" t="s">
        <v>78</v>
      </c>
      <c r="L26" s="3" t="s">
        <v>78</v>
      </c>
      <c r="M26" s="3" t="s">
        <v>78</v>
      </c>
      <c r="N26" s="3" t="s">
        <v>78</v>
      </c>
      <c r="O26" s="3" t="s">
        <v>78</v>
      </c>
      <c r="P26" s="3" t="s">
        <v>78</v>
      </c>
    </row>
    <row r="27" spans="3:18">
      <c r="C27" s="91" t="s">
        <v>32</v>
      </c>
      <c r="E27" s="9">
        <f>Données!H19</f>
        <v>100</v>
      </c>
      <c r="F27" s="3">
        <v>0.95</v>
      </c>
      <c r="G27" s="3" t="s">
        <v>78</v>
      </c>
      <c r="H27" s="3" t="s">
        <v>78</v>
      </c>
      <c r="I27" s="3" t="s">
        <v>78</v>
      </c>
      <c r="J27" s="3" t="s">
        <v>78</v>
      </c>
      <c r="K27" s="76" t="s">
        <v>78</v>
      </c>
      <c r="L27" s="3" t="s">
        <v>78</v>
      </c>
      <c r="M27" s="3" t="s">
        <v>78</v>
      </c>
      <c r="N27" s="3" t="s">
        <v>78</v>
      </c>
      <c r="O27" s="3" t="s">
        <v>78</v>
      </c>
      <c r="P27" s="3" t="s">
        <v>78</v>
      </c>
    </row>
    <row r="28" spans="3:18">
      <c r="C28" s="91" t="s">
        <v>34</v>
      </c>
      <c r="E28" s="9">
        <f>Données!H20</f>
        <v>50</v>
      </c>
      <c r="F28" s="3">
        <v>0.95</v>
      </c>
      <c r="G28" s="3" t="s">
        <v>78</v>
      </c>
      <c r="H28" s="3" t="s">
        <v>78</v>
      </c>
      <c r="I28" s="3" t="s">
        <v>78</v>
      </c>
      <c r="J28" s="3" t="s">
        <v>78</v>
      </c>
      <c r="K28" s="76" t="s">
        <v>78</v>
      </c>
      <c r="L28" s="3" t="s">
        <v>78</v>
      </c>
      <c r="M28" s="3" t="s">
        <v>78</v>
      </c>
      <c r="N28" s="3" t="s">
        <v>78</v>
      </c>
      <c r="O28" s="3" t="s">
        <v>78</v>
      </c>
      <c r="P28" s="3" t="s">
        <v>78</v>
      </c>
    </row>
    <row r="29" spans="3:18">
      <c r="C29" s="91" t="s">
        <v>35</v>
      </c>
      <c r="E29" s="9">
        <f>Données!H21</f>
        <v>50</v>
      </c>
      <c r="F29" s="3">
        <v>0.95</v>
      </c>
      <c r="G29" s="3" t="s">
        <v>78</v>
      </c>
      <c r="H29" s="3" t="s">
        <v>78</v>
      </c>
      <c r="I29" s="3" t="s">
        <v>78</v>
      </c>
      <c r="J29" s="3" t="s">
        <v>78</v>
      </c>
      <c r="K29" s="76" t="s">
        <v>78</v>
      </c>
      <c r="L29" s="3" t="s">
        <v>78</v>
      </c>
      <c r="M29" s="3" t="s">
        <v>78</v>
      </c>
      <c r="N29" s="3" t="s">
        <v>78</v>
      </c>
      <c r="O29" s="3" t="s">
        <v>78</v>
      </c>
      <c r="P29" s="3" t="s">
        <v>78</v>
      </c>
    </row>
    <row r="30" spans="3:18">
      <c r="C30" s="88" t="s">
        <v>36</v>
      </c>
      <c r="E30" s="9">
        <f>Données!H22</f>
        <v>0</v>
      </c>
      <c r="F30" s="3" t="s">
        <v>78</v>
      </c>
      <c r="G30" s="3" t="s">
        <v>78</v>
      </c>
      <c r="H30" s="3" t="s">
        <v>78</v>
      </c>
      <c r="I30" s="3" t="s">
        <v>78</v>
      </c>
      <c r="J30" s="3" t="s">
        <v>78</v>
      </c>
      <c r="K30" s="76" t="s">
        <v>78</v>
      </c>
      <c r="L30" s="3" t="s">
        <v>78</v>
      </c>
      <c r="M30" s="3" t="s">
        <v>78</v>
      </c>
      <c r="N30" s="3" t="s">
        <v>78</v>
      </c>
      <c r="O30" s="3" t="s">
        <v>78</v>
      </c>
      <c r="P30" s="3" t="s">
        <v>78</v>
      </c>
    </row>
    <row r="31" spans="3:18" ht="15.75" thickBot="1">
      <c r="C31" s="92" t="s">
        <v>37</v>
      </c>
      <c r="E31" s="9">
        <f>Données!H23</f>
        <v>0</v>
      </c>
      <c r="F31" s="3" t="s">
        <v>78</v>
      </c>
      <c r="G31" s="3" t="s">
        <v>78</v>
      </c>
      <c r="H31" s="3" t="s">
        <v>78</v>
      </c>
      <c r="I31" s="3" t="s">
        <v>78</v>
      </c>
      <c r="J31" s="3" t="s">
        <v>78</v>
      </c>
      <c r="K31" s="76" t="s">
        <v>78</v>
      </c>
      <c r="L31" s="3" t="s">
        <v>78</v>
      </c>
      <c r="M31" s="3" t="s">
        <v>78</v>
      </c>
      <c r="N31" s="3" t="s">
        <v>78</v>
      </c>
      <c r="O31" s="3" t="s">
        <v>78</v>
      </c>
      <c r="P31" s="3" t="s">
        <v>78</v>
      </c>
    </row>
    <row r="32" spans="3:18">
      <c r="G32" s="69"/>
      <c r="H32" s="69">
        <f>SUM(H9:H25)</f>
        <v>365.5</v>
      </c>
      <c r="I32" s="69"/>
      <c r="J32" s="69"/>
      <c r="K32" s="69"/>
      <c r="L32" s="69"/>
    </row>
    <row r="33" spans="3:19">
      <c r="C33" t="s">
        <v>88</v>
      </c>
      <c r="E33" t="s">
        <v>89</v>
      </c>
    </row>
    <row r="34" spans="3:19">
      <c r="E34" t="s">
        <v>90</v>
      </c>
    </row>
    <row r="38" spans="3:19">
      <c r="C38" s="200" t="s">
        <v>91</v>
      </c>
      <c r="D38" s="200"/>
      <c r="E38" s="200"/>
      <c r="F38" s="200"/>
      <c r="G38" s="200"/>
      <c r="H38" s="200"/>
      <c r="I38" s="200"/>
      <c r="J38" s="200"/>
      <c r="M38" s="205" t="s">
        <v>299</v>
      </c>
      <c r="N38" s="205"/>
      <c r="O38" s="205"/>
      <c r="P38" s="205"/>
      <c r="Q38" s="205"/>
      <c r="R38" s="205"/>
      <c r="S38" s="205"/>
    </row>
    <row r="39" spans="3:19">
      <c r="C39" s="200"/>
      <c r="D39" s="200"/>
      <c r="E39" s="200"/>
      <c r="F39" s="200"/>
      <c r="G39" s="200"/>
      <c r="H39" s="200"/>
      <c r="I39" s="200"/>
      <c r="J39" s="200"/>
      <c r="M39" s="205"/>
      <c r="N39" s="205"/>
      <c r="O39" s="205"/>
      <c r="P39" s="205"/>
      <c r="Q39" s="205"/>
      <c r="R39" s="205"/>
      <c r="S39" s="205"/>
    </row>
    <row r="40" spans="3:19" ht="15.75" thickBot="1"/>
    <row r="41" spans="3:19" ht="30.75" thickBot="1">
      <c r="C41" s="94" t="s">
        <v>0</v>
      </c>
      <c r="D41" s="82"/>
      <c r="E41" s="83" t="s">
        <v>5</v>
      </c>
      <c r="F41" s="84" t="s">
        <v>66</v>
      </c>
      <c r="G41" s="85" t="s">
        <v>67</v>
      </c>
      <c r="H41" s="85" t="s">
        <v>68</v>
      </c>
      <c r="I41" s="86" t="s">
        <v>69</v>
      </c>
      <c r="M41" s="206" t="s">
        <v>0</v>
      </c>
      <c r="N41" s="207"/>
      <c r="O41" s="83" t="s">
        <v>5</v>
      </c>
      <c r="P41" s="84" t="s">
        <v>66</v>
      </c>
      <c r="Q41" s="86" t="s">
        <v>67</v>
      </c>
      <c r="R41" s="86" t="s">
        <v>68</v>
      </c>
      <c r="S41" s="86" t="s">
        <v>69</v>
      </c>
    </row>
    <row r="42" spans="3:19">
      <c r="C42" s="93" t="s">
        <v>10</v>
      </c>
      <c r="E42" s="78">
        <v>550</v>
      </c>
      <c r="F42" s="79">
        <v>1.8</v>
      </c>
      <c r="G42" s="80" t="s">
        <v>77</v>
      </c>
      <c r="H42" s="81">
        <v>7</v>
      </c>
      <c r="I42" s="76">
        <v>15</v>
      </c>
      <c r="M42" s="108" t="s">
        <v>31</v>
      </c>
      <c r="N42" s="109"/>
      <c r="O42" s="9">
        <v>50</v>
      </c>
      <c r="P42" s="3">
        <v>0.95</v>
      </c>
      <c r="Q42" s="3" t="s">
        <v>300</v>
      </c>
      <c r="R42" s="3">
        <v>12.5</v>
      </c>
      <c r="S42" s="3">
        <f>14-4</f>
        <v>10</v>
      </c>
    </row>
    <row r="43" spans="3:19">
      <c r="C43" s="87" t="s">
        <v>13</v>
      </c>
      <c r="E43" s="9">
        <v>365</v>
      </c>
      <c r="F43" s="3">
        <v>1.25</v>
      </c>
      <c r="G43" s="15" t="s">
        <v>79</v>
      </c>
      <c r="H43" s="16">
        <v>6.5</v>
      </c>
      <c r="I43" s="10" t="s">
        <v>302</v>
      </c>
      <c r="M43" s="203" t="s">
        <v>32</v>
      </c>
      <c r="N43" s="204"/>
      <c r="O43" s="9">
        <v>100</v>
      </c>
      <c r="P43" s="3">
        <v>0.95</v>
      </c>
      <c r="Q43" s="3" t="s">
        <v>301</v>
      </c>
      <c r="R43" s="3">
        <v>12.5</v>
      </c>
      <c r="S43" s="3">
        <f>20-4</f>
        <v>16</v>
      </c>
    </row>
    <row r="44" spans="3:19">
      <c r="C44" s="88" t="s">
        <v>14</v>
      </c>
      <c r="E44" s="9">
        <v>0</v>
      </c>
      <c r="F44" s="3" t="s">
        <v>78</v>
      </c>
      <c r="G44" s="15" t="s">
        <v>78</v>
      </c>
      <c r="H44" s="15" t="s">
        <v>78</v>
      </c>
      <c r="I44" s="15" t="s">
        <v>78</v>
      </c>
      <c r="M44" s="108" t="s">
        <v>34</v>
      </c>
      <c r="N44" s="109"/>
      <c r="O44" s="9">
        <v>50</v>
      </c>
      <c r="P44" s="3">
        <v>0.95</v>
      </c>
      <c r="Q44" s="3" t="s">
        <v>300</v>
      </c>
      <c r="R44" s="3">
        <f>R42</f>
        <v>12.5</v>
      </c>
      <c r="S44" s="3">
        <f>S42</f>
        <v>10</v>
      </c>
    </row>
    <row r="45" spans="3:19">
      <c r="C45" s="87" t="s">
        <v>15</v>
      </c>
      <c r="E45" s="9">
        <v>880</v>
      </c>
      <c r="F45" s="3">
        <v>1.25</v>
      </c>
      <c r="G45" s="15" t="s">
        <v>80</v>
      </c>
      <c r="H45" s="16">
        <v>4.25</v>
      </c>
      <c r="I45" s="10" t="s">
        <v>302</v>
      </c>
      <c r="M45" s="108" t="s">
        <v>35</v>
      </c>
      <c r="N45" s="109"/>
      <c r="O45" s="9">
        <v>50</v>
      </c>
      <c r="P45" s="3">
        <v>0.95</v>
      </c>
      <c r="Q45" s="3" t="s">
        <v>300</v>
      </c>
      <c r="R45" s="3">
        <f>R42</f>
        <v>12.5</v>
      </c>
      <c r="S45" s="3">
        <f>S42</f>
        <v>10</v>
      </c>
    </row>
    <row r="46" spans="3:19">
      <c r="C46" s="87" t="s">
        <v>17</v>
      </c>
      <c r="E46" s="9">
        <v>575</v>
      </c>
      <c r="F46" s="3">
        <v>1.25</v>
      </c>
      <c r="G46" s="15" t="s">
        <v>77</v>
      </c>
      <c r="H46" s="16">
        <v>7.75</v>
      </c>
      <c r="I46" s="10">
        <v>16</v>
      </c>
    </row>
    <row r="47" spans="3:19">
      <c r="C47" s="87" t="s">
        <v>18</v>
      </c>
      <c r="E47" s="9">
        <v>580</v>
      </c>
      <c r="F47" s="3">
        <v>1.25</v>
      </c>
      <c r="G47" s="15" t="s">
        <v>77</v>
      </c>
      <c r="H47" s="16">
        <v>7.8</v>
      </c>
      <c r="I47" s="10">
        <v>16</v>
      </c>
      <c r="M47" s="209" t="s">
        <v>316</v>
      </c>
      <c r="N47" s="210"/>
      <c r="O47" s="210"/>
      <c r="P47" s="210"/>
      <c r="Q47" s="210"/>
      <c r="R47" s="210"/>
      <c r="S47" s="210"/>
    </row>
    <row r="48" spans="3:19">
      <c r="C48" s="87" t="s">
        <v>19</v>
      </c>
      <c r="E48" s="9">
        <v>580</v>
      </c>
      <c r="F48" s="3">
        <v>1.25</v>
      </c>
      <c r="G48" s="15" t="s">
        <v>77</v>
      </c>
      <c r="H48" s="16">
        <v>7.8</v>
      </c>
      <c r="I48" s="10">
        <v>16</v>
      </c>
    </row>
    <row r="49" spans="3:16">
      <c r="C49" s="87" t="s">
        <v>20</v>
      </c>
      <c r="E49" s="9">
        <v>965</v>
      </c>
      <c r="F49" s="3">
        <v>1.8</v>
      </c>
      <c r="G49" s="15" t="s">
        <v>80</v>
      </c>
      <c r="H49" s="16">
        <v>5.5</v>
      </c>
      <c r="I49" s="10" t="s">
        <v>303</v>
      </c>
    </row>
    <row r="50" spans="3:16">
      <c r="C50" s="87" t="s">
        <v>21</v>
      </c>
      <c r="E50" s="9">
        <v>1375</v>
      </c>
      <c r="F50" s="3">
        <v>1.25</v>
      </c>
      <c r="G50" s="15" t="s">
        <v>81</v>
      </c>
      <c r="H50" s="16">
        <f>12.5*2</f>
        <v>25</v>
      </c>
      <c r="I50" s="10">
        <f>21+3</f>
        <v>24</v>
      </c>
    </row>
    <row r="51" spans="3:16">
      <c r="C51" s="88" t="s">
        <v>23</v>
      </c>
      <c r="E51" s="9">
        <v>54</v>
      </c>
      <c r="F51" s="3">
        <v>1.25</v>
      </c>
      <c r="G51" s="15" t="s">
        <v>82</v>
      </c>
      <c r="H51" s="16">
        <v>7</v>
      </c>
      <c r="I51" s="10" t="s">
        <v>304</v>
      </c>
    </row>
    <row r="52" spans="3:16" ht="15.75">
      <c r="C52" s="100" t="s">
        <v>83</v>
      </c>
      <c r="E52" s="9">
        <v>125</v>
      </c>
      <c r="F52" s="3">
        <v>1.8</v>
      </c>
      <c r="G52" s="15" t="s">
        <v>84</v>
      </c>
      <c r="H52" s="16">
        <v>10</v>
      </c>
      <c r="I52" s="10" t="s">
        <v>304</v>
      </c>
    </row>
    <row r="53" spans="3:16" ht="15.75">
      <c r="C53" s="89" t="s">
        <v>85</v>
      </c>
      <c r="E53" s="9">
        <v>300</v>
      </c>
      <c r="F53" s="3">
        <v>1.8</v>
      </c>
      <c r="G53" s="15" t="s">
        <v>86</v>
      </c>
      <c r="H53" s="16">
        <v>9</v>
      </c>
      <c r="I53" s="10" t="s">
        <v>304</v>
      </c>
    </row>
    <row r="54" spans="3:16" ht="15.75">
      <c r="C54" s="89" t="s">
        <v>87</v>
      </c>
      <c r="E54" s="9">
        <v>125</v>
      </c>
      <c r="F54" s="3">
        <v>1.8</v>
      </c>
      <c r="G54" s="15" t="s">
        <v>84</v>
      </c>
      <c r="H54" s="16">
        <f>H52</f>
        <v>10</v>
      </c>
      <c r="I54" s="10" t="str">
        <f>I52</f>
        <v>&lt;15</v>
      </c>
    </row>
    <row r="55" spans="3:16">
      <c r="C55" s="87" t="s">
        <v>26</v>
      </c>
      <c r="E55" s="9">
        <v>160</v>
      </c>
      <c r="F55" s="3">
        <v>1.25</v>
      </c>
      <c r="G55" s="15" t="s">
        <v>82</v>
      </c>
      <c r="H55" s="16">
        <v>12.5</v>
      </c>
      <c r="I55" s="10" t="s">
        <v>304</v>
      </c>
    </row>
    <row r="56" spans="3:16">
      <c r="C56" s="87" t="s">
        <v>28</v>
      </c>
      <c r="E56" s="9">
        <v>960</v>
      </c>
      <c r="F56" s="3">
        <v>1.8</v>
      </c>
      <c r="G56" s="15" t="s">
        <v>80</v>
      </c>
      <c r="H56" s="16">
        <v>5</v>
      </c>
      <c r="I56" s="10" t="s">
        <v>303</v>
      </c>
    </row>
    <row r="57" spans="3:16">
      <c r="C57" s="87" t="s">
        <v>29</v>
      </c>
      <c r="E57" s="9">
        <v>1580</v>
      </c>
      <c r="F57" s="3">
        <v>1.25</v>
      </c>
      <c r="G57" s="15" t="s">
        <v>81</v>
      </c>
      <c r="H57" s="16">
        <f>6*2</f>
        <v>12</v>
      </c>
      <c r="I57" s="10" t="s">
        <v>303</v>
      </c>
    </row>
    <row r="58" spans="3:16">
      <c r="C58" s="87" t="s">
        <v>30</v>
      </c>
      <c r="E58" s="9">
        <v>1770</v>
      </c>
      <c r="F58" s="3">
        <v>1.25</v>
      </c>
      <c r="G58" s="15" t="s">
        <v>81</v>
      </c>
      <c r="H58" s="16">
        <f>7*2</f>
        <v>14</v>
      </c>
      <c r="I58" s="10" t="s">
        <v>303</v>
      </c>
    </row>
    <row r="59" spans="3:16">
      <c r="C59" s="88" t="s">
        <v>36</v>
      </c>
      <c r="E59" s="9">
        <v>0</v>
      </c>
      <c r="F59" s="3" t="s">
        <v>78</v>
      </c>
      <c r="G59" s="3" t="s">
        <v>78</v>
      </c>
      <c r="H59" s="3" t="s">
        <v>78</v>
      </c>
      <c r="I59" s="3" t="s">
        <v>78</v>
      </c>
    </row>
    <row r="60" spans="3:16" ht="15.75" thickBot="1">
      <c r="C60" s="92" t="s">
        <v>37</v>
      </c>
      <c r="E60" s="9">
        <v>0</v>
      </c>
      <c r="F60" s="3" t="s">
        <v>78</v>
      </c>
      <c r="G60" s="3" t="s">
        <v>78</v>
      </c>
      <c r="H60" s="3" t="s">
        <v>78</v>
      </c>
      <c r="I60" s="3" t="s">
        <v>78</v>
      </c>
    </row>
    <row r="63" spans="3:16">
      <c r="H63" s="208" t="s">
        <v>298</v>
      </c>
      <c r="I63" s="208"/>
      <c r="J63" s="208"/>
      <c r="K63" s="208"/>
      <c r="L63" s="208"/>
      <c r="M63" s="208"/>
      <c r="N63" s="208"/>
      <c r="O63" s="208"/>
      <c r="P63" s="208"/>
    </row>
    <row r="64" spans="3:16">
      <c r="H64" s="208"/>
      <c r="I64" s="208"/>
      <c r="J64" s="208"/>
      <c r="K64" s="208"/>
      <c r="L64" s="208"/>
      <c r="M64" s="208"/>
      <c r="N64" s="208"/>
      <c r="O64" s="208"/>
      <c r="P64" s="208"/>
    </row>
  </sheetData>
  <mergeCells count="12">
    <mergeCell ref="M43:N43"/>
    <mergeCell ref="M38:S39"/>
    <mergeCell ref="M41:N41"/>
    <mergeCell ref="H63:P64"/>
    <mergeCell ref="M47:S47"/>
    <mergeCell ref="Q2:Q5"/>
    <mergeCell ref="K6:L6"/>
    <mergeCell ref="C2:J3"/>
    <mergeCell ref="C38:J39"/>
    <mergeCell ref="N2:O3"/>
    <mergeCell ref="N4:O5"/>
    <mergeCell ref="Q23:R25"/>
  </mergeCells>
  <phoneticPr fontId="11" type="noConversion"/>
  <hyperlinks>
    <hyperlink ref="M47" r:id="rId1" xr:uid="{83B5CC0C-FB7F-4C04-9757-6D4F3D9301A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1FA2-C029-4E72-9931-382F317B2854}">
  <dimension ref="A3:AI173"/>
  <sheetViews>
    <sheetView zoomScale="43" zoomScaleNormal="63" workbookViewId="0">
      <selection activeCell="AP48" sqref="AP48"/>
    </sheetView>
  </sheetViews>
  <sheetFormatPr baseColWidth="10" defaultColWidth="10.5703125" defaultRowHeight="15"/>
  <cols>
    <col min="2" max="2" width="14.5703125" customWidth="1"/>
    <col min="3" max="3" width="21" customWidth="1"/>
    <col min="4" max="4" width="14.42578125" customWidth="1"/>
    <col min="5" max="5" width="11.42578125" customWidth="1"/>
    <col min="6" max="6" width="12" bestFit="1" customWidth="1"/>
    <col min="8" max="8" width="10.5703125" bestFit="1" customWidth="1"/>
    <col min="9" max="9" width="12" bestFit="1" customWidth="1"/>
    <col min="10" max="10" width="17.42578125" bestFit="1" customWidth="1"/>
    <col min="11" max="11" width="10.5703125" bestFit="1" customWidth="1"/>
    <col min="13" max="13" width="10.5703125" bestFit="1" customWidth="1"/>
    <col min="16" max="16" width="18.42578125" customWidth="1"/>
    <col min="17" max="17" width="24.5703125" customWidth="1"/>
  </cols>
  <sheetData>
    <row r="3" spans="1:35">
      <c r="C3" s="210" t="s">
        <v>305</v>
      </c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</row>
    <row r="5" spans="1:35">
      <c r="B5" s="212" t="s">
        <v>92</v>
      </c>
      <c r="C5" s="212"/>
    </row>
    <row r="6" spans="1:35">
      <c r="B6" s="9" t="s">
        <v>93</v>
      </c>
      <c r="C6" s="9">
        <v>7</v>
      </c>
    </row>
    <row r="7" spans="1:35">
      <c r="B7" s="9" t="s">
        <v>94</v>
      </c>
      <c r="C7" s="9">
        <v>4</v>
      </c>
    </row>
    <row r="9" spans="1:35">
      <c r="A9" s="25" t="s">
        <v>95</v>
      </c>
      <c r="B9" s="211" t="s">
        <v>56</v>
      </c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4"/>
      <c r="P9" s="24"/>
      <c r="Q9" s="24"/>
      <c r="R9" s="24"/>
      <c r="S9" s="24"/>
      <c r="T9" s="24"/>
      <c r="U9" s="24"/>
      <c r="AH9" s="24"/>
      <c r="AI9" s="24"/>
    </row>
    <row r="10" spans="1:35">
      <c r="L10" s="11"/>
    </row>
    <row r="11" spans="1: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35" ht="45">
      <c r="A12" s="11"/>
      <c r="B12" s="10" t="s">
        <v>96</v>
      </c>
      <c r="C12" s="10" t="s">
        <v>97</v>
      </c>
      <c r="D12" s="10" t="s">
        <v>98</v>
      </c>
      <c r="E12" s="42" t="s">
        <v>99</v>
      </c>
      <c r="F12" s="20" t="s">
        <v>100</v>
      </c>
      <c r="G12" s="2" t="s">
        <v>101</v>
      </c>
      <c r="H12" s="2" t="s">
        <v>102</v>
      </c>
      <c r="I12" s="20" t="s">
        <v>103</v>
      </c>
      <c r="J12" s="20" t="s">
        <v>104</v>
      </c>
      <c r="K12" s="22" t="s">
        <v>105</v>
      </c>
      <c r="L12" s="20" t="s">
        <v>106</v>
      </c>
      <c r="M12" s="20" t="s">
        <v>107</v>
      </c>
      <c r="N12" s="11"/>
      <c r="O12" s="11" t="s">
        <v>46</v>
      </c>
    </row>
    <row r="13" spans="1:35">
      <c r="A13" s="11"/>
      <c r="B13" s="103" t="s">
        <v>108</v>
      </c>
      <c r="C13" s="10" t="str">
        <f>Données!B3</f>
        <v xml:space="preserve">1.COFFRE FORT </v>
      </c>
      <c r="D13" s="15">
        <f>2.42</f>
        <v>2.42</v>
      </c>
      <c r="E13" s="66">
        <f>Données!H3</f>
        <v>550</v>
      </c>
      <c r="F13" s="15">
        <f>E13/(3600*$C$7) * 10^6</f>
        <v>38194.444444444445</v>
      </c>
      <c r="G13" s="105" t="s">
        <v>109</v>
      </c>
      <c r="H13" s="15">
        <f>SQRT((4*F13)/PI())</f>
        <v>220.52364285005115</v>
      </c>
      <c r="I13" s="15">
        <v>0.54</v>
      </c>
      <c r="J13" s="15">
        <f>D13*I13</f>
        <v>1.3068</v>
      </c>
      <c r="K13" s="66" t="s">
        <v>11</v>
      </c>
      <c r="L13" s="15">
        <f>(PI()*250^2)/4</f>
        <v>49087.385212340516</v>
      </c>
      <c r="M13" s="15">
        <f>E13/(L13*10^-6)/3600</f>
        <v>3.1123633315748425</v>
      </c>
      <c r="N13" s="73"/>
      <c r="O13" s="27"/>
    </row>
    <row r="14" spans="1:35">
      <c r="A14" s="11"/>
      <c r="B14" s="103" t="s">
        <v>110</v>
      </c>
      <c r="C14" s="10" t="str">
        <f>Données!B4</f>
        <v>2.KITCHENETTE</v>
      </c>
      <c r="D14" s="15">
        <f>3.025</f>
        <v>3.0249999999999999</v>
      </c>
      <c r="E14" s="66">
        <f>Données!H4</f>
        <v>365</v>
      </c>
      <c r="F14" s="15">
        <f t="shared" ref="F14:F60" si="0">E14/(3600*$C$7) * 10^6</f>
        <v>25347.222222222223</v>
      </c>
      <c r="G14" s="15" t="s">
        <v>111</v>
      </c>
      <c r="H14" s="15"/>
      <c r="I14" s="15">
        <v>1</v>
      </c>
      <c r="J14" s="15">
        <f t="shared" ref="J14:J44" si="1">D14*I14</f>
        <v>3.0249999999999999</v>
      </c>
      <c r="K14" s="66" t="s">
        <v>486</v>
      </c>
      <c r="L14" s="15">
        <f>200*150</f>
        <v>30000</v>
      </c>
      <c r="M14" s="15">
        <f>E14/(L14*10^-6)/3600</f>
        <v>3.3796296296296298</v>
      </c>
      <c r="N14" s="73"/>
      <c r="O14" s="11"/>
    </row>
    <row r="15" spans="1:35">
      <c r="A15" s="11"/>
      <c r="B15" s="64" t="s">
        <v>112</v>
      </c>
      <c r="C15" s="10" t="str">
        <f>Données!B6</f>
        <v>4.Bureau 4</v>
      </c>
      <c r="D15" s="15">
        <f>1.525</f>
        <v>1.5249999999999999</v>
      </c>
      <c r="E15" s="66">
        <f>Données!H6</f>
        <v>880</v>
      </c>
      <c r="F15" s="15">
        <f t="shared" si="0"/>
        <v>61111.111111111109</v>
      </c>
      <c r="G15" s="15" t="s">
        <v>111</v>
      </c>
      <c r="H15" s="15"/>
      <c r="I15" s="15">
        <v>0.48</v>
      </c>
      <c r="J15" s="15">
        <f t="shared" si="1"/>
        <v>0.73199999999999998</v>
      </c>
      <c r="K15" s="66" t="s">
        <v>113</v>
      </c>
      <c r="L15" s="15">
        <f>200*400</f>
        <v>80000</v>
      </c>
      <c r="M15" s="15">
        <f>E15/(L15*10^-6)/3600</f>
        <v>3.0555555555555554</v>
      </c>
      <c r="N15" s="73"/>
      <c r="O15" s="11"/>
    </row>
    <row r="16" spans="1:35">
      <c r="A16" s="11"/>
      <c r="B16" s="103" t="s">
        <v>318</v>
      </c>
      <c r="C16" s="10" t="str">
        <f>C15</f>
        <v>4.Bureau 4</v>
      </c>
      <c r="D16" s="15">
        <v>4</v>
      </c>
      <c r="E16" s="66">
        <f>E15</f>
        <v>880</v>
      </c>
      <c r="F16" s="15">
        <f>F15</f>
        <v>61111.111111111109</v>
      </c>
      <c r="G16" s="15" t="s">
        <v>111</v>
      </c>
      <c r="H16" s="15"/>
      <c r="I16" s="110">
        <f>I15</f>
        <v>0.48</v>
      </c>
      <c r="J16" s="15">
        <f t="shared" si="1"/>
        <v>1.92</v>
      </c>
      <c r="K16" s="66" t="s">
        <v>113</v>
      </c>
      <c r="L16" s="15">
        <f>L15</f>
        <v>80000</v>
      </c>
      <c r="M16" s="15">
        <f>M15</f>
        <v>3.0555555555555554</v>
      </c>
      <c r="N16" s="73"/>
      <c r="O16" s="11"/>
    </row>
    <row r="17" spans="1:18">
      <c r="A17" s="11"/>
      <c r="B17" s="103" t="s">
        <v>114</v>
      </c>
      <c r="C17" s="10" t="str">
        <f>Données!B7</f>
        <v>5.Bureau5</v>
      </c>
      <c r="D17" s="15">
        <v>4.4375</v>
      </c>
      <c r="E17" s="66">
        <f>Données!H7</f>
        <v>575</v>
      </c>
      <c r="F17" s="15">
        <f t="shared" si="0"/>
        <v>39930.555555555555</v>
      </c>
      <c r="G17" s="15" t="s">
        <v>111</v>
      </c>
      <c r="H17" s="15"/>
      <c r="I17" s="15">
        <v>0.44</v>
      </c>
      <c r="J17" s="15">
        <f t="shared" si="1"/>
        <v>1.9524999999999999</v>
      </c>
      <c r="K17" s="66" t="s">
        <v>115</v>
      </c>
      <c r="L17" s="15">
        <f>200*300</f>
        <v>60000</v>
      </c>
      <c r="M17" s="15">
        <f t="shared" ref="M17:M61" si="2">E17/(L17*10^-6)/3600</f>
        <v>2.6620370370370372</v>
      </c>
      <c r="N17" s="73"/>
      <c r="O17" s="11"/>
      <c r="R17" t="s">
        <v>117</v>
      </c>
    </row>
    <row r="18" spans="1:18">
      <c r="A18" s="11"/>
      <c r="B18" s="103" t="s">
        <v>116</v>
      </c>
      <c r="C18" s="10" t="str">
        <f>Données!B8</f>
        <v>6.Bureau 6</v>
      </c>
      <c r="D18" s="15">
        <v>4.4375</v>
      </c>
      <c r="E18" s="66">
        <f>Données!H8</f>
        <v>580</v>
      </c>
      <c r="F18" s="15">
        <f t="shared" si="0"/>
        <v>40277.777777777781</v>
      </c>
      <c r="G18" s="15" t="s">
        <v>111</v>
      </c>
      <c r="H18" s="15"/>
      <c r="I18" s="15">
        <v>0.44</v>
      </c>
      <c r="J18" s="15">
        <f t="shared" si="1"/>
        <v>1.9524999999999999</v>
      </c>
      <c r="K18" s="66" t="s">
        <v>115</v>
      </c>
      <c r="L18" s="15">
        <f>200*300</f>
        <v>60000</v>
      </c>
      <c r="M18" s="15">
        <f t="shared" si="2"/>
        <v>2.6851851851851856</v>
      </c>
      <c r="N18" s="73"/>
      <c r="O18" s="11"/>
    </row>
    <row r="19" spans="1:18">
      <c r="A19" s="11"/>
      <c r="B19" s="103" t="s">
        <v>118</v>
      </c>
      <c r="C19" s="10" t="str">
        <f>Données!B9</f>
        <v>7.Bureau 7</v>
      </c>
      <c r="D19" s="15">
        <f>4.4375</f>
        <v>4.4375</v>
      </c>
      <c r="E19" s="66">
        <f>Données!H9</f>
        <v>580</v>
      </c>
      <c r="F19" s="15">
        <f t="shared" si="0"/>
        <v>40277.777777777781</v>
      </c>
      <c r="G19" s="15" t="s">
        <v>111</v>
      </c>
      <c r="H19" s="15"/>
      <c r="I19" s="15">
        <v>0.44</v>
      </c>
      <c r="J19" s="15">
        <f t="shared" si="1"/>
        <v>1.9524999999999999</v>
      </c>
      <c r="K19" s="66" t="s">
        <v>115</v>
      </c>
      <c r="L19" s="15">
        <f>200*300</f>
        <v>60000</v>
      </c>
      <c r="M19" s="15">
        <f t="shared" si="2"/>
        <v>2.6851851851851856</v>
      </c>
      <c r="N19" s="73"/>
      <c r="O19" s="11"/>
    </row>
    <row r="20" spans="1:18">
      <c r="A20" s="11"/>
      <c r="B20" s="103" t="s">
        <v>119</v>
      </c>
      <c r="C20" s="33" t="str">
        <f>Données!B10</f>
        <v>8.SDR</v>
      </c>
      <c r="D20" s="66">
        <f>3.4875</f>
        <v>3.4874999999999998</v>
      </c>
      <c r="E20" s="66">
        <f>Données!H10</f>
        <v>965</v>
      </c>
      <c r="F20" s="15">
        <f t="shared" si="0"/>
        <v>67013.888888888891</v>
      </c>
      <c r="G20" s="15" t="s">
        <v>109</v>
      </c>
      <c r="H20" s="15">
        <f>SQRT((4*F20)/PI())</f>
        <v>292.10397700103584</v>
      </c>
      <c r="I20" s="15">
        <v>0.48</v>
      </c>
      <c r="J20" s="15">
        <f t="shared" si="1"/>
        <v>1.6739999999999999</v>
      </c>
      <c r="K20" s="66" t="s">
        <v>16</v>
      </c>
      <c r="L20" s="66">
        <f>(PI()*315^2)/4</f>
        <v>77931.132763111804</v>
      </c>
      <c r="M20" s="15">
        <f t="shared" si="2"/>
        <v>3.439646596314303</v>
      </c>
      <c r="N20" s="73"/>
      <c r="O20" s="11"/>
    </row>
    <row r="21" spans="1:18">
      <c r="A21" s="11"/>
      <c r="B21" s="18" t="s">
        <v>120</v>
      </c>
      <c r="C21" s="10" t="str">
        <f>C20</f>
        <v>8.SDR</v>
      </c>
      <c r="D21" s="15">
        <v>1.47</v>
      </c>
      <c r="E21" s="66">
        <f>E20</f>
        <v>965</v>
      </c>
      <c r="F21" s="15">
        <f t="shared" si="0"/>
        <v>67013.888888888891</v>
      </c>
      <c r="G21" s="15" t="s">
        <v>109</v>
      </c>
      <c r="H21" s="15">
        <f>SQRT((4*F21)/PI())</f>
        <v>292.10397700103584</v>
      </c>
      <c r="I21" s="15">
        <v>0.48</v>
      </c>
      <c r="J21" s="15">
        <f t="shared" si="1"/>
        <v>0.7056</v>
      </c>
      <c r="K21" s="66" t="s">
        <v>16</v>
      </c>
      <c r="L21" s="15">
        <f>(PI()*315^2)/4</f>
        <v>77931.132763111804</v>
      </c>
      <c r="M21" s="15">
        <f t="shared" si="2"/>
        <v>3.439646596314303</v>
      </c>
      <c r="N21" s="73"/>
      <c r="O21" s="11"/>
    </row>
    <row r="22" spans="1:18">
      <c r="A22" s="11"/>
      <c r="B22" s="18" t="s">
        <v>121</v>
      </c>
      <c r="C22" s="10" t="s">
        <v>21</v>
      </c>
      <c r="D22" s="15">
        <v>5.7625000000000002</v>
      </c>
      <c r="E22" s="66">
        <f>E14+E13</f>
        <v>915</v>
      </c>
      <c r="F22" s="15">
        <f t="shared" si="0"/>
        <v>63541.666666666664</v>
      </c>
      <c r="G22" s="15" t="s">
        <v>111</v>
      </c>
      <c r="H22" s="15"/>
      <c r="I22" s="15">
        <v>0.25</v>
      </c>
      <c r="J22" s="15">
        <f t="shared" si="1"/>
        <v>1.440625</v>
      </c>
      <c r="K22" s="66" t="s">
        <v>122</v>
      </c>
      <c r="L22" s="15">
        <f>200*600</f>
        <v>120000</v>
      </c>
      <c r="M22" s="15">
        <f t="shared" si="2"/>
        <v>2.1180555555555554</v>
      </c>
      <c r="N22" s="73"/>
      <c r="O22" s="11"/>
    </row>
    <row r="23" spans="1:18">
      <c r="A23" s="11"/>
      <c r="B23" s="18" t="s">
        <v>123</v>
      </c>
      <c r="C23" s="10" t="s">
        <v>21</v>
      </c>
      <c r="D23" s="15">
        <v>1.375</v>
      </c>
      <c r="E23" s="66">
        <f>E25+E17</f>
        <v>2370</v>
      </c>
      <c r="F23" s="15">
        <f t="shared" si="0"/>
        <v>164583.33333333334</v>
      </c>
      <c r="G23" s="15" t="s">
        <v>111</v>
      </c>
      <c r="H23" s="15"/>
      <c r="I23" s="15">
        <v>0.42</v>
      </c>
      <c r="J23" s="15">
        <f t="shared" si="1"/>
        <v>0.57750000000000001</v>
      </c>
      <c r="K23" s="66" t="s">
        <v>124</v>
      </c>
      <c r="L23" s="15">
        <f>300*600</f>
        <v>180000</v>
      </c>
      <c r="M23" s="15">
        <f t="shared" si="2"/>
        <v>3.6574074074074079</v>
      </c>
      <c r="N23" s="73"/>
      <c r="O23" s="11"/>
    </row>
    <row r="24" spans="1:18">
      <c r="A24" s="11"/>
      <c r="B24" s="103" t="s">
        <v>125</v>
      </c>
      <c r="C24" s="10" t="s">
        <v>21</v>
      </c>
      <c r="D24" s="15">
        <v>0.1875</v>
      </c>
      <c r="E24" s="66">
        <f>Données!H11/2</f>
        <v>687.5</v>
      </c>
      <c r="F24" s="15">
        <f t="shared" si="0"/>
        <v>47743.055555555555</v>
      </c>
      <c r="G24" s="15" t="s">
        <v>111</v>
      </c>
      <c r="H24" s="15"/>
      <c r="I24" s="15">
        <v>0.9</v>
      </c>
      <c r="J24" s="15">
        <f t="shared" si="1"/>
        <v>0.16875000000000001</v>
      </c>
      <c r="K24" s="66" t="s">
        <v>409</v>
      </c>
      <c r="L24" s="15">
        <f>250*200</f>
        <v>50000</v>
      </c>
      <c r="M24" s="15">
        <f t="shared" si="2"/>
        <v>3.8194444444444451</v>
      </c>
      <c r="N24" s="73"/>
      <c r="O24" s="11"/>
    </row>
    <row r="25" spans="1:18">
      <c r="A25" s="11"/>
      <c r="B25" s="18" t="s">
        <v>126</v>
      </c>
      <c r="C25" s="10" t="s">
        <v>21</v>
      </c>
      <c r="D25" s="15">
        <f>1.375</f>
        <v>1.375</v>
      </c>
      <c r="E25" s="66">
        <f>E22+E15</f>
        <v>1795</v>
      </c>
      <c r="F25" s="15">
        <f t="shared" si="0"/>
        <v>124652.77777777778</v>
      </c>
      <c r="G25" s="15" t="s">
        <v>111</v>
      </c>
      <c r="H25" s="15"/>
      <c r="I25" s="15">
        <v>0.5</v>
      </c>
      <c r="J25" s="15">
        <f t="shared" si="1"/>
        <v>0.6875</v>
      </c>
      <c r="K25" s="66" t="s">
        <v>127</v>
      </c>
      <c r="L25" s="15">
        <f>250*500</f>
        <v>125000</v>
      </c>
      <c r="M25" s="15">
        <f t="shared" si="2"/>
        <v>3.9888888888888889</v>
      </c>
      <c r="N25" s="73"/>
      <c r="O25" s="11"/>
    </row>
    <row r="26" spans="1:18">
      <c r="A26" s="11"/>
      <c r="B26" s="46" t="s">
        <v>128</v>
      </c>
      <c r="C26" s="10" t="s">
        <v>21</v>
      </c>
      <c r="D26" s="15">
        <v>5.6</v>
      </c>
      <c r="E26" s="66">
        <f>E23+E24</f>
        <v>3057.5</v>
      </c>
      <c r="F26" s="15">
        <f t="shared" si="0"/>
        <v>212326.38888888888</v>
      </c>
      <c r="G26" s="15" t="s">
        <v>111</v>
      </c>
      <c r="H26" s="15"/>
      <c r="I26" s="15">
        <v>0.35</v>
      </c>
      <c r="J26" s="15">
        <f t="shared" si="1"/>
        <v>1.9599999999999997</v>
      </c>
      <c r="K26" s="66" t="s">
        <v>129</v>
      </c>
      <c r="L26" s="15">
        <f>300*800</f>
        <v>240000</v>
      </c>
      <c r="M26" s="15">
        <f t="shared" si="2"/>
        <v>3.5387731481481484</v>
      </c>
      <c r="N26" s="73"/>
      <c r="O26" s="11"/>
    </row>
    <row r="27" spans="1:18">
      <c r="A27" s="11"/>
      <c r="B27" s="18" t="s">
        <v>130</v>
      </c>
      <c r="C27" s="10" t="s">
        <v>21</v>
      </c>
      <c r="D27" s="15">
        <v>0.75</v>
      </c>
      <c r="E27" s="66">
        <f>E26+E18</f>
        <v>3637.5</v>
      </c>
      <c r="F27" s="15">
        <f t="shared" si="0"/>
        <v>252604.16666666669</v>
      </c>
      <c r="G27" s="15" t="s">
        <v>111</v>
      </c>
      <c r="H27" s="15"/>
      <c r="I27" s="15">
        <v>0.28000000000000003</v>
      </c>
      <c r="J27" s="15">
        <f t="shared" si="1"/>
        <v>0.21000000000000002</v>
      </c>
      <c r="K27" s="66" t="s">
        <v>131</v>
      </c>
      <c r="L27" s="15">
        <f>300*1000</f>
        <v>300000</v>
      </c>
      <c r="M27" s="15">
        <f t="shared" si="2"/>
        <v>3.3680555555555554</v>
      </c>
      <c r="N27" s="73"/>
      <c r="O27" s="11"/>
    </row>
    <row r="28" spans="1:18">
      <c r="A28" s="11"/>
      <c r="B28" s="18" t="s">
        <v>132</v>
      </c>
      <c r="C28" s="10" t="s">
        <v>21</v>
      </c>
      <c r="D28" s="15">
        <v>2.3250000000000002</v>
      </c>
      <c r="E28" s="66">
        <f>E27</f>
        <v>3637.5</v>
      </c>
      <c r="F28" s="15">
        <f t="shared" si="0"/>
        <v>252604.16666666669</v>
      </c>
      <c r="G28" s="15" t="s">
        <v>111</v>
      </c>
      <c r="H28" s="15"/>
      <c r="I28" s="15">
        <v>0.28000000000000003</v>
      </c>
      <c r="J28" s="15">
        <f t="shared" si="1"/>
        <v>0.65100000000000013</v>
      </c>
      <c r="K28" s="66" t="s">
        <v>131</v>
      </c>
      <c r="L28" s="15">
        <f>300*1000</f>
        <v>300000</v>
      </c>
      <c r="M28" s="15">
        <f t="shared" si="2"/>
        <v>3.3680555555555554</v>
      </c>
      <c r="N28" s="73"/>
      <c r="O28" s="11"/>
    </row>
    <row r="29" spans="1:18">
      <c r="A29" s="11"/>
      <c r="B29" s="18" t="s">
        <v>133</v>
      </c>
      <c r="C29" s="10" t="s">
        <v>21</v>
      </c>
      <c r="D29" s="15">
        <v>2.25</v>
      </c>
      <c r="E29" s="66">
        <f>E21+E35+E19+E31</f>
        <v>2286.5</v>
      </c>
      <c r="F29" s="15">
        <f t="shared" si="0"/>
        <v>158784.72222222222</v>
      </c>
      <c r="G29" s="15" t="s">
        <v>111</v>
      </c>
      <c r="H29" s="15"/>
      <c r="I29" s="15">
        <v>0.28000000000000003</v>
      </c>
      <c r="J29" s="15">
        <f t="shared" si="1"/>
        <v>0.63000000000000012</v>
      </c>
      <c r="K29" s="66" t="s">
        <v>134</v>
      </c>
      <c r="L29" s="15">
        <f>200*800</f>
        <v>160000</v>
      </c>
      <c r="M29" s="15">
        <f t="shared" si="2"/>
        <v>3.9696180555555554</v>
      </c>
      <c r="N29" s="73"/>
      <c r="O29" s="11"/>
    </row>
    <row r="30" spans="1:18">
      <c r="A30" s="11"/>
      <c r="B30" s="18" t="s">
        <v>135</v>
      </c>
      <c r="C30" s="10" t="s">
        <v>21</v>
      </c>
      <c r="D30" s="15">
        <v>1.5</v>
      </c>
      <c r="E30" s="66">
        <f>E29</f>
        <v>2286.5</v>
      </c>
      <c r="F30" s="15">
        <f t="shared" si="0"/>
        <v>158784.72222222222</v>
      </c>
      <c r="G30" s="15" t="s">
        <v>111</v>
      </c>
      <c r="H30" s="15"/>
      <c r="I30" s="15">
        <v>0.28000000000000003</v>
      </c>
      <c r="J30" s="15">
        <f t="shared" si="1"/>
        <v>0.42000000000000004</v>
      </c>
      <c r="K30" s="66" t="s">
        <v>134</v>
      </c>
      <c r="L30" s="15">
        <f>200*800</f>
        <v>160000</v>
      </c>
      <c r="M30" s="15">
        <f t="shared" si="2"/>
        <v>3.9696180555555554</v>
      </c>
      <c r="N30" s="73"/>
      <c r="O30" s="11"/>
    </row>
    <row r="31" spans="1:18">
      <c r="A31" s="11"/>
      <c r="B31" s="104" t="s">
        <v>136</v>
      </c>
      <c r="C31" s="10" t="s">
        <v>21</v>
      </c>
      <c r="D31" s="15">
        <v>0.1875</v>
      </c>
      <c r="E31" s="66">
        <f>Données!H11/2</f>
        <v>687.5</v>
      </c>
      <c r="F31" s="15">
        <f>E31/(3600*$C$7) * 10^6</f>
        <v>47743.055555555555</v>
      </c>
      <c r="G31" s="15" t="s">
        <v>111</v>
      </c>
      <c r="H31" s="15"/>
      <c r="I31" s="15">
        <v>0.9</v>
      </c>
      <c r="J31" s="15">
        <f t="shared" si="1"/>
        <v>0.16875000000000001</v>
      </c>
      <c r="K31" s="66" t="s">
        <v>409</v>
      </c>
      <c r="L31" s="15">
        <f>250*200</f>
        <v>50000</v>
      </c>
      <c r="M31" s="15">
        <f t="shared" si="2"/>
        <v>3.8194444444444451</v>
      </c>
      <c r="N31" s="73"/>
      <c r="O31" s="11"/>
    </row>
    <row r="32" spans="1:18">
      <c r="A32" s="11"/>
      <c r="B32" s="18" t="s">
        <v>137</v>
      </c>
      <c r="C32" s="10" t="s">
        <v>21</v>
      </c>
      <c r="D32" s="15">
        <v>1.5</v>
      </c>
      <c r="E32" s="66">
        <f>E19+E35+E20</f>
        <v>1599</v>
      </c>
      <c r="F32" s="15">
        <f t="shared" si="0"/>
        <v>111041.66666666666</v>
      </c>
      <c r="G32" s="15" t="s">
        <v>111</v>
      </c>
      <c r="H32" s="15"/>
      <c r="I32" s="15">
        <v>0.3</v>
      </c>
      <c r="J32" s="73">
        <f t="shared" si="1"/>
        <v>0.44999999999999996</v>
      </c>
      <c r="K32" s="66" t="s">
        <v>134</v>
      </c>
      <c r="L32" s="15">
        <f>200*800</f>
        <v>160000</v>
      </c>
      <c r="M32" s="15">
        <f t="shared" si="2"/>
        <v>2.7760416666666665</v>
      </c>
      <c r="N32" s="73"/>
      <c r="O32" s="11"/>
    </row>
    <row r="33" spans="1:15">
      <c r="A33" s="39"/>
      <c r="B33" s="18" t="s">
        <v>138</v>
      </c>
      <c r="C33" s="10" t="s">
        <v>21</v>
      </c>
      <c r="D33" s="15">
        <v>0.9</v>
      </c>
      <c r="E33" s="66">
        <f>E21+E35</f>
        <v>1019</v>
      </c>
      <c r="F33" s="15">
        <f t="shared" si="0"/>
        <v>70763.888888888891</v>
      </c>
      <c r="G33" s="15" t="s">
        <v>111</v>
      </c>
      <c r="H33" s="15"/>
      <c r="I33" s="15">
        <v>0.36</v>
      </c>
      <c r="J33" s="15">
        <f t="shared" si="1"/>
        <v>0.32400000000000001</v>
      </c>
      <c r="K33" s="66" t="s">
        <v>122</v>
      </c>
      <c r="L33" s="15">
        <f>200*600</f>
        <v>120000</v>
      </c>
      <c r="M33" s="15">
        <f t="shared" si="2"/>
        <v>2.3587962962962967</v>
      </c>
      <c r="N33" s="106"/>
      <c r="O33" s="11"/>
    </row>
    <row r="34" spans="1:15">
      <c r="A34" s="11"/>
      <c r="B34" s="18" t="s">
        <v>139</v>
      </c>
      <c r="C34" s="10" t="s">
        <v>21</v>
      </c>
      <c r="D34" s="15">
        <v>0.97499999999999998</v>
      </c>
      <c r="E34" s="66">
        <f>E21</f>
        <v>965</v>
      </c>
      <c r="F34" s="15">
        <f t="shared" si="0"/>
        <v>67013.888888888891</v>
      </c>
      <c r="G34" s="15" t="s">
        <v>111</v>
      </c>
      <c r="H34" s="15"/>
      <c r="I34" s="15">
        <v>0.55000000000000004</v>
      </c>
      <c r="J34" s="15">
        <f t="shared" si="1"/>
        <v>0.53625</v>
      </c>
      <c r="K34" s="66" t="s">
        <v>113</v>
      </c>
      <c r="L34" s="15">
        <f>200*400</f>
        <v>80000</v>
      </c>
      <c r="M34" s="15">
        <f t="shared" si="2"/>
        <v>3.3506944444444446</v>
      </c>
      <c r="N34" s="73"/>
      <c r="O34" s="11"/>
    </row>
    <row r="35" spans="1:15">
      <c r="A35" s="11"/>
      <c r="B35" s="103" t="s">
        <v>140</v>
      </c>
      <c r="C35" s="10" t="str">
        <f>Données!B12</f>
        <v>10.Approvisionnement</v>
      </c>
      <c r="D35" s="15">
        <f>2.6875</f>
        <v>2.6875</v>
      </c>
      <c r="E35" s="66">
        <v>54</v>
      </c>
      <c r="F35" s="15">
        <f t="shared" si="0"/>
        <v>3750</v>
      </c>
      <c r="G35" s="15" t="s">
        <v>111</v>
      </c>
      <c r="H35" s="15"/>
      <c r="I35" s="15">
        <v>0.14000000000000001</v>
      </c>
      <c r="J35" s="15">
        <f t="shared" si="1"/>
        <v>0.37625000000000003</v>
      </c>
      <c r="K35" s="66" t="s">
        <v>307</v>
      </c>
      <c r="L35" s="15">
        <f>100*200</f>
        <v>20000</v>
      </c>
      <c r="M35" s="15">
        <f t="shared" si="2"/>
        <v>0.75</v>
      </c>
      <c r="N35" s="73"/>
      <c r="O35" s="11"/>
    </row>
    <row r="36" spans="1:15">
      <c r="A36" s="11"/>
      <c r="B36" s="103" t="s">
        <v>141</v>
      </c>
      <c r="C36" s="10" t="s">
        <v>384</v>
      </c>
      <c r="D36" s="15">
        <v>0.9</v>
      </c>
      <c r="E36" s="66">
        <v>125</v>
      </c>
      <c r="F36" s="15">
        <f t="shared" si="0"/>
        <v>8680.5555555555566</v>
      </c>
      <c r="G36" s="15" t="s">
        <v>109</v>
      </c>
      <c r="H36" s="15">
        <f t="shared" ref="H36:H43" si="3">SQRT((4*F36)/PI())</f>
        <v>105.13052175084</v>
      </c>
      <c r="I36" s="15">
        <v>0.9</v>
      </c>
      <c r="J36" s="15">
        <f t="shared" si="1"/>
        <v>0.81</v>
      </c>
      <c r="K36" s="66" t="s">
        <v>27</v>
      </c>
      <c r="L36" s="15">
        <f>(PI()*125^2)/4</f>
        <v>12271.846303085129</v>
      </c>
      <c r="M36" s="15">
        <f t="shared" si="2"/>
        <v>2.8294212105225847</v>
      </c>
      <c r="N36" s="73"/>
      <c r="O36" s="11"/>
    </row>
    <row r="37" spans="1:15">
      <c r="A37" s="11"/>
      <c r="B37" s="46" t="s">
        <v>142</v>
      </c>
      <c r="C37" s="10" t="str">
        <f>C36</f>
        <v>11. Entrée droite</v>
      </c>
      <c r="D37" s="107">
        <v>0.2</v>
      </c>
      <c r="E37" s="66">
        <v>125</v>
      </c>
      <c r="F37" s="15">
        <f t="shared" si="0"/>
        <v>8680.5555555555566</v>
      </c>
      <c r="G37" s="15" t="s">
        <v>109</v>
      </c>
      <c r="H37" s="15">
        <f t="shared" si="3"/>
        <v>105.13052175084</v>
      </c>
      <c r="I37" s="107">
        <v>0.9</v>
      </c>
      <c r="J37" s="107">
        <f t="shared" si="1"/>
        <v>0.18000000000000002</v>
      </c>
      <c r="K37" s="145" t="s">
        <v>27</v>
      </c>
      <c r="L37" s="15">
        <f>(PI()*125^2)/4</f>
        <v>12271.846303085129</v>
      </c>
      <c r="M37" s="15">
        <f t="shared" si="2"/>
        <v>2.8294212105225847</v>
      </c>
      <c r="N37" s="73"/>
      <c r="O37" s="11"/>
    </row>
    <row r="38" spans="1:15">
      <c r="A38" s="11"/>
      <c r="B38" s="103" t="s">
        <v>143</v>
      </c>
      <c r="C38" s="10" t="s">
        <v>144</v>
      </c>
      <c r="D38" s="15">
        <v>0.2</v>
      </c>
      <c r="E38" s="66">
        <v>300</v>
      </c>
      <c r="F38" s="15">
        <f t="shared" si="0"/>
        <v>20833.333333333332</v>
      </c>
      <c r="G38" s="15" t="s">
        <v>109</v>
      </c>
      <c r="H38" s="15">
        <f t="shared" si="3"/>
        <v>162.86750396763998</v>
      </c>
      <c r="I38" s="15">
        <v>0.54</v>
      </c>
      <c r="J38" s="15">
        <f t="shared" si="1"/>
        <v>0.10800000000000001</v>
      </c>
      <c r="K38" s="66" t="s">
        <v>145</v>
      </c>
      <c r="L38" s="15">
        <f>(PI()*200^2)/4</f>
        <v>31415.926535897932</v>
      </c>
      <c r="M38" s="15">
        <f t="shared" si="2"/>
        <v>2.6525823848649219</v>
      </c>
      <c r="N38" s="73"/>
      <c r="O38" s="11"/>
    </row>
    <row r="39" spans="1:15">
      <c r="A39" s="11"/>
      <c r="B39" s="18" t="s">
        <v>146</v>
      </c>
      <c r="C39" s="10" t="str">
        <f>C38</f>
        <v>12. Entrée principale</v>
      </c>
      <c r="D39" s="15">
        <v>3.7</v>
      </c>
      <c r="E39" s="66">
        <v>125</v>
      </c>
      <c r="F39" s="15">
        <f t="shared" si="0"/>
        <v>8680.5555555555566</v>
      </c>
      <c r="G39" s="15" t="s">
        <v>109</v>
      </c>
      <c r="H39" s="15">
        <f t="shared" si="3"/>
        <v>105.13052175084</v>
      </c>
      <c r="I39" s="15">
        <v>0.9</v>
      </c>
      <c r="J39" s="15">
        <f t="shared" si="1"/>
        <v>3.33</v>
      </c>
      <c r="K39" s="66" t="s">
        <v>27</v>
      </c>
      <c r="L39" s="15">
        <f>(PI()*125^2)/4</f>
        <v>12271.846303085129</v>
      </c>
      <c r="M39" s="15">
        <f t="shared" si="2"/>
        <v>2.8294212105225847</v>
      </c>
      <c r="N39" s="73"/>
      <c r="O39" s="11"/>
    </row>
    <row r="40" spans="1:15">
      <c r="A40" s="11"/>
      <c r="B40" s="18" t="s">
        <v>147</v>
      </c>
      <c r="C40" s="10" t="str">
        <f>C39</f>
        <v>12. Entrée principale</v>
      </c>
      <c r="D40" s="15">
        <v>0.7</v>
      </c>
      <c r="E40" s="66">
        <f>E38+E39</f>
        <v>425</v>
      </c>
      <c r="F40" s="15">
        <f t="shared" si="0"/>
        <v>29513.888888888887</v>
      </c>
      <c r="G40" s="15" t="s">
        <v>109</v>
      </c>
      <c r="H40" s="15">
        <f t="shared" si="3"/>
        <v>193.85110382005325</v>
      </c>
      <c r="I40" s="15">
        <v>1</v>
      </c>
      <c r="J40" s="15">
        <f t="shared" si="1"/>
        <v>0.7</v>
      </c>
      <c r="K40" s="66" t="s">
        <v>145</v>
      </c>
      <c r="L40" s="15">
        <f>(PI()*200^2)/4</f>
        <v>31415.926535897932</v>
      </c>
      <c r="M40" s="15">
        <f t="shared" si="2"/>
        <v>3.7578250452253061</v>
      </c>
      <c r="N40" s="73"/>
      <c r="O40" s="11"/>
    </row>
    <row r="41" spans="1:15">
      <c r="A41" s="11"/>
      <c r="B41" s="103" t="s">
        <v>148</v>
      </c>
      <c r="C41" s="10" t="s">
        <v>385</v>
      </c>
      <c r="D41" s="15">
        <v>0.92</v>
      </c>
      <c r="E41" s="66">
        <f>125</f>
        <v>125</v>
      </c>
      <c r="F41" s="15">
        <f t="shared" si="0"/>
        <v>8680.5555555555566</v>
      </c>
      <c r="G41" s="15" t="s">
        <v>109</v>
      </c>
      <c r="H41" s="15">
        <f t="shared" si="3"/>
        <v>105.13052175084</v>
      </c>
      <c r="I41" s="15">
        <v>0.9</v>
      </c>
      <c r="J41" s="15">
        <f t="shared" si="1"/>
        <v>0.82800000000000007</v>
      </c>
      <c r="K41" s="66" t="s">
        <v>27</v>
      </c>
      <c r="L41" s="15">
        <f>(PI()*125^2)/4</f>
        <v>12271.846303085129</v>
      </c>
      <c r="M41" s="15">
        <f t="shared" si="2"/>
        <v>2.8294212105225847</v>
      </c>
      <c r="N41" s="73"/>
      <c r="O41" s="11"/>
    </row>
    <row r="42" spans="1:15">
      <c r="A42" s="11"/>
      <c r="B42" s="18" t="s">
        <v>149</v>
      </c>
      <c r="C42" s="10" t="str">
        <f>C41</f>
        <v>13. Entrée gauche</v>
      </c>
      <c r="D42" s="15">
        <v>0.2</v>
      </c>
      <c r="E42" s="66">
        <f>E38+E36+E41</f>
        <v>550</v>
      </c>
      <c r="F42" s="15">
        <f t="shared" si="0"/>
        <v>38194.444444444445</v>
      </c>
      <c r="G42" s="15" t="s">
        <v>109</v>
      </c>
      <c r="H42" s="15">
        <f t="shared" si="3"/>
        <v>220.52364285005115</v>
      </c>
      <c r="I42" s="15">
        <v>0.55000000000000004</v>
      </c>
      <c r="J42" s="15">
        <f t="shared" si="1"/>
        <v>0.11000000000000001</v>
      </c>
      <c r="K42" s="66" t="s">
        <v>11</v>
      </c>
      <c r="L42" s="15">
        <f t="shared" ref="L42" si="4">(PI()*250^2)/4</f>
        <v>49087.385212340516</v>
      </c>
      <c r="M42" s="15">
        <f t="shared" si="2"/>
        <v>3.1123633315748425</v>
      </c>
      <c r="N42" s="73"/>
      <c r="O42" s="11"/>
    </row>
    <row r="43" spans="1:15">
      <c r="A43" s="11"/>
      <c r="B43" s="18" t="s">
        <v>150</v>
      </c>
      <c r="C43" s="10" t="str">
        <f>C41</f>
        <v>13. Entrée gauche</v>
      </c>
      <c r="D43" s="15">
        <v>1.125</v>
      </c>
      <c r="E43" s="66">
        <f>E40</f>
        <v>425</v>
      </c>
      <c r="F43" s="15">
        <f t="shared" si="0"/>
        <v>29513.888888888887</v>
      </c>
      <c r="G43" s="15" t="s">
        <v>109</v>
      </c>
      <c r="H43" s="15">
        <f t="shared" si="3"/>
        <v>193.85110382005325</v>
      </c>
      <c r="I43" s="15">
        <v>1</v>
      </c>
      <c r="J43" s="15">
        <f t="shared" si="1"/>
        <v>1.125</v>
      </c>
      <c r="K43" s="66" t="s">
        <v>145</v>
      </c>
      <c r="L43" s="15">
        <f>(PI()*200^2)/4</f>
        <v>31415.926535897932</v>
      </c>
      <c r="M43" s="15">
        <f t="shared" si="2"/>
        <v>3.7578250452253061</v>
      </c>
      <c r="N43" s="73"/>
      <c r="O43" s="11"/>
    </row>
    <row r="44" spans="1:15">
      <c r="A44" s="11"/>
      <c r="B44" s="103" t="s">
        <v>151</v>
      </c>
      <c r="C44" s="10" t="str">
        <f>Données!B14</f>
        <v>14.Distrib</v>
      </c>
      <c r="D44" s="73">
        <v>1.9750000000000001</v>
      </c>
      <c r="E44" s="106">
        <f>'Bouche GP-GE '!E22</f>
        <v>160</v>
      </c>
      <c r="F44" s="15">
        <f t="shared" si="0"/>
        <v>11111.111111111111</v>
      </c>
      <c r="G44" s="15" t="s">
        <v>111</v>
      </c>
      <c r="H44" s="15"/>
      <c r="I44" s="15">
        <v>0.6</v>
      </c>
      <c r="J44" s="15">
        <f t="shared" si="1"/>
        <v>1.1850000000000001</v>
      </c>
      <c r="K44" s="66" t="s">
        <v>307</v>
      </c>
      <c r="L44" s="15">
        <f>200*100</f>
        <v>20000</v>
      </c>
      <c r="M44" s="15">
        <f t="shared" si="2"/>
        <v>2.2222222222222223</v>
      </c>
      <c r="N44" s="73"/>
      <c r="O44" s="11"/>
    </row>
    <row r="45" spans="1:15">
      <c r="A45" s="11"/>
      <c r="B45" s="18" t="s">
        <v>152</v>
      </c>
      <c r="C45" s="10" t="s">
        <v>153</v>
      </c>
      <c r="D45" s="15">
        <v>2</v>
      </c>
      <c r="E45" s="66">
        <f>E46+E42</f>
        <v>1510</v>
      </c>
      <c r="F45" s="15">
        <f t="shared" si="0"/>
        <v>104861.11111111111</v>
      </c>
      <c r="G45" s="15" t="s">
        <v>109</v>
      </c>
      <c r="H45" s="15">
        <f>SQRT((4*F45)/PI())</f>
        <v>365.39473637633921</v>
      </c>
      <c r="I45" s="15">
        <v>0.31</v>
      </c>
      <c r="J45" s="15">
        <f t="shared" ref="J45:J65" si="5">D45*I45</f>
        <v>0.62</v>
      </c>
      <c r="K45" s="66" t="s">
        <v>22</v>
      </c>
      <c r="L45" s="15">
        <f>(PI()*400^2)/4</f>
        <v>125663.70614359173</v>
      </c>
      <c r="M45" s="15">
        <f t="shared" si="2"/>
        <v>3.3378328342883608</v>
      </c>
      <c r="N45" s="73"/>
      <c r="O45" s="11"/>
    </row>
    <row r="46" spans="1:15">
      <c r="A46" s="11"/>
      <c r="B46" s="103" t="s">
        <v>154</v>
      </c>
      <c r="C46" s="10" t="s">
        <v>153</v>
      </c>
      <c r="D46" s="15">
        <v>2.7</v>
      </c>
      <c r="E46" s="66">
        <f>'Bouche GP-GE '!E23</f>
        <v>960</v>
      </c>
      <c r="F46" s="15">
        <f t="shared" si="0"/>
        <v>66666.666666666672</v>
      </c>
      <c r="G46" s="15" t="s">
        <v>109</v>
      </c>
      <c r="H46" s="15">
        <f>SQRT((4*F46)/PI())</f>
        <v>291.34624815788777</v>
      </c>
      <c r="I46" s="15">
        <v>0.48</v>
      </c>
      <c r="J46" s="15">
        <f t="shared" si="5"/>
        <v>1.296</v>
      </c>
      <c r="K46" s="66" t="s">
        <v>16</v>
      </c>
      <c r="L46" s="15">
        <f>(PI()*315^2)/4</f>
        <v>77931.132763111804</v>
      </c>
      <c r="M46" s="15">
        <f t="shared" si="2"/>
        <v>3.4218245932245916</v>
      </c>
      <c r="N46" s="73"/>
      <c r="O46" s="11"/>
    </row>
    <row r="47" spans="1:15">
      <c r="A47" s="11"/>
      <c r="B47" s="18" t="s">
        <v>155</v>
      </c>
      <c r="C47" s="10" t="s">
        <v>153</v>
      </c>
      <c r="D47" s="15">
        <v>0.99</v>
      </c>
      <c r="E47" s="66">
        <f>E42</f>
        <v>550</v>
      </c>
      <c r="F47" s="15">
        <f t="shared" si="0"/>
        <v>38194.444444444445</v>
      </c>
      <c r="G47" s="15" t="s">
        <v>109</v>
      </c>
      <c r="H47" s="15">
        <f>SQRT((4*F47)/PI())</f>
        <v>220.52364285005115</v>
      </c>
      <c r="I47" s="15">
        <v>0.55000000000000004</v>
      </c>
      <c r="J47" s="15">
        <f t="shared" si="5"/>
        <v>0.54449999999999998</v>
      </c>
      <c r="K47" s="66" t="s">
        <v>11</v>
      </c>
      <c r="L47" s="15">
        <f>(PI()*250^2)/4</f>
        <v>49087.385212340516</v>
      </c>
      <c r="M47" s="15">
        <f t="shared" si="2"/>
        <v>3.1123633315748425</v>
      </c>
      <c r="N47" s="73"/>
      <c r="O47" s="11"/>
    </row>
    <row r="48" spans="1:15">
      <c r="A48" s="11"/>
      <c r="B48" s="18" t="s">
        <v>156</v>
      </c>
      <c r="C48" s="10" t="s">
        <v>153</v>
      </c>
      <c r="D48" s="15">
        <v>1.2</v>
      </c>
      <c r="E48" s="66">
        <f>E42</f>
        <v>550</v>
      </c>
      <c r="F48" s="15">
        <f t="shared" si="0"/>
        <v>38194.444444444445</v>
      </c>
      <c r="G48" s="15" t="s">
        <v>109</v>
      </c>
      <c r="H48" s="15">
        <f>SQRT((4*F48)/PI())</f>
        <v>220.52364285005115</v>
      </c>
      <c r="I48" s="15">
        <v>0.55000000000000004</v>
      </c>
      <c r="J48" s="15">
        <f t="shared" si="5"/>
        <v>0.66</v>
      </c>
      <c r="K48" s="66" t="s">
        <v>11</v>
      </c>
      <c r="L48" s="15">
        <f>(PI()*250^2)/4</f>
        <v>49087.385212340516</v>
      </c>
      <c r="M48" s="15">
        <f t="shared" si="2"/>
        <v>3.1123633315748425</v>
      </c>
      <c r="N48" s="73"/>
      <c r="O48" s="11"/>
    </row>
    <row r="49" spans="1:17">
      <c r="A49" s="11"/>
      <c r="B49" s="103" t="s">
        <v>157</v>
      </c>
      <c r="C49" s="10" t="str">
        <f>Données!B16</f>
        <v>16.SDR</v>
      </c>
      <c r="D49" s="66">
        <v>4.4000000000000004</v>
      </c>
      <c r="E49" s="66">
        <f>'Bouche GP-GE '!E24/2</f>
        <v>790</v>
      </c>
      <c r="F49" s="66">
        <f t="shared" si="0"/>
        <v>54861.111111111109</v>
      </c>
      <c r="G49" s="66" t="s">
        <v>111</v>
      </c>
      <c r="H49" s="66"/>
      <c r="I49" s="66">
        <v>0.68</v>
      </c>
      <c r="J49" s="66">
        <f t="shared" si="5"/>
        <v>2.9920000000000004</v>
      </c>
      <c r="K49" s="66" t="s">
        <v>158</v>
      </c>
      <c r="L49" s="66">
        <f>250*250</f>
        <v>62500</v>
      </c>
      <c r="M49" s="66">
        <f t="shared" si="2"/>
        <v>3.5111111111111111</v>
      </c>
      <c r="N49" s="73"/>
      <c r="O49" s="11"/>
    </row>
    <row r="50" spans="1:17">
      <c r="A50" s="11"/>
      <c r="B50" s="103" t="s">
        <v>159</v>
      </c>
      <c r="C50" s="10" t="str">
        <f>Données!B16</f>
        <v>16.SDR</v>
      </c>
      <c r="D50" s="15">
        <v>4.4000000000000004</v>
      </c>
      <c r="E50" s="66">
        <f>E49</f>
        <v>790</v>
      </c>
      <c r="F50" s="15">
        <f t="shared" si="0"/>
        <v>54861.111111111109</v>
      </c>
      <c r="G50" s="15" t="s">
        <v>111</v>
      </c>
      <c r="H50" s="15"/>
      <c r="I50" s="15">
        <f>0.68</f>
        <v>0.68</v>
      </c>
      <c r="J50" s="15">
        <f t="shared" si="5"/>
        <v>2.9920000000000004</v>
      </c>
      <c r="K50" s="66" t="s">
        <v>158</v>
      </c>
      <c r="L50" s="15">
        <f>250*250</f>
        <v>62500</v>
      </c>
      <c r="M50" s="15">
        <f t="shared" si="2"/>
        <v>3.5111111111111111</v>
      </c>
      <c r="N50" s="73"/>
      <c r="O50" s="11"/>
    </row>
    <row r="51" spans="1:17">
      <c r="A51" s="11"/>
      <c r="B51" s="64" t="s">
        <v>160</v>
      </c>
      <c r="C51" s="10" t="str">
        <f>Données!B17</f>
        <v>17. Salle d'attente</v>
      </c>
      <c r="D51" s="15">
        <v>3.95</v>
      </c>
      <c r="E51" s="15">
        <f>E49+E52+E55+E50</f>
        <v>3350</v>
      </c>
      <c r="F51" s="15">
        <f t="shared" si="0"/>
        <v>232638.88888888891</v>
      </c>
      <c r="G51" s="15" t="s">
        <v>111</v>
      </c>
      <c r="H51" s="15"/>
      <c r="I51" s="15">
        <v>0.28000000000000003</v>
      </c>
      <c r="J51" s="15">
        <f t="shared" si="5"/>
        <v>1.1060000000000001</v>
      </c>
      <c r="K51" s="106" t="s">
        <v>131</v>
      </c>
      <c r="L51" s="15">
        <f>300*1000</f>
        <v>300000</v>
      </c>
      <c r="M51" s="15">
        <f t="shared" si="2"/>
        <v>3.1018518518518521</v>
      </c>
      <c r="N51" s="73"/>
      <c r="O51" s="11"/>
    </row>
    <row r="52" spans="1:17">
      <c r="A52" s="11"/>
      <c r="B52" s="103" t="s">
        <v>161</v>
      </c>
      <c r="C52" s="10" t="str">
        <f>Données!B17</f>
        <v>17. Salle d'attente</v>
      </c>
      <c r="D52" s="15">
        <v>0.45</v>
      </c>
      <c r="E52" s="15">
        <f>Données!H17/2</f>
        <v>885</v>
      </c>
      <c r="F52" s="15">
        <f t="shared" si="0"/>
        <v>61458.333333333328</v>
      </c>
      <c r="G52" s="15" t="s">
        <v>111</v>
      </c>
      <c r="H52" s="15"/>
      <c r="I52" s="15">
        <v>0.52</v>
      </c>
      <c r="J52" s="15">
        <f t="shared" si="5"/>
        <v>0.23400000000000001</v>
      </c>
      <c r="K52" s="66" t="s">
        <v>162</v>
      </c>
      <c r="L52" s="15">
        <f>300*300</f>
        <v>90000</v>
      </c>
      <c r="M52" s="15">
        <f t="shared" si="2"/>
        <v>2.7314814814814818</v>
      </c>
      <c r="N52" s="73"/>
      <c r="O52" s="11"/>
    </row>
    <row r="53" spans="1:17">
      <c r="A53" s="11"/>
      <c r="B53" s="18" t="s">
        <v>163</v>
      </c>
      <c r="C53" s="10" t="str">
        <f>Données!B17</f>
        <v>17. Salle d'attente</v>
      </c>
      <c r="D53" s="15">
        <v>4.05</v>
      </c>
      <c r="E53" s="15">
        <f>E54+E56</f>
        <v>2465</v>
      </c>
      <c r="F53" s="15">
        <f t="shared" si="0"/>
        <v>171180.55555555556</v>
      </c>
      <c r="G53" s="15" t="s">
        <v>111</v>
      </c>
      <c r="H53" s="15"/>
      <c r="I53" s="15">
        <v>0.38</v>
      </c>
      <c r="J53" s="15">
        <f t="shared" si="5"/>
        <v>1.5389999999999999</v>
      </c>
      <c r="K53" s="66" t="s">
        <v>315</v>
      </c>
      <c r="L53" s="15">
        <f>250*800</f>
        <v>200000</v>
      </c>
      <c r="M53" s="15">
        <f t="shared" si="2"/>
        <v>3.4236111111111116</v>
      </c>
      <c r="N53" s="73"/>
      <c r="O53" s="11"/>
    </row>
    <row r="54" spans="1:17">
      <c r="A54" s="11"/>
      <c r="B54" s="18" t="s">
        <v>165</v>
      </c>
      <c r="C54" s="10" t="str">
        <f>Données!B17</f>
        <v>17. Salle d'attente</v>
      </c>
      <c r="D54" s="15">
        <v>2.6749999999999998</v>
      </c>
      <c r="E54" s="15">
        <f>E50+E55</f>
        <v>1675</v>
      </c>
      <c r="F54" s="15">
        <f t="shared" si="0"/>
        <v>116319.44444444445</v>
      </c>
      <c r="G54" s="15" t="s">
        <v>111</v>
      </c>
      <c r="H54" s="15"/>
      <c r="I54" s="15">
        <v>0.48</v>
      </c>
      <c r="J54" s="15">
        <f t="shared" si="5"/>
        <v>1.2839999999999998</v>
      </c>
      <c r="K54" s="66" t="s">
        <v>127</v>
      </c>
      <c r="L54" s="15">
        <f>250*500</f>
        <v>125000</v>
      </c>
      <c r="M54" s="15">
        <f t="shared" si="2"/>
        <v>3.7222222222222223</v>
      </c>
      <c r="N54" s="73"/>
      <c r="O54" s="11"/>
    </row>
    <row r="55" spans="1:17">
      <c r="A55" s="11"/>
      <c r="B55" s="103" t="s">
        <v>166</v>
      </c>
      <c r="C55" s="10" t="str">
        <f>Données!B17</f>
        <v>17. Salle d'attente</v>
      </c>
      <c r="D55" s="15">
        <v>4.0999999999999996</v>
      </c>
      <c r="E55" s="15">
        <f>E52</f>
        <v>885</v>
      </c>
      <c r="F55" s="15">
        <f t="shared" si="0"/>
        <v>61458.333333333328</v>
      </c>
      <c r="G55" s="15" t="s">
        <v>111</v>
      </c>
      <c r="H55" s="15"/>
      <c r="I55" s="15">
        <v>0.56000000000000005</v>
      </c>
      <c r="J55" s="15">
        <f t="shared" si="5"/>
        <v>2.2959999999999998</v>
      </c>
      <c r="K55" s="66" t="s">
        <v>162</v>
      </c>
      <c r="L55" s="15">
        <f>250*300</f>
        <v>75000</v>
      </c>
      <c r="M55" s="15">
        <f t="shared" si="2"/>
        <v>3.2777777777777777</v>
      </c>
      <c r="N55" s="73"/>
      <c r="O55" s="11"/>
    </row>
    <row r="56" spans="1:17">
      <c r="A56" s="11"/>
      <c r="B56" s="64" t="s">
        <v>167</v>
      </c>
      <c r="C56" s="33" t="str">
        <f>Données!B17</f>
        <v>17. Salle d'attente</v>
      </c>
      <c r="D56" s="66">
        <v>1.325</v>
      </c>
      <c r="E56" s="66">
        <f>E50</f>
        <v>790</v>
      </c>
      <c r="F56" s="66">
        <f t="shared" si="0"/>
        <v>54861.111111111109</v>
      </c>
      <c r="G56" s="66" t="s">
        <v>111</v>
      </c>
      <c r="H56" s="66"/>
      <c r="I56" s="66">
        <f>I49</f>
        <v>0.68</v>
      </c>
      <c r="J56" s="66">
        <f t="shared" si="5"/>
        <v>0.90100000000000002</v>
      </c>
      <c r="K56" s="66" t="str">
        <f>K49</f>
        <v>250x250</v>
      </c>
      <c r="L56" s="66">
        <f>L49</f>
        <v>62500</v>
      </c>
      <c r="M56" s="66">
        <f t="shared" si="2"/>
        <v>3.5111111111111111</v>
      </c>
      <c r="N56" s="73"/>
      <c r="O56" s="11"/>
    </row>
    <row r="57" spans="1:17">
      <c r="A57" s="11"/>
      <c r="B57" s="18" t="s">
        <v>168</v>
      </c>
      <c r="C57" s="10" t="str">
        <f>Données!B17</f>
        <v>17. Salle d'attente</v>
      </c>
      <c r="D57" s="15">
        <v>1.425</v>
      </c>
      <c r="E57" s="15">
        <f>E58</f>
        <v>1670</v>
      </c>
      <c r="F57" s="15">
        <f t="shared" si="0"/>
        <v>115972.22222222223</v>
      </c>
      <c r="G57" s="15" t="s">
        <v>111</v>
      </c>
      <c r="H57" s="15"/>
      <c r="I57" s="15">
        <v>0.48</v>
      </c>
      <c r="J57" s="15">
        <f t="shared" si="5"/>
        <v>0.68399999999999994</v>
      </c>
      <c r="K57" s="66" t="s">
        <v>164</v>
      </c>
      <c r="L57" s="15">
        <f>300*400</f>
        <v>120000</v>
      </c>
      <c r="M57" s="15">
        <f t="shared" si="2"/>
        <v>3.8657407407407409</v>
      </c>
      <c r="N57" s="73"/>
      <c r="O57" s="11"/>
    </row>
    <row r="58" spans="1:17">
      <c r="A58" s="11"/>
      <c r="B58" s="18" t="s">
        <v>169</v>
      </c>
      <c r="C58" s="10" t="str">
        <f>Données!B17</f>
        <v>17. Salle d'attente</v>
      </c>
      <c r="D58" s="15">
        <v>5.85</v>
      </c>
      <c r="E58" s="15">
        <f>E45+E44</f>
        <v>1670</v>
      </c>
      <c r="F58" s="15">
        <f t="shared" si="0"/>
        <v>115972.22222222223</v>
      </c>
      <c r="G58" s="15" t="s">
        <v>111</v>
      </c>
      <c r="H58" s="15"/>
      <c r="I58" s="15">
        <v>0.48</v>
      </c>
      <c r="J58" s="15">
        <f t="shared" si="5"/>
        <v>2.8079999999999998</v>
      </c>
      <c r="K58" s="66" t="s">
        <v>164</v>
      </c>
      <c r="L58" s="15">
        <f>300*400</f>
        <v>120000</v>
      </c>
      <c r="M58" s="15">
        <f t="shared" si="2"/>
        <v>3.8657407407407409</v>
      </c>
      <c r="N58" s="73"/>
      <c r="O58" s="11"/>
    </row>
    <row r="59" spans="1:17">
      <c r="A59" s="11"/>
      <c r="B59" s="18" t="s">
        <v>170</v>
      </c>
      <c r="C59" s="10" t="str">
        <f>Données!B17</f>
        <v>17. Salle d'attente</v>
      </c>
      <c r="D59" s="15">
        <v>1.52</v>
      </c>
      <c r="E59" s="15">
        <f>E58</f>
        <v>1670</v>
      </c>
      <c r="F59" s="15">
        <f t="shared" si="0"/>
        <v>115972.22222222223</v>
      </c>
      <c r="G59" s="15" t="s">
        <v>111</v>
      </c>
      <c r="H59" s="15"/>
      <c r="I59" s="15">
        <v>0.48</v>
      </c>
      <c r="J59" s="15">
        <f t="shared" si="5"/>
        <v>0.72960000000000003</v>
      </c>
      <c r="K59" s="66" t="s">
        <v>164</v>
      </c>
      <c r="L59" s="15">
        <f>300*400</f>
        <v>120000</v>
      </c>
      <c r="M59" s="15">
        <f t="shared" si="2"/>
        <v>3.8657407407407409</v>
      </c>
      <c r="N59" s="73"/>
      <c r="O59" s="11"/>
    </row>
    <row r="60" spans="1:17">
      <c r="A60" s="11"/>
      <c r="B60" s="18" t="s">
        <v>171</v>
      </c>
      <c r="C60" s="10" t="str">
        <f>Données!B17</f>
        <v>17. Salle d'attente</v>
      </c>
      <c r="D60" s="15">
        <v>1.375</v>
      </c>
      <c r="E60" s="15">
        <f>E45</f>
        <v>1510</v>
      </c>
      <c r="F60" s="15">
        <f t="shared" si="0"/>
        <v>104861.11111111111</v>
      </c>
      <c r="G60" s="15" t="s">
        <v>111</v>
      </c>
      <c r="H60" s="15"/>
      <c r="I60" s="15">
        <v>0.4</v>
      </c>
      <c r="J60" s="15">
        <f t="shared" si="5"/>
        <v>0.55000000000000004</v>
      </c>
      <c r="K60" s="66" t="s">
        <v>164</v>
      </c>
      <c r="L60" s="15">
        <f>300*400</f>
        <v>120000</v>
      </c>
      <c r="M60" s="15">
        <f t="shared" si="2"/>
        <v>3.4953703703703707</v>
      </c>
      <c r="N60" s="73"/>
      <c r="O60" s="11"/>
    </row>
    <row r="61" spans="1:17">
      <c r="A61" s="11"/>
      <c r="B61" s="18" t="s">
        <v>319</v>
      </c>
      <c r="C61" s="10" t="s">
        <v>37</v>
      </c>
      <c r="D61" s="15">
        <v>0.73</v>
      </c>
      <c r="E61" s="15">
        <f>E57+E51</f>
        <v>5020</v>
      </c>
      <c r="F61" s="15">
        <f>E61/(3600*C6) * 10^6</f>
        <v>199206.3492063492</v>
      </c>
      <c r="G61" s="15" t="s">
        <v>111</v>
      </c>
      <c r="H61" s="15"/>
      <c r="I61" s="15">
        <v>0.98</v>
      </c>
      <c r="J61" s="15">
        <f t="shared" si="5"/>
        <v>0.71539999999999992</v>
      </c>
      <c r="K61" s="66" t="s">
        <v>129</v>
      </c>
      <c r="L61" s="15">
        <f>300*800</f>
        <v>240000</v>
      </c>
      <c r="M61" s="15">
        <f t="shared" si="2"/>
        <v>5.8101851851851851</v>
      </c>
      <c r="N61" s="73"/>
      <c r="O61" s="11"/>
    </row>
    <row r="62" spans="1:17" ht="13.35" customHeight="1">
      <c r="A62" s="11"/>
      <c r="B62" s="18" t="s">
        <v>172</v>
      </c>
      <c r="C62" s="10" t="s">
        <v>37</v>
      </c>
      <c r="D62" s="15">
        <v>0.73</v>
      </c>
      <c r="E62" s="15">
        <f>E28+E29</f>
        <v>5924</v>
      </c>
      <c r="F62" s="15">
        <f>E62/(3600*$C$6) * 10^6</f>
        <v>235079.36507936509</v>
      </c>
      <c r="G62" s="15" t="s">
        <v>111</v>
      </c>
      <c r="H62" s="15"/>
      <c r="I62" s="15">
        <v>0.92</v>
      </c>
      <c r="J62" s="15">
        <f>D62*I62</f>
        <v>0.67159999999999997</v>
      </c>
      <c r="K62" s="66" t="s">
        <v>329</v>
      </c>
      <c r="L62" s="15">
        <f>500*500</f>
        <v>250000</v>
      </c>
      <c r="M62" s="15">
        <f>E62/(L62*10^-6)/3600</f>
        <v>6.5822222222222226</v>
      </c>
      <c r="N62" s="73"/>
      <c r="O62" s="11"/>
    </row>
    <row r="63" spans="1:17">
      <c r="A63" s="11"/>
      <c r="B63" s="18" t="s">
        <v>320</v>
      </c>
      <c r="C63" s="10" t="s">
        <v>37</v>
      </c>
      <c r="D63" s="15">
        <f>5.09-0.6+3.6-0.55</f>
        <v>7.54</v>
      </c>
      <c r="E63" s="15">
        <f>E62+E61</f>
        <v>10944</v>
      </c>
      <c r="F63" s="15">
        <f t="shared" ref="F63:F65" si="6">E63/(3600*$C$6) * 10^6</f>
        <v>434285.71428571426</v>
      </c>
      <c r="G63" s="15" t="s">
        <v>111</v>
      </c>
      <c r="H63" s="15"/>
      <c r="I63" s="15">
        <v>0.62</v>
      </c>
      <c r="J63" s="15">
        <f t="shared" si="5"/>
        <v>4.6748000000000003</v>
      </c>
      <c r="K63" s="66" t="s">
        <v>325</v>
      </c>
      <c r="L63" s="15">
        <f>600*800</f>
        <v>480000</v>
      </c>
      <c r="M63" s="15">
        <f t="shared" ref="M63:M65" si="7">E63/(L63*10^-6)/3600</f>
        <v>6.333333333333333</v>
      </c>
      <c r="N63" s="73"/>
      <c r="O63" s="73"/>
      <c r="P63" s="73"/>
      <c r="Q63" s="11"/>
    </row>
    <row r="64" spans="1:17">
      <c r="A64" s="11"/>
      <c r="B64" s="18" t="s">
        <v>321</v>
      </c>
      <c r="C64" s="10" t="s">
        <v>323</v>
      </c>
      <c r="D64" s="15">
        <f>2.1+0.9</f>
        <v>3</v>
      </c>
      <c r="E64" s="15">
        <f>E63</f>
        <v>10944</v>
      </c>
      <c r="F64" s="15">
        <f t="shared" si="6"/>
        <v>434285.71428571426</v>
      </c>
      <c r="G64" s="15" t="s">
        <v>111</v>
      </c>
      <c r="H64" s="15"/>
      <c r="I64" s="15">
        <f>I63</f>
        <v>0.62</v>
      </c>
      <c r="J64" s="15">
        <f t="shared" si="5"/>
        <v>1.8599999999999999</v>
      </c>
      <c r="K64" s="66" t="str">
        <f>K63</f>
        <v>600x800</v>
      </c>
      <c r="L64" s="15">
        <f t="shared" ref="L64:L65" si="8">600*800</f>
        <v>480000</v>
      </c>
      <c r="M64" s="15">
        <f t="shared" si="7"/>
        <v>6.333333333333333</v>
      </c>
      <c r="N64" s="73"/>
      <c r="O64" s="73"/>
      <c r="P64" s="73"/>
      <c r="Q64" s="11"/>
    </row>
    <row r="65" spans="1:33">
      <c r="A65" s="11"/>
      <c r="B65" s="18" t="s">
        <v>322</v>
      </c>
      <c r="C65" s="10" t="s">
        <v>324</v>
      </c>
      <c r="D65" s="15">
        <v>0.5</v>
      </c>
      <c r="E65" s="15">
        <f>E64</f>
        <v>10944</v>
      </c>
      <c r="F65" s="15">
        <f t="shared" si="6"/>
        <v>434285.71428571426</v>
      </c>
      <c r="G65" s="15" t="s">
        <v>111</v>
      </c>
      <c r="H65" s="15"/>
      <c r="I65" s="15">
        <f>I63</f>
        <v>0.62</v>
      </c>
      <c r="J65" s="15">
        <f t="shared" si="5"/>
        <v>0.31</v>
      </c>
      <c r="K65" s="66" t="str">
        <f>K64</f>
        <v>600x800</v>
      </c>
      <c r="L65" s="15">
        <f t="shared" si="8"/>
        <v>480000</v>
      </c>
      <c r="M65" s="15">
        <f t="shared" si="7"/>
        <v>6.333333333333333</v>
      </c>
      <c r="N65" s="11"/>
      <c r="O65" s="11"/>
      <c r="P65" s="73"/>
      <c r="Q65" s="11"/>
    </row>
    <row r="66" spans="1:33">
      <c r="A66" s="11"/>
      <c r="J66" s="146">
        <f>SUM(J13:J65)</f>
        <v>61.665424999999985</v>
      </c>
      <c r="P66" s="73"/>
      <c r="Q66" s="11"/>
    </row>
    <row r="67" spans="1:33">
      <c r="A67" s="11"/>
      <c r="H67" s="146"/>
      <c r="P67" s="73"/>
      <c r="Q67" s="11"/>
    </row>
    <row r="68" spans="1:33">
      <c r="A68" s="11"/>
      <c r="P68" s="73"/>
      <c r="Q68" s="11"/>
    </row>
    <row r="69" spans="1:33">
      <c r="A69" s="11"/>
      <c r="P69" s="73"/>
      <c r="Q69" s="11"/>
    </row>
    <row r="70" spans="1:33">
      <c r="A70" s="11"/>
      <c r="B70" s="189" t="s">
        <v>91</v>
      </c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1"/>
      <c r="P70" s="73"/>
      <c r="Q70" s="11"/>
    </row>
    <row r="71" spans="1:33">
      <c r="A71" s="11"/>
      <c r="P71" s="73"/>
      <c r="Q71" s="11"/>
    </row>
    <row r="72" spans="1:33">
      <c r="A72" s="11"/>
      <c r="P72" s="73"/>
      <c r="Q72" s="11"/>
    </row>
    <row r="73" spans="1:33" ht="45">
      <c r="A73" s="11"/>
      <c r="B73" s="10" t="s">
        <v>96</v>
      </c>
      <c r="C73" s="10" t="s">
        <v>97</v>
      </c>
      <c r="D73" s="10" t="s">
        <v>173</v>
      </c>
      <c r="E73" s="10" t="s">
        <v>174</v>
      </c>
      <c r="F73" s="2" t="s">
        <v>101</v>
      </c>
      <c r="G73" s="20" t="s">
        <v>100</v>
      </c>
      <c r="H73" s="2" t="s">
        <v>102</v>
      </c>
      <c r="I73" s="20" t="s">
        <v>103</v>
      </c>
      <c r="J73" s="28" t="s">
        <v>104</v>
      </c>
      <c r="K73" s="22" t="s">
        <v>105</v>
      </c>
      <c r="L73" s="20" t="s">
        <v>106</v>
      </c>
      <c r="M73" s="20" t="s">
        <v>107</v>
      </c>
      <c r="P73" s="11"/>
      <c r="Q73" s="11"/>
    </row>
    <row r="74" spans="1:33">
      <c r="B74" s="103" t="s">
        <v>363</v>
      </c>
      <c r="C74" s="10" t="s">
        <v>10</v>
      </c>
      <c r="D74" s="4">
        <v>5.5</v>
      </c>
      <c r="E74" s="33">
        <f>Données!H3</f>
        <v>550</v>
      </c>
      <c r="F74" s="105" t="s">
        <v>109</v>
      </c>
      <c r="G74" s="10">
        <f>E74/(3600*$C$7) * 10^6</f>
        <v>38194.444444444445</v>
      </c>
      <c r="H74" s="10">
        <f>SQRT((4*G74)/PI())</f>
        <v>220.52364285005115</v>
      </c>
      <c r="I74" s="15">
        <v>0.54</v>
      </c>
      <c r="J74" s="29">
        <f t="shared" ref="J74:J129" si="9">D74*I74</f>
        <v>2.97</v>
      </c>
      <c r="K74" s="66" t="s">
        <v>11</v>
      </c>
      <c r="L74" s="15">
        <f>(PI()*250^2)/4</f>
        <v>49087.385212340516</v>
      </c>
      <c r="M74" s="15">
        <f>E74/(L74*10^-6)/3600</f>
        <v>3.1123633315748425</v>
      </c>
    </row>
    <row r="75" spans="1:33">
      <c r="B75" s="103" t="s">
        <v>364</v>
      </c>
      <c r="C75" s="10" t="s">
        <v>13</v>
      </c>
      <c r="D75" s="4">
        <v>4.0750000000000002</v>
      </c>
      <c r="E75" s="33">
        <f>Données!H4</f>
        <v>365</v>
      </c>
      <c r="F75" s="15" t="s">
        <v>111</v>
      </c>
      <c r="G75" s="10">
        <f t="shared" ref="G75:G120" si="10">E75/(3600*$C$7) * 10^6</f>
        <v>25347.222222222223</v>
      </c>
      <c r="H75" s="10"/>
      <c r="I75" s="15">
        <v>1</v>
      </c>
      <c r="J75" s="29">
        <f t="shared" si="9"/>
        <v>4.0750000000000002</v>
      </c>
      <c r="K75" s="66" t="s">
        <v>486</v>
      </c>
      <c r="L75" s="15">
        <f>200*150</f>
        <v>30000</v>
      </c>
      <c r="M75" s="15">
        <f t="shared" ref="M75:M126" si="11">E75/(L75*10^-6)/3600</f>
        <v>3.3796296296296298</v>
      </c>
      <c r="AA75" s="11"/>
      <c r="AB75" s="11"/>
      <c r="AC75" s="11"/>
      <c r="AD75" s="11"/>
      <c r="AE75" s="11"/>
      <c r="AF75" s="11"/>
      <c r="AG75" s="21">
        <f>SUM(J74:J100)</f>
        <v>29.720800000000001</v>
      </c>
    </row>
    <row r="76" spans="1:33">
      <c r="B76" s="103" t="s">
        <v>365</v>
      </c>
      <c r="C76" s="10" t="s">
        <v>15</v>
      </c>
      <c r="D76" s="4">
        <v>2.75</v>
      </c>
      <c r="E76" s="33">
        <f>Données!H6</f>
        <v>880</v>
      </c>
      <c r="F76" s="15" t="s">
        <v>111</v>
      </c>
      <c r="G76" s="10">
        <f t="shared" si="10"/>
        <v>61111.111111111109</v>
      </c>
      <c r="H76" s="10"/>
      <c r="I76" s="15">
        <v>0.48</v>
      </c>
      <c r="J76" s="29">
        <f t="shared" si="9"/>
        <v>1.3199999999999998</v>
      </c>
      <c r="K76" s="66" t="s">
        <v>113</v>
      </c>
      <c r="L76" s="15">
        <f>200*400</f>
        <v>80000</v>
      </c>
      <c r="M76" s="15">
        <f t="shared" si="11"/>
        <v>3.0555555555555554</v>
      </c>
      <c r="AA76" s="10">
        <f>PI()*AD76^2/4</f>
        <v>0</v>
      </c>
    </row>
    <row r="77" spans="1:33">
      <c r="B77" s="103" t="s">
        <v>366</v>
      </c>
      <c r="C77" s="10" t="s">
        <v>17</v>
      </c>
      <c r="D77" s="4">
        <v>2.75</v>
      </c>
      <c r="E77" s="33">
        <f>Données!H7</f>
        <v>575</v>
      </c>
      <c r="F77" s="15" t="s">
        <v>111</v>
      </c>
      <c r="G77" s="10">
        <f t="shared" si="10"/>
        <v>39930.555555555555</v>
      </c>
      <c r="H77" s="10"/>
      <c r="I77" s="15">
        <v>0.44</v>
      </c>
      <c r="J77" s="29">
        <f t="shared" si="9"/>
        <v>1.21</v>
      </c>
      <c r="K77" s="66" t="s">
        <v>113</v>
      </c>
      <c r="L77" s="15">
        <f>L76</f>
        <v>80000</v>
      </c>
      <c r="M77" s="15">
        <f t="shared" si="11"/>
        <v>1.9965277777777777</v>
      </c>
    </row>
    <row r="78" spans="1:33">
      <c r="B78" s="103" t="s">
        <v>367</v>
      </c>
      <c r="C78" s="10" t="s">
        <v>18</v>
      </c>
      <c r="D78" s="4">
        <v>2.75</v>
      </c>
      <c r="E78" s="33">
        <f>Données!H8</f>
        <v>580</v>
      </c>
      <c r="F78" s="15" t="s">
        <v>111</v>
      </c>
      <c r="G78" s="10">
        <f t="shared" si="10"/>
        <v>40277.777777777781</v>
      </c>
      <c r="H78" s="10"/>
      <c r="I78" s="15">
        <v>0.44</v>
      </c>
      <c r="J78" s="29">
        <f t="shared" si="9"/>
        <v>1.21</v>
      </c>
      <c r="K78" s="66" t="s">
        <v>115</v>
      </c>
      <c r="L78" s="15">
        <f>200*300</f>
        <v>60000</v>
      </c>
      <c r="M78" s="15">
        <f t="shared" si="11"/>
        <v>2.6851851851851856</v>
      </c>
    </row>
    <row r="79" spans="1:33">
      <c r="B79" s="103" t="s">
        <v>368</v>
      </c>
      <c r="C79" s="10" t="s">
        <v>19</v>
      </c>
      <c r="D79" s="4">
        <v>2.75</v>
      </c>
      <c r="E79" s="33">
        <f>Données!H9</f>
        <v>580</v>
      </c>
      <c r="F79" s="15" t="s">
        <v>111</v>
      </c>
      <c r="G79" s="10">
        <f t="shared" si="10"/>
        <v>40277.777777777781</v>
      </c>
      <c r="H79" s="10"/>
      <c r="I79" s="15">
        <v>0.44</v>
      </c>
      <c r="J79" s="29">
        <f t="shared" si="9"/>
        <v>1.21</v>
      </c>
      <c r="K79" s="66" t="s">
        <v>115</v>
      </c>
      <c r="L79" s="15">
        <f>200*300</f>
        <v>60000</v>
      </c>
      <c r="M79" s="15">
        <f t="shared" si="11"/>
        <v>2.6851851851851856</v>
      </c>
    </row>
    <row r="80" spans="1:33">
      <c r="B80" s="103" t="s">
        <v>369</v>
      </c>
      <c r="C80" s="33" t="s">
        <v>20</v>
      </c>
      <c r="D80" s="4">
        <v>2</v>
      </c>
      <c r="E80" s="33">
        <f>Données!H10</f>
        <v>965</v>
      </c>
      <c r="F80" s="15" t="s">
        <v>111</v>
      </c>
      <c r="G80" s="10">
        <f t="shared" si="10"/>
        <v>67013.888888888891</v>
      </c>
      <c r="H80" s="10">
        <f t="shared" ref="H80" si="12">SQRT((4*G80)/PI())</f>
        <v>292.10397700103584</v>
      </c>
      <c r="I80" s="15">
        <v>0.48</v>
      </c>
      <c r="J80" s="29">
        <f t="shared" si="9"/>
        <v>0.96</v>
      </c>
      <c r="K80" s="66" t="s">
        <v>16</v>
      </c>
      <c r="L80" s="66">
        <f>(PI()*315^2)/4</f>
        <v>77931.132763111804</v>
      </c>
      <c r="M80" s="15">
        <f>E80/(L80*10^-6)/3600</f>
        <v>3.439646596314303</v>
      </c>
    </row>
    <row r="81" spans="2:16">
      <c r="B81" s="18" t="s">
        <v>370</v>
      </c>
      <c r="C81" s="10" t="s">
        <v>21</v>
      </c>
      <c r="D81" s="4">
        <v>1.4</v>
      </c>
      <c r="E81" s="33">
        <f>E82</f>
        <v>3637.5</v>
      </c>
      <c r="F81" s="15" t="s">
        <v>111</v>
      </c>
      <c r="G81" s="10">
        <f t="shared" si="10"/>
        <v>252604.16666666669</v>
      </c>
      <c r="H81" s="10"/>
      <c r="I81" s="15">
        <v>0.28000000000000003</v>
      </c>
      <c r="J81" s="29">
        <f t="shared" si="9"/>
        <v>0.39200000000000002</v>
      </c>
      <c r="K81" s="66" t="s">
        <v>131</v>
      </c>
      <c r="L81" s="15">
        <f>300*1000</f>
        <v>300000</v>
      </c>
      <c r="M81" s="15">
        <f>E81/(L81*10^-6)/3600</f>
        <v>3.3680555555555554</v>
      </c>
    </row>
    <row r="82" spans="2:16">
      <c r="B82" s="18" t="s">
        <v>371</v>
      </c>
      <c r="C82" s="10" t="s">
        <v>21</v>
      </c>
      <c r="D82" s="4">
        <v>1.27</v>
      </c>
      <c r="E82" s="33">
        <f>E78+E83</f>
        <v>3637.5</v>
      </c>
      <c r="F82" s="15" t="s">
        <v>111</v>
      </c>
      <c r="G82" s="10">
        <f t="shared" si="10"/>
        <v>252604.16666666669</v>
      </c>
      <c r="H82" s="10"/>
      <c r="I82" s="15">
        <v>0.28000000000000003</v>
      </c>
      <c r="J82" s="29">
        <f t="shared" si="9"/>
        <v>0.35560000000000003</v>
      </c>
      <c r="K82" s="66" t="s">
        <v>131</v>
      </c>
      <c r="L82" s="15">
        <f>300*1000</f>
        <v>300000</v>
      </c>
      <c r="M82" s="15">
        <f>E82/(L82*10^-6)/3600</f>
        <v>3.3680555555555554</v>
      </c>
    </row>
    <row r="83" spans="2:16">
      <c r="B83" s="64" t="s">
        <v>372</v>
      </c>
      <c r="C83" s="10" t="s">
        <v>21</v>
      </c>
      <c r="D83" s="4">
        <v>1.1000000000000001</v>
      </c>
      <c r="E83" s="33">
        <f>E77+E84</f>
        <v>3057.5</v>
      </c>
      <c r="F83" s="15" t="s">
        <v>111</v>
      </c>
      <c r="G83" s="10">
        <f t="shared" si="10"/>
        <v>212326.38888888888</v>
      </c>
      <c r="H83" s="10"/>
      <c r="I83" s="15">
        <v>0.35</v>
      </c>
      <c r="J83" s="29">
        <f t="shared" si="9"/>
        <v>0.38500000000000001</v>
      </c>
      <c r="K83" s="66" t="s">
        <v>129</v>
      </c>
      <c r="L83" s="15">
        <f>300*800</f>
        <v>240000</v>
      </c>
      <c r="M83" s="15">
        <f t="shared" si="11"/>
        <v>3.5387731481481484</v>
      </c>
    </row>
    <row r="84" spans="2:16">
      <c r="B84" s="18" t="s">
        <v>373</v>
      </c>
      <c r="C84" s="10" t="s">
        <v>21</v>
      </c>
      <c r="D84" s="4">
        <v>3.4</v>
      </c>
      <c r="E84" s="33">
        <f>E85+E86</f>
        <v>2482.5</v>
      </c>
      <c r="F84" s="15" t="s">
        <v>111</v>
      </c>
      <c r="G84" s="10">
        <f t="shared" si="10"/>
        <v>172395.83333333334</v>
      </c>
      <c r="H84" s="10"/>
      <c r="I84" s="10">
        <v>0.38</v>
      </c>
      <c r="J84" s="29">
        <f t="shared" si="9"/>
        <v>1.292</v>
      </c>
      <c r="K84" s="66" t="s">
        <v>315</v>
      </c>
      <c r="L84" s="15">
        <f>250*800</f>
        <v>200000</v>
      </c>
      <c r="M84" s="15">
        <f t="shared" si="11"/>
        <v>3.447916666666667</v>
      </c>
    </row>
    <row r="85" spans="2:16">
      <c r="B85" s="104" t="s">
        <v>374</v>
      </c>
      <c r="C85" s="10" t="s">
        <v>21</v>
      </c>
      <c r="D85" s="4">
        <v>0.5</v>
      </c>
      <c r="E85" s="33">
        <f>Données!H11/2</f>
        <v>687.5</v>
      </c>
      <c r="F85" s="15" t="s">
        <v>111</v>
      </c>
      <c r="G85" s="10">
        <f t="shared" si="10"/>
        <v>47743.055555555555</v>
      </c>
      <c r="H85" s="10"/>
      <c r="I85" s="15">
        <v>0.9</v>
      </c>
      <c r="J85" s="29">
        <f t="shared" si="9"/>
        <v>0.45</v>
      </c>
      <c r="K85" s="66" t="s">
        <v>409</v>
      </c>
      <c r="L85" s="15">
        <f>250*200</f>
        <v>50000</v>
      </c>
      <c r="M85" s="15">
        <f t="shared" si="11"/>
        <v>3.8194444444444451</v>
      </c>
    </row>
    <row r="86" spans="2:16">
      <c r="B86" s="18" t="s">
        <v>375</v>
      </c>
      <c r="C86" s="10" t="s">
        <v>21</v>
      </c>
      <c r="D86" s="4">
        <v>1.38</v>
      </c>
      <c r="E86" s="33">
        <f>E76+E87</f>
        <v>1795</v>
      </c>
      <c r="F86" s="15" t="s">
        <v>111</v>
      </c>
      <c r="G86" s="10">
        <f t="shared" si="10"/>
        <v>124652.77777777778</v>
      </c>
      <c r="H86" s="10"/>
      <c r="I86" s="15">
        <v>0.5</v>
      </c>
      <c r="J86" s="29">
        <f t="shared" si="9"/>
        <v>0.69</v>
      </c>
      <c r="K86" s="66" t="s">
        <v>127</v>
      </c>
      <c r="L86" s="15">
        <f>250*500</f>
        <v>125000</v>
      </c>
      <c r="M86" s="15">
        <f t="shared" si="11"/>
        <v>3.9888888888888889</v>
      </c>
    </row>
    <row r="87" spans="2:16">
      <c r="B87" s="18" t="s">
        <v>376</v>
      </c>
      <c r="C87" s="10" t="s">
        <v>21</v>
      </c>
      <c r="D87" s="4">
        <v>3.2</v>
      </c>
      <c r="E87" s="33">
        <f>E74+E75</f>
        <v>915</v>
      </c>
      <c r="F87" s="15" t="s">
        <v>111</v>
      </c>
      <c r="G87" s="10">
        <f t="shared" si="10"/>
        <v>63541.666666666664</v>
      </c>
      <c r="H87" s="10"/>
      <c r="I87" s="15">
        <v>0.25</v>
      </c>
      <c r="J87" s="29">
        <f t="shared" si="9"/>
        <v>0.8</v>
      </c>
      <c r="K87" s="66" t="s">
        <v>122</v>
      </c>
      <c r="L87" s="15">
        <f>200*600</f>
        <v>120000</v>
      </c>
      <c r="M87" s="15">
        <f>E87/(L87*10^-6)/3600</f>
        <v>2.1180555555555554</v>
      </c>
    </row>
    <row r="88" spans="2:16">
      <c r="B88" s="18" t="s">
        <v>413</v>
      </c>
      <c r="C88" s="10" t="s">
        <v>21</v>
      </c>
      <c r="D88" s="4">
        <v>3.9249999999999998</v>
      </c>
      <c r="E88" s="33">
        <f>E89</f>
        <v>2286.5</v>
      </c>
      <c r="F88" s="15" t="s">
        <v>111</v>
      </c>
      <c r="G88" s="10">
        <f t="shared" si="10"/>
        <v>158784.72222222222</v>
      </c>
      <c r="H88" s="10"/>
      <c r="I88" s="10">
        <v>0.7</v>
      </c>
      <c r="J88" s="29">
        <f t="shared" si="9"/>
        <v>2.7474999999999996</v>
      </c>
      <c r="K88" s="66" t="s">
        <v>131</v>
      </c>
      <c r="L88" s="15">
        <f>300*1000</f>
        <v>300000</v>
      </c>
      <c r="M88" s="15">
        <f>E88/(L88*10^-6)/3600</f>
        <v>2.1171296296296296</v>
      </c>
    </row>
    <row r="89" spans="2:16">
      <c r="B89" s="18" t="s">
        <v>418</v>
      </c>
      <c r="C89" s="10" t="s">
        <v>21</v>
      </c>
      <c r="D89" s="4">
        <v>0.5</v>
      </c>
      <c r="E89" s="33">
        <f>E90</f>
        <v>2286.5</v>
      </c>
      <c r="F89" s="15" t="s">
        <v>111</v>
      </c>
      <c r="G89" s="10">
        <f t="shared" si="10"/>
        <v>158784.72222222222</v>
      </c>
      <c r="H89" s="10"/>
      <c r="I89" s="10">
        <v>0.7</v>
      </c>
      <c r="J89" s="29">
        <f t="shared" si="9"/>
        <v>0.35</v>
      </c>
      <c r="K89" s="66" t="s">
        <v>131</v>
      </c>
      <c r="L89" s="15">
        <f>300*1000</f>
        <v>300000</v>
      </c>
      <c r="M89" s="15">
        <f t="shared" si="11"/>
        <v>2.1171296296296296</v>
      </c>
    </row>
    <row r="90" spans="2:16" ht="15" customHeight="1">
      <c r="B90" s="18" t="s">
        <v>377</v>
      </c>
      <c r="C90" s="10" t="s">
        <v>21</v>
      </c>
      <c r="D90" s="4">
        <v>2.7</v>
      </c>
      <c r="E90" s="33">
        <f>E91</f>
        <v>2286.5</v>
      </c>
      <c r="F90" s="15" t="s">
        <v>111</v>
      </c>
      <c r="G90" s="10">
        <f t="shared" si="10"/>
        <v>158784.72222222222</v>
      </c>
      <c r="H90" s="10"/>
      <c r="I90" s="10">
        <v>0.7</v>
      </c>
      <c r="J90" s="29">
        <f t="shared" si="9"/>
        <v>1.89</v>
      </c>
      <c r="K90" s="66" t="s">
        <v>131</v>
      </c>
      <c r="L90" s="15">
        <f>300*1000</f>
        <v>300000</v>
      </c>
      <c r="M90" s="15">
        <f t="shared" si="11"/>
        <v>2.1171296296296296</v>
      </c>
      <c r="N90" s="56"/>
    </row>
    <row r="91" spans="2:16">
      <c r="B91" s="122" t="s">
        <v>378</v>
      </c>
      <c r="C91" s="10" t="s">
        <v>21</v>
      </c>
      <c r="D91" s="4">
        <v>0.3</v>
      </c>
      <c r="E91" s="33">
        <f>E93+E92</f>
        <v>2286.5</v>
      </c>
      <c r="F91" s="15" t="s">
        <v>111</v>
      </c>
      <c r="G91" s="10">
        <f t="shared" si="10"/>
        <v>158784.72222222222</v>
      </c>
      <c r="H91" s="10"/>
      <c r="I91" s="10">
        <v>0.7</v>
      </c>
      <c r="J91" s="29">
        <f t="shared" si="9"/>
        <v>0.21</v>
      </c>
      <c r="K91" s="66" t="s">
        <v>131</v>
      </c>
      <c r="L91" s="15">
        <f>300*1000</f>
        <v>300000</v>
      </c>
      <c r="M91" s="15">
        <f t="shared" si="11"/>
        <v>2.1171296296296296</v>
      </c>
      <c r="N91" s="56"/>
    </row>
    <row r="92" spans="2:16">
      <c r="B92" s="103" t="s">
        <v>379</v>
      </c>
      <c r="C92" s="10" t="s">
        <v>21</v>
      </c>
      <c r="D92" s="4">
        <v>0.5</v>
      </c>
      <c r="E92" s="33">
        <f>Données!H11/2</f>
        <v>687.5</v>
      </c>
      <c r="F92" s="15" t="s">
        <v>111</v>
      </c>
      <c r="G92" s="10">
        <f t="shared" si="10"/>
        <v>47743.055555555555</v>
      </c>
      <c r="H92" s="10"/>
      <c r="I92" s="15">
        <v>0.9</v>
      </c>
      <c r="J92" s="29">
        <f t="shared" si="9"/>
        <v>0.45</v>
      </c>
      <c r="K92" s="66" t="s">
        <v>409</v>
      </c>
      <c r="L92" s="15">
        <f>250*200</f>
        <v>50000</v>
      </c>
      <c r="M92" s="15">
        <f t="shared" si="11"/>
        <v>3.8194444444444451</v>
      </c>
      <c r="N92" s="56"/>
    </row>
    <row r="93" spans="2:16">
      <c r="B93" s="18" t="s">
        <v>380</v>
      </c>
      <c r="C93" s="10" t="s">
        <v>21</v>
      </c>
      <c r="D93" s="4">
        <v>0.5</v>
      </c>
      <c r="E93" s="33">
        <f>E79+E94</f>
        <v>1599</v>
      </c>
      <c r="F93" s="15" t="s">
        <v>111</v>
      </c>
      <c r="G93" s="10">
        <f t="shared" si="10"/>
        <v>111041.66666666666</v>
      </c>
      <c r="H93" s="10"/>
      <c r="I93" s="15">
        <v>0.3</v>
      </c>
      <c r="J93" s="29">
        <f t="shared" si="9"/>
        <v>0.15</v>
      </c>
      <c r="K93" s="66" t="s">
        <v>134</v>
      </c>
      <c r="L93" s="15">
        <f>200*800</f>
        <v>160000</v>
      </c>
      <c r="M93" s="15">
        <f t="shared" si="11"/>
        <v>2.7760416666666665</v>
      </c>
      <c r="N93" s="56"/>
    </row>
    <row r="94" spans="2:16">
      <c r="B94" s="18" t="s">
        <v>381</v>
      </c>
      <c r="C94" s="10" t="s">
        <v>21</v>
      </c>
      <c r="D94" s="4">
        <v>0.2</v>
      </c>
      <c r="E94" s="33">
        <f>E95+E80</f>
        <v>1019</v>
      </c>
      <c r="F94" s="15" t="s">
        <v>111</v>
      </c>
      <c r="G94" s="10">
        <f t="shared" si="10"/>
        <v>70763.888888888891</v>
      </c>
      <c r="H94" s="10"/>
      <c r="I94" s="15">
        <v>0.36</v>
      </c>
      <c r="J94" s="29">
        <f t="shared" si="9"/>
        <v>7.1999999999999995E-2</v>
      </c>
      <c r="K94" s="66" t="s">
        <v>122</v>
      </c>
      <c r="L94" s="15">
        <f>200*600</f>
        <v>120000</v>
      </c>
      <c r="M94" s="15">
        <f t="shared" si="11"/>
        <v>2.3587962962962967</v>
      </c>
      <c r="N94" s="153"/>
      <c r="O94" s="31"/>
      <c r="P94" s="31"/>
    </row>
    <row r="95" spans="2:16">
      <c r="B95" s="18" t="s">
        <v>382</v>
      </c>
      <c r="C95" s="10" t="s">
        <v>23</v>
      </c>
      <c r="D95" s="4">
        <v>1.98</v>
      </c>
      <c r="E95" s="33">
        <f>E96</f>
        <v>54</v>
      </c>
      <c r="F95" s="15" t="s">
        <v>111</v>
      </c>
      <c r="G95" s="10">
        <f t="shared" si="10"/>
        <v>3750</v>
      </c>
      <c r="H95" s="10"/>
      <c r="I95" s="15">
        <v>0.14000000000000001</v>
      </c>
      <c r="J95" s="29">
        <f t="shared" si="9"/>
        <v>0.2772</v>
      </c>
      <c r="K95" s="66" t="s">
        <v>307</v>
      </c>
      <c r="L95" s="15">
        <f>100*200</f>
        <v>20000</v>
      </c>
      <c r="M95" s="15">
        <f t="shared" si="11"/>
        <v>0.75</v>
      </c>
      <c r="N95" s="153"/>
      <c r="O95" s="31"/>
      <c r="P95" s="31"/>
    </row>
    <row r="96" spans="2:16">
      <c r="B96" s="103" t="s">
        <v>383</v>
      </c>
      <c r="C96" s="10" t="s">
        <v>23</v>
      </c>
      <c r="D96" s="4">
        <v>2</v>
      </c>
      <c r="E96" s="66">
        <f>E35</f>
        <v>54</v>
      </c>
      <c r="F96" s="15" t="s">
        <v>111</v>
      </c>
      <c r="G96" s="10">
        <f t="shared" si="10"/>
        <v>3750</v>
      </c>
      <c r="H96" s="10"/>
      <c r="I96" s="15">
        <v>0.14000000000000001</v>
      </c>
      <c r="J96" s="29">
        <f t="shared" si="9"/>
        <v>0.28000000000000003</v>
      </c>
      <c r="K96" s="66" t="s">
        <v>307</v>
      </c>
      <c r="L96" s="15">
        <f>100*200</f>
        <v>20000</v>
      </c>
      <c r="M96" s="15">
        <f t="shared" si="11"/>
        <v>0.75</v>
      </c>
      <c r="N96" s="153"/>
      <c r="O96" s="31"/>
      <c r="P96" s="31"/>
    </row>
    <row r="97" spans="2:16">
      <c r="B97" s="103" t="s">
        <v>386</v>
      </c>
      <c r="C97" s="10" t="s">
        <v>384</v>
      </c>
      <c r="D97" s="4">
        <v>0.2</v>
      </c>
      <c r="E97" s="66">
        <f>E36</f>
        <v>125</v>
      </c>
      <c r="F97" s="15" t="s">
        <v>109</v>
      </c>
      <c r="G97" s="10">
        <f t="shared" si="10"/>
        <v>8680.5555555555566</v>
      </c>
      <c r="H97" s="10">
        <f t="shared" ref="H97:H107" si="13">SQRT((4*G97)/PI())</f>
        <v>105.13052175084</v>
      </c>
      <c r="I97" s="15">
        <v>0.9</v>
      </c>
      <c r="J97" s="29">
        <f t="shared" si="9"/>
        <v>0.18000000000000002</v>
      </c>
      <c r="K97" s="66" t="s">
        <v>27</v>
      </c>
      <c r="L97" s="15">
        <f>(PI()*125^2)/4</f>
        <v>12271.846303085129</v>
      </c>
      <c r="M97" s="15">
        <f t="shared" si="11"/>
        <v>2.8294212105225847</v>
      </c>
      <c r="N97" s="153"/>
      <c r="O97" s="31"/>
      <c r="P97" s="31"/>
    </row>
    <row r="98" spans="2:16">
      <c r="B98" s="46" t="s">
        <v>387</v>
      </c>
      <c r="C98" s="10" t="s">
        <v>384</v>
      </c>
      <c r="D98" s="4">
        <v>1.925</v>
      </c>
      <c r="E98" s="66">
        <f>E97</f>
        <v>125</v>
      </c>
      <c r="F98" s="15" t="s">
        <v>109</v>
      </c>
      <c r="G98" s="10">
        <f t="shared" si="10"/>
        <v>8680.5555555555566</v>
      </c>
      <c r="H98" s="10">
        <f t="shared" si="13"/>
        <v>105.13052175084</v>
      </c>
      <c r="I98" s="15">
        <v>0.9</v>
      </c>
      <c r="J98" s="29">
        <f t="shared" si="9"/>
        <v>1.7325000000000002</v>
      </c>
      <c r="K98" s="66" t="s">
        <v>27</v>
      </c>
      <c r="L98" s="15">
        <f>(PI()*125^2)/4</f>
        <v>12271.846303085129</v>
      </c>
      <c r="M98" s="15">
        <f t="shared" si="11"/>
        <v>2.8294212105225847</v>
      </c>
      <c r="N98" s="153"/>
      <c r="O98" s="31"/>
      <c r="P98" s="31"/>
    </row>
    <row r="99" spans="2:16">
      <c r="B99" s="103" t="s">
        <v>388</v>
      </c>
      <c r="C99" s="10" t="s">
        <v>144</v>
      </c>
      <c r="D99" s="4">
        <v>0.3</v>
      </c>
      <c r="E99" s="66">
        <f>E38</f>
        <v>300</v>
      </c>
      <c r="F99" s="15" t="s">
        <v>109</v>
      </c>
      <c r="G99" s="10">
        <f t="shared" si="10"/>
        <v>20833.333333333332</v>
      </c>
      <c r="H99" s="10">
        <f t="shared" si="13"/>
        <v>162.86750396763998</v>
      </c>
      <c r="I99" s="15">
        <v>0.54</v>
      </c>
      <c r="J99" s="29">
        <f t="shared" si="9"/>
        <v>0.16200000000000001</v>
      </c>
      <c r="K99" s="66" t="s">
        <v>145</v>
      </c>
      <c r="L99" s="15">
        <f>(PI()*200^2)/4</f>
        <v>31415.926535897932</v>
      </c>
      <c r="M99" s="15">
        <f t="shared" si="11"/>
        <v>2.6525823848649219</v>
      </c>
    </row>
    <row r="100" spans="2:16">
      <c r="B100" s="18" t="s">
        <v>408</v>
      </c>
      <c r="C100" s="10" t="s">
        <v>144</v>
      </c>
      <c r="D100" s="4">
        <v>3.9</v>
      </c>
      <c r="E100" s="66">
        <f>E99+E98</f>
        <v>425</v>
      </c>
      <c r="F100" s="15" t="s">
        <v>109</v>
      </c>
      <c r="G100" s="10">
        <f t="shared" si="10"/>
        <v>29513.888888888887</v>
      </c>
      <c r="H100" s="10">
        <f t="shared" si="13"/>
        <v>193.85110382005325</v>
      </c>
      <c r="I100" s="15">
        <v>1</v>
      </c>
      <c r="J100" s="29">
        <f t="shared" si="9"/>
        <v>3.9</v>
      </c>
      <c r="K100" s="66" t="s">
        <v>145</v>
      </c>
      <c r="L100" s="15">
        <f>(PI()*200^2)/4</f>
        <v>31415.926535897932</v>
      </c>
      <c r="M100" s="15">
        <f t="shared" si="11"/>
        <v>3.7578250452253061</v>
      </c>
    </row>
    <row r="101" spans="2:16">
      <c r="B101" s="103" t="s">
        <v>389</v>
      </c>
      <c r="C101" s="10" t="s">
        <v>385</v>
      </c>
      <c r="D101" s="4">
        <v>0.2</v>
      </c>
      <c r="E101" s="66">
        <f>E41</f>
        <v>125</v>
      </c>
      <c r="F101" s="15" t="s">
        <v>109</v>
      </c>
      <c r="G101" s="10">
        <f t="shared" si="10"/>
        <v>8680.5555555555566</v>
      </c>
      <c r="H101" s="10">
        <f t="shared" si="13"/>
        <v>105.13052175084</v>
      </c>
      <c r="I101" s="15">
        <v>0.9</v>
      </c>
      <c r="J101" s="29">
        <f t="shared" si="9"/>
        <v>0.18000000000000002</v>
      </c>
      <c r="K101" s="66" t="s">
        <v>27</v>
      </c>
      <c r="L101" s="15">
        <f>(PI()*125^2)/4</f>
        <v>12271.846303085129</v>
      </c>
      <c r="M101" s="15">
        <f t="shared" si="11"/>
        <v>2.8294212105225847</v>
      </c>
    </row>
    <row r="102" spans="2:16">
      <c r="B102" s="18" t="s">
        <v>390</v>
      </c>
      <c r="C102" s="10" t="s">
        <v>385</v>
      </c>
      <c r="D102" s="4">
        <v>1.85</v>
      </c>
      <c r="E102" s="66">
        <f>E101+E100</f>
        <v>550</v>
      </c>
      <c r="F102" s="15" t="s">
        <v>109</v>
      </c>
      <c r="G102" s="10">
        <f t="shared" si="10"/>
        <v>38194.444444444445</v>
      </c>
      <c r="H102" s="10">
        <f t="shared" si="13"/>
        <v>220.52364285005115</v>
      </c>
      <c r="I102" s="15">
        <v>0.55000000000000004</v>
      </c>
      <c r="J102" s="29">
        <f t="shared" si="9"/>
        <v>1.0175000000000001</v>
      </c>
      <c r="K102" s="66" t="s">
        <v>11</v>
      </c>
      <c r="L102" s="15">
        <f t="shared" ref="L102" si="14">(PI()*250^2)/4</f>
        <v>49087.385212340516</v>
      </c>
      <c r="M102" s="15">
        <f t="shared" si="11"/>
        <v>3.1123633315748425</v>
      </c>
    </row>
    <row r="103" spans="2:16">
      <c r="B103" s="103" t="s">
        <v>391</v>
      </c>
      <c r="C103" s="10" t="s">
        <v>26</v>
      </c>
      <c r="D103" s="4">
        <v>1.8</v>
      </c>
      <c r="E103" s="66">
        <f>E44</f>
        <v>160</v>
      </c>
      <c r="F103" s="66" t="s">
        <v>111</v>
      </c>
      <c r="G103" s="10">
        <f t="shared" si="10"/>
        <v>11111.111111111111</v>
      </c>
      <c r="H103" s="10"/>
      <c r="I103" s="15">
        <v>0.6</v>
      </c>
      <c r="J103" s="29">
        <f t="shared" si="9"/>
        <v>1.08</v>
      </c>
      <c r="K103" s="66" t="s">
        <v>307</v>
      </c>
      <c r="L103" s="15">
        <f>200*100</f>
        <v>20000</v>
      </c>
      <c r="M103" s="15">
        <f t="shared" si="11"/>
        <v>2.2222222222222223</v>
      </c>
    </row>
    <row r="104" spans="2:16">
      <c r="B104" s="64" t="s">
        <v>392</v>
      </c>
      <c r="C104" s="10" t="s">
        <v>26</v>
      </c>
      <c r="D104" s="4">
        <v>5</v>
      </c>
      <c r="E104" s="66">
        <f>E103</f>
        <v>160</v>
      </c>
      <c r="F104" s="66" t="s">
        <v>111</v>
      </c>
      <c r="G104" s="10">
        <f t="shared" si="10"/>
        <v>11111.111111111111</v>
      </c>
      <c r="H104" s="10"/>
      <c r="I104" s="15">
        <v>0.6</v>
      </c>
      <c r="J104" s="29">
        <f t="shared" si="9"/>
        <v>3</v>
      </c>
      <c r="K104" s="66" t="s">
        <v>307</v>
      </c>
      <c r="L104" s="15">
        <f>200*100</f>
        <v>20000</v>
      </c>
      <c r="M104" s="15">
        <f t="shared" si="11"/>
        <v>2.2222222222222223</v>
      </c>
    </row>
    <row r="105" spans="2:16">
      <c r="B105" s="18" t="s">
        <v>393</v>
      </c>
      <c r="C105" s="10" t="s">
        <v>153</v>
      </c>
      <c r="D105" s="4">
        <v>1.3</v>
      </c>
      <c r="E105" s="66">
        <f>E102</f>
        <v>550</v>
      </c>
      <c r="F105" s="15" t="s">
        <v>109</v>
      </c>
      <c r="G105" s="10">
        <f t="shared" si="10"/>
        <v>38194.444444444445</v>
      </c>
      <c r="H105" s="10">
        <f t="shared" si="13"/>
        <v>220.52364285005115</v>
      </c>
      <c r="I105" s="15">
        <v>0.55000000000000004</v>
      </c>
      <c r="J105" s="29">
        <f t="shared" si="9"/>
        <v>0.71500000000000008</v>
      </c>
      <c r="K105" s="66" t="s">
        <v>11</v>
      </c>
      <c r="L105" s="15">
        <f>(PI()*250^2)/4</f>
        <v>49087.385212340516</v>
      </c>
      <c r="M105" s="15">
        <f t="shared" si="11"/>
        <v>3.1123633315748425</v>
      </c>
    </row>
    <row r="106" spans="2:16">
      <c r="B106" s="103" t="s">
        <v>394</v>
      </c>
      <c r="C106" s="10" t="s">
        <v>153</v>
      </c>
      <c r="D106" s="4">
        <v>0.3</v>
      </c>
      <c r="E106" s="66">
        <f>E46</f>
        <v>960</v>
      </c>
      <c r="F106" s="15" t="s">
        <v>109</v>
      </c>
      <c r="G106" s="10">
        <f t="shared" si="10"/>
        <v>66666.666666666672</v>
      </c>
      <c r="H106" s="10">
        <f t="shared" si="13"/>
        <v>291.34624815788777</v>
      </c>
      <c r="I106" s="15">
        <v>0.48</v>
      </c>
      <c r="J106" s="29">
        <f t="shared" si="9"/>
        <v>0.14399999999999999</v>
      </c>
      <c r="K106" s="66" t="s">
        <v>16</v>
      </c>
      <c r="L106" s="15">
        <f>(PI()*315^2)/4</f>
        <v>77931.132763111804</v>
      </c>
      <c r="M106" s="15">
        <f t="shared" si="11"/>
        <v>3.4218245932245916</v>
      </c>
    </row>
    <row r="107" spans="2:16">
      <c r="B107" s="18" t="s">
        <v>395</v>
      </c>
      <c r="C107" s="10" t="s">
        <v>153</v>
      </c>
      <c r="D107" s="4">
        <v>1.35</v>
      </c>
      <c r="E107" s="66">
        <f>E106+E105</f>
        <v>1510</v>
      </c>
      <c r="F107" s="15" t="s">
        <v>109</v>
      </c>
      <c r="G107" s="10">
        <f t="shared" si="10"/>
        <v>104861.11111111111</v>
      </c>
      <c r="H107" s="10">
        <f t="shared" si="13"/>
        <v>365.39473637633921</v>
      </c>
      <c r="I107" s="15">
        <v>0.31</v>
      </c>
      <c r="J107" s="29">
        <f t="shared" si="9"/>
        <v>0.41850000000000004</v>
      </c>
      <c r="K107" s="66" t="s">
        <v>22</v>
      </c>
      <c r="L107" s="15">
        <f>(PI()*400^2)/4</f>
        <v>125663.70614359173</v>
      </c>
      <c r="M107" s="15">
        <f t="shared" si="11"/>
        <v>3.3378328342883608</v>
      </c>
    </row>
    <row r="108" spans="2:16">
      <c r="B108" s="103" t="s">
        <v>396</v>
      </c>
      <c r="C108" s="10" t="s">
        <v>29</v>
      </c>
      <c r="D108" s="4">
        <v>2.35</v>
      </c>
      <c r="E108" s="66">
        <f>E49</f>
        <v>790</v>
      </c>
      <c r="F108" s="66" t="s">
        <v>111</v>
      </c>
      <c r="G108" s="10">
        <f t="shared" si="10"/>
        <v>54861.111111111109</v>
      </c>
      <c r="H108" s="10"/>
      <c r="I108" s="10">
        <v>0.8</v>
      </c>
      <c r="J108" s="29">
        <f t="shared" si="9"/>
        <v>1.8800000000000001</v>
      </c>
      <c r="K108" s="66" t="s">
        <v>115</v>
      </c>
      <c r="L108" s="15">
        <f>200*300</f>
        <v>60000</v>
      </c>
      <c r="M108" s="15">
        <f t="shared" si="11"/>
        <v>3.6574074074074079</v>
      </c>
    </row>
    <row r="109" spans="2:16">
      <c r="B109" s="103" t="s">
        <v>397</v>
      </c>
      <c r="C109" s="10" t="s">
        <v>29</v>
      </c>
      <c r="D109" s="4">
        <v>2.35</v>
      </c>
      <c r="E109" s="66">
        <f>E108</f>
        <v>790</v>
      </c>
      <c r="F109" s="66" t="s">
        <v>111</v>
      </c>
      <c r="G109" s="10">
        <f t="shared" si="10"/>
        <v>54861.111111111109</v>
      </c>
      <c r="H109" s="10"/>
      <c r="I109" s="10">
        <v>0.8</v>
      </c>
      <c r="J109" s="29">
        <f t="shared" si="9"/>
        <v>1.8800000000000001</v>
      </c>
      <c r="K109" s="66" t="s">
        <v>115</v>
      </c>
      <c r="L109" s="15">
        <f>200*300</f>
        <v>60000</v>
      </c>
      <c r="M109" s="15">
        <f t="shared" si="11"/>
        <v>3.6574074074074079</v>
      </c>
    </row>
    <row r="110" spans="2:16" ht="15" customHeight="1">
      <c r="B110" s="64" t="s">
        <v>230</v>
      </c>
      <c r="C110" s="10" t="s">
        <v>30</v>
      </c>
      <c r="D110" s="4">
        <v>7.5</v>
      </c>
      <c r="E110" s="33">
        <f>E111+E112</f>
        <v>2465</v>
      </c>
      <c r="F110" s="66" t="s">
        <v>111</v>
      </c>
      <c r="G110" s="10">
        <f t="shared" si="10"/>
        <v>171180.55555555556</v>
      </c>
      <c r="H110" s="10"/>
      <c r="I110" s="15">
        <v>0.38</v>
      </c>
      <c r="J110" s="29">
        <f t="shared" si="9"/>
        <v>2.85</v>
      </c>
      <c r="K110" s="66" t="s">
        <v>315</v>
      </c>
      <c r="L110" s="15">
        <f>250*800</f>
        <v>200000</v>
      </c>
      <c r="M110" s="15">
        <f t="shared" si="11"/>
        <v>3.4236111111111116</v>
      </c>
      <c r="O110" s="197" t="s">
        <v>477</v>
      </c>
      <c r="P110" s="197"/>
    </row>
    <row r="111" spans="2:16">
      <c r="B111" s="64" t="s">
        <v>398</v>
      </c>
      <c r="C111" s="10" t="s">
        <v>30</v>
      </c>
      <c r="D111" s="4">
        <v>3</v>
      </c>
      <c r="E111" s="66">
        <f>E108</f>
        <v>790</v>
      </c>
      <c r="F111" s="66" t="s">
        <v>111</v>
      </c>
      <c r="G111" s="10">
        <f t="shared" si="10"/>
        <v>54861.111111111109</v>
      </c>
      <c r="H111" s="10"/>
      <c r="I111" s="10">
        <f>I109</f>
        <v>0.8</v>
      </c>
      <c r="J111" s="29">
        <f t="shared" si="9"/>
        <v>2.4000000000000004</v>
      </c>
      <c r="K111" s="66" t="str">
        <f>K109</f>
        <v>200x300</v>
      </c>
      <c r="L111" s="66">
        <f>L109</f>
        <v>60000</v>
      </c>
      <c r="M111" s="15">
        <f t="shared" si="11"/>
        <v>3.6574074074074079</v>
      </c>
      <c r="O111" s="197"/>
      <c r="P111" s="197"/>
    </row>
    <row r="112" spans="2:16">
      <c r="B112" s="18" t="s">
        <v>399</v>
      </c>
      <c r="C112" s="10" t="s">
        <v>30</v>
      </c>
      <c r="D112" s="4">
        <v>0.5</v>
      </c>
      <c r="E112" s="33">
        <f>E113+E114</f>
        <v>1675</v>
      </c>
      <c r="F112" s="15" t="s">
        <v>111</v>
      </c>
      <c r="G112" s="10">
        <f t="shared" si="10"/>
        <v>116319.44444444445</v>
      </c>
      <c r="H112" s="10"/>
      <c r="I112" s="15">
        <v>0.48</v>
      </c>
      <c r="J112" s="29">
        <f t="shared" si="9"/>
        <v>0.24</v>
      </c>
      <c r="K112" s="66" t="s">
        <v>127</v>
      </c>
      <c r="L112" s="15">
        <f>250*500</f>
        <v>125000</v>
      </c>
      <c r="M112" s="15">
        <f t="shared" si="11"/>
        <v>3.7222222222222223</v>
      </c>
      <c r="O112" s="197"/>
      <c r="P112" s="197"/>
    </row>
    <row r="113" spans="2:16">
      <c r="B113" s="103" t="s">
        <v>400</v>
      </c>
      <c r="C113" s="10" t="s">
        <v>30</v>
      </c>
      <c r="D113" s="4">
        <v>0.3</v>
      </c>
      <c r="E113" s="66">
        <f>E52</f>
        <v>885</v>
      </c>
      <c r="F113" s="15" t="s">
        <v>111</v>
      </c>
      <c r="G113" s="10">
        <f t="shared" si="10"/>
        <v>61458.333333333328</v>
      </c>
      <c r="H113" s="10"/>
      <c r="I113" s="15">
        <v>0.52</v>
      </c>
      <c r="J113" s="29">
        <f t="shared" si="9"/>
        <v>0.156</v>
      </c>
      <c r="K113" s="66" t="s">
        <v>162</v>
      </c>
      <c r="L113" s="15">
        <f>300*300</f>
        <v>90000</v>
      </c>
      <c r="M113" s="15">
        <f t="shared" si="11"/>
        <v>2.7314814814814818</v>
      </c>
      <c r="O113" s="197"/>
      <c r="P113" s="197"/>
    </row>
    <row r="114" spans="2:16">
      <c r="B114" s="64" t="s">
        <v>401</v>
      </c>
      <c r="C114" s="10" t="s">
        <v>30</v>
      </c>
      <c r="D114" s="4">
        <v>0.5</v>
      </c>
      <c r="E114" s="66">
        <f>E109</f>
        <v>790</v>
      </c>
      <c r="F114" s="15" t="s">
        <v>111</v>
      </c>
      <c r="G114" s="10">
        <f t="shared" si="10"/>
        <v>54861.111111111109</v>
      </c>
      <c r="H114" s="10"/>
      <c r="I114" s="10">
        <f>I109</f>
        <v>0.8</v>
      </c>
      <c r="J114" s="29">
        <f t="shared" si="9"/>
        <v>0.4</v>
      </c>
      <c r="K114" s="66" t="str">
        <f>K109</f>
        <v>200x300</v>
      </c>
      <c r="L114" s="15">
        <f>L109</f>
        <v>60000</v>
      </c>
      <c r="M114" s="15">
        <f t="shared" si="11"/>
        <v>3.6574074074074079</v>
      </c>
      <c r="O114" s="31"/>
      <c r="P114" s="31"/>
    </row>
    <row r="115" spans="2:16">
      <c r="B115" s="18" t="s">
        <v>416</v>
      </c>
      <c r="C115" s="10" t="s">
        <v>30</v>
      </c>
      <c r="D115" s="4">
        <v>3.3</v>
      </c>
      <c r="E115" s="33">
        <f>E116</f>
        <v>2555</v>
      </c>
      <c r="F115" s="15" t="s">
        <v>111</v>
      </c>
      <c r="G115" s="10">
        <f t="shared" si="10"/>
        <v>177430.55555555556</v>
      </c>
      <c r="H115" s="10"/>
      <c r="I115" s="10">
        <v>0.4</v>
      </c>
      <c r="J115" s="29">
        <f t="shared" si="9"/>
        <v>1.32</v>
      </c>
      <c r="K115" s="66" t="s">
        <v>315</v>
      </c>
      <c r="L115" s="15">
        <f>250*800</f>
        <v>200000</v>
      </c>
      <c r="M115" s="15">
        <f t="shared" si="11"/>
        <v>3.5486111111111116</v>
      </c>
      <c r="O115" s="31"/>
      <c r="P115" s="31"/>
    </row>
    <row r="116" spans="2:16">
      <c r="B116" s="64" t="s">
        <v>419</v>
      </c>
      <c r="C116" s="33" t="s">
        <v>30</v>
      </c>
      <c r="D116" s="4">
        <v>0.5</v>
      </c>
      <c r="E116" s="33">
        <f>E117</f>
        <v>2555</v>
      </c>
      <c r="F116" s="15" t="s">
        <v>111</v>
      </c>
      <c r="G116" s="10">
        <f t="shared" si="10"/>
        <v>177430.55555555556</v>
      </c>
      <c r="H116" s="10"/>
      <c r="I116" s="10">
        <v>0.4</v>
      </c>
      <c r="J116" s="29">
        <f t="shared" si="9"/>
        <v>0.2</v>
      </c>
      <c r="K116" s="66" t="s">
        <v>315</v>
      </c>
      <c r="L116" s="15">
        <f>250*800</f>
        <v>200000</v>
      </c>
      <c r="M116" s="15">
        <f t="shared" si="11"/>
        <v>3.5486111111111116</v>
      </c>
      <c r="O116" s="197" t="s">
        <v>478</v>
      </c>
      <c r="P116" s="197"/>
    </row>
    <row r="117" spans="2:16">
      <c r="B117" s="18" t="s">
        <v>402</v>
      </c>
      <c r="C117" s="10" t="s">
        <v>30</v>
      </c>
      <c r="D117" s="4">
        <v>6.3</v>
      </c>
      <c r="E117" s="33">
        <f>E118+E119</f>
        <v>2555</v>
      </c>
      <c r="F117" s="15" t="s">
        <v>111</v>
      </c>
      <c r="G117" s="10">
        <f t="shared" si="10"/>
        <v>177430.55555555556</v>
      </c>
      <c r="H117" s="10"/>
      <c r="I117" s="10">
        <v>0.4</v>
      </c>
      <c r="J117" s="29">
        <f t="shared" si="9"/>
        <v>2.52</v>
      </c>
      <c r="K117" s="66" t="s">
        <v>315</v>
      </c>
      <c r="L117" s="15">
        <f>250*800</f>
        <v>200000</v>
      </c>
      <c r="M117" s="15">
        <f t="shared" si="11"/>
        <v>3.5486111111111116</v>
      </c>
      <c r="O117" s="197"/>
      <c r="P117" s="197"/>
    </row>
    <row r="118" spans="2:16">
      <c r="B118" s="103" t="s">
        <v>403</v>
      </c>
      <c r="C118" s="10" t="s">
        <v>30</v>
      </c>
      <c r="D118" s="4">
        <v>0.3</v>
      </c>
      <c r="E118" s="66">
        <f>E113</f>
        <v>885</v>
      </c>
      <c r="F118" s="15" t="s">
        <v>111</v>
      </c>
      <c r="G118" s="10">
        <f t="shared" si="10"/>
        <v>61458.333333333328</v>
      </c>
      <c r="H118" s="10"/>
      <c r="I118" s="10">
        <v>0.64</v>
      </c>
      <c r="J118" s="29">
        <f t="shared" si="9"/>
        <v>0.192</v>
      </c>
      <c r="K118" s="66" t="s">
        <v>420</v>
      </c>
      <c r="L118" s="15">
        <f>150*500</f>
        <v>75000</v>
      </c>
      <c r="M118" s="15">
        <f t="shared" si="11"/>
        <v>3.2777777777777777</v>
      </c>
      <c r="O118" s="197"/>
      <c r="P118" s="197"/>
    </row>
    <row r="119" spans="2:16">
      <c r="B119" s="18" t="s">
        <v>404</v>
      </c>
      <c r="C119" s="10" t="s">
        <v>30</v>
      </c>
      <c r="D119" s="4">
        <v>0.5</v>
      </c>
      <c r="E119" s="33">
        <f>E120</f>
        <v>1670</v>
      </c>
      <c r="F119" s="66" t="s">
        <v>111</v>
      </c>
      <c r="G119" s="10">
        <f t="shared" si="10"/>
        <v>115972.22222222223</v>
      </c>
      <c r="H119" s="10"/>
      <c r="I119" s="15">
        <v>0.48</v>
      </c>
      <c r="J119" s="29">
        <f t="shared" si="9"/>
        <v>0.24</v>
      </c>
      <c r="K119" s="66" t="s">
        <v>164</v>
      </c>
      <c r="L119" s="15">
        <f>300*400</f>
        <v>120000</v>
      </c>
      <c r="M119" s="15">
        <f t="shared" si="11"/>
        <v>3.8657407407407409</v>
      </c>
    </row>
    <row r="120" spans="2:16">
      <c r="B120" s="18" t="s">
        <v>405</v>
      </c>
      <c r="C120" s="10" t="s">
        <v>30</v>
      </c>
      <c r="D120" s="4">
        <v>2.15</v>
      </c>
      <c r="E120" s="66">
        <f>E104+E107</f>
        <v>1670</v>
      </c>
      <c r="F120" s="15" t="s">
        <v>111</v>
      </c>
      <c r="G120" s="10">
        <f t="shared" si="10"/>
        <v>115972.22222222223</v>
      </c>
      <c r="H120" s="10"/>
      <c r="I120" s="15">
        <v>0.48</v>
      </c>
      <c r="J120" s="29">
        <f t="shared" si="9"/>
        <v>1.032</v>
      </c>
      <c r="K120" s="66" t="s">
        <v>164</v>
      </c>
      <c r="L120" s="15">
        <f>300*400</f>
        <v>120000</v>
      </c>
      <c r="M120" s="15">
        <f t="shared" si="11"/>
        <v>3.8657407407407409</v>
      </c>
      <c r="O120" s="197" t="s">
        <v>479</v>
      </c>
      <c r="P120" s="197"/>
    </row>
    <row r="121" spans="2:16">
      <c r="B121" s="18" t="s">
        <v>410</v>
      </c>
      <c r="C121" s="10" t="s">
        <v>37</v>
      </c>
      <c r="D121" s="4">
        <v>0.4</v>
      </c>
      <c r="E121" s="10">
        <f>E122+E88</f>
        <v>5924</v>
      </c>
      <c r="F121" s="15" t="s">
        <v>111</v>
      </c>
      <c r="G121" s="10">
        <f>E121/(3600*$C$6) * 10^6</f>
        <v>235079.36507936509</v>
      </c>
      <c r="H121" s="10"/>
      <c r="I121" s="15">
        <v>0.92</v>
      </c>
      <c r="J121" s="29">
        <f t="shared" si="9"/>
        <v>0.36800000000000005</v>
      </c>
      <c r="K121" s="66" t="s">
        <v>329</v>
      </c>
      <c r="L121" s="15">
        <f>500*500</f>
        <v>250000</v>
      </c>
      <c r="M121" s="15">
        <f t="shared" si="11"/>
        <v>6.5822222222222226</v>
      </c>
      <c r="O121" s="197"/>
      <c r="P121" s="197"/>
    </row>
    <row r="122" spans="2:16">
      <c r="B122" s="18" t="s">
        <v>412</v>
      </c>
      <c r="C122" s="10" t="s">
        <v>37</v>
      </c>
      <c r="D122" s="4">
        <v>0.5</v>
      </c>
      <c r="E122" s="10">
        <f>E123</f>
        <v>3637.5</v>
      </c>
      <c r="F122" s="15" t="s">
        <v>111</v>
      </c>
      <c r="G122" s="10">
        <f t="shared" ref="G122:G127" si="15">E122/(3600*$C$6) * 10^6</f>
        <v>144345.23809523808</v>
      </c>
      <c r="H122" s="10"/>
      <c r="I122" s="15">
        <f>I81</f>
        <v>0.28000000000000003</v>
      </c>
      <c r="J122" s="29">
        <f t="shared" si="9"/>
        <v>0.14000000000000001</v>
      </c>
      <c r="K122" s="66" t="str">
        <f>K81</f>
        <v>300x1000</v>
      </c>
      <c r="L122" s="15">
        <f>L81</f>
        <v>300000</v>
      </c>
      <c r="M122" s="15">
        <f t="shared" si="11"/>
        <v>3.3680555555555554</v>
      </c>
      <c r="O122" s="197"/>
      <c r="P122" s="197"/>
    </row>
    <row r="123" spans="2:16">
      <c r="B123" s="18" t="s">
        <v>417</v>
      </c>
      <c r="C123" s="10" t="s">
        <v>37</v>
      </c>
      <c r="D123" s="48">
        <v>0.5</v>
      </c>
      <c r="E123" s="12">
        <f>E81</f>
        <v>3637.5</v>
      </c>
      <c r="F123" s="15" t="s">
        <v>111</v>
      </c>
      <c r="G123" s="10">
        <f t="shared" si="15"/>
        <v>144345.23809523808</v>
      </c>
      <c r="H123" s="9"/>
      <c r="I123" s="15">
        <f>I122</f>
        <v>0.28000000000000003</v>
      </c>
      <c r="J123" s="29">
        <f t="shared" si="9"/>
        <v>0.14000000000000001</v>
      </c>
      <c r="K123" s="144" t="str">
        <f>K81</f>
        <v>300x1000</v>
      </c>
      <c r="L123" s="14">
        <f>L122</f>
        <v>300000</v>
      </c>
      <c r="M123" s="15">
        <f t="shared" si="11"/>
        <v>3.3680555555555554</v>
      </c>
    </row>
    <row r="124" spans="2:16">
      <c r="B124" s="18" t="s">
        <v>411</v>
      </c>
      <c r="C124" s="10" t="s">
        <v>37</v>
      </c>
      <c r="D124" s="4">
        <v>0.4</v>
      </c>
      <c r="E124" s="10">
        <f>E125+E115</f>
        <v>5020</v>
      </c>
      <c r="F124" s="15" t="s">
        <v>111</v>
      </c>
      <c r="G124" s="10">
        <f t="shared" si="15"/>
        <v>199206.3492063492</v>
      </c>
      <c r="H124" s="10"/>
      <c r="I124" s="15">
        <v>0.98</v>
      </c>
      <c r="J124" s="29">
        <f t="shared" si="9"/>
        <v>0.39200000000000002</v>
      </c>
      <c r="K124" s="66" t="s">
        <v>129</v>
      </c>
      <c r="L124" s="15">
        <f>300*800</f>
        <v>240000</v>
      </c>
      <c r="M124" s="15">
        <f t="shared" si="11"/>
        <v>5.8101851851851851</v>
      </c>
    </row>
    <row r="125" spans="2:16">
      <c r="B125" s="18" t="s">
        <v>414</v>
      </c>
      <c r="C125" s="10" t="s">
        <v>37</v>
      </c>
      <c r="D125" s="4">
        <v>0.5</v>
      </c>
      <c r="E125" s="10">
        <f>E126</f>
        <v>2465</v>
      </c>
      <c r="F125" s="15" t="s">
        <v>111</v>
      </c>
      <c r="G125" s="10">
        <f t="shared" si="15"/>
        <v>97817.460317460311</v>
      </c>
      <c r="H125" s="10"/>
      <c r="I125" s="15">
        <f>I110</f>
        <v>0.38</v>
      </c>
      <c r="J125" s="29">
        <f t="shared" si="9"/>
        <v>0.19</v>
      </c>
      <c r="K125" s="66" t="str">
        <f>K110</f>
        <v>250x800</v>
      </c>
      <c r="L125" s="15">
        <f>L110</f>
        <v>200000</v>
      </c>
      <c r="M125" s="15">
        <f t="shared" si="11"/>
        <v>3.4236111111111116</v>
      </c>
    </row>
    <row r="126" spans="2:16">
      <c r="B126" s="18" t="s">
        <v>415</v>
      </c>
      <c r="C126" s="10" t="s">
        <v>37</v>
      </c>
      <c r="D126" s="4">
        <v>0.5</v>
      </c>
      <c r="E126" s="10">
        <f>E110</f>
        <v>2465</v>
      </c>
      <c r="F126" s="15" t="s">
        <v>111</v>
      </c>
      <c r="G126" s="10">
        <f t="shared" si="15"/>
        <v>97817.460317460311</v>
      </c>
      <c r="H126" s="10"/>
      <c r="I126" s="15">
        <f>I125</f>
        <v>0.38</v>
      </c>
      <c r="J126" s="29">
        <f t="shared" si="9"/>
        <v>0.19</v>
      </c>
      <c r="K126" s="66" t="str">
        <f>K125</f>
        <v>250x800</v>
      </c>
      <c r="L126" s="15">
        <f>L125</f>
        <v>200000</v>
      </c>
      <c r="M126" s="15">
        <f t="shared" si="11"/>
        <v>3.4236111111111116</v>
      </c>
    </row>
    <row r="127" spans="2:16">
      <c r="B127" s="18" t="s">
        <v>406</v>
      </c>
      <c r="C127" s="10" t="s">
        <v>37</v>
      </c>
      <c r="D127" s="4">
        <v>7</v>
      </c>
      <c r="E127" s="10">
        <f>E124+E121</f>
        <v>10944</v>
      </c>
      <c r="F127" s="15" t="s">
        <v>111</v>
      </c>
      <c r="G127" s="10">
        <f t="shared" si="15"/>
        <v>434285.71428571426</v>
      </c>
      <c r="H127" s="10"/>
      <c r="I127" s="15">
        <v>0.62</v>
      </c>
      <c r="J127" s="29">
        <f t="shared" si="9"/>
        <v>4.34</v>
      </c>
      <c r="K127" s="66" t="s">
        <v>325</v>
      </c>
      <c r="L127" s="15">
        <f>600*800</f>
        <v>480000</v>
      </c>
      <c r="M127" s="15">
        <f>E127/(L127*10^-6)/3600</f>
        <v>6.333333333333333</v>
      </c>
    </row>
    <row r="128" spans="2:16">
      <c r="B128" s="18" t="s">
        <v>407</v>
      </c>
      <c r="C128" s="10" t="s">
        <v>323</v>
      </c>
      <c r="D128" s="4">
        <v>3</v>
      </c>
      <c r="E128" s="10">
        <f>E127</f>
        <v>10944</v>
      </c>
      <c r="F128" s="15" t="s">
        <v>111</v>
      </c>
      <c r="G128" s="10">
        <f>E128/(3600*$C$6) * 10^6</f>
        <v>434285.71428571426</v>
      </c>
      <c r="H128" s="10"/>
      <c r="I128" s="15">
        <f>I127</f>
        <v>0.62</v>
      </c>
      <c r="J128" s="29">
        <f t="shared" si="9"/>
        <v>1.8599999999999999</v>
      </c>
      <c r="K128" s="66" t="str">
        <f>K127</f>
        <v>600x800</v>
      </c>
      <c r="L128" s="15">
        <f t="shared" ref="L128:L129" si="16">600*800</f>
        <v>480000</v>
      </c>
      <c r="M128" s="15">
        <f>E128/(L128*10^-6)/3600</f>
        <v>6.333333333333333</v>
      </c>
    </row>
    <row r="129" spans="2:15">
      <c r="B129" s="18" t="s">
        <v>231</v>
      </c>
      <c r="C129" s="10" t="s">
        <v>324</v>
      </c>
      <c r="D129" s="4">
        <v>0.8</v>
      </c>
      <c r="E129" s="10">
        <f>E128</f>
        <v>10944</v>
      </c>
      <c r="F129" s="15" t="s">
        <v>111</v>
      </c>
      <c r="G129" s="10">
        <f>E129/(3600*$C$6) * 10^6</f>
        <v>434285.71428571426</v>
      </c>
      <c r="H129" s="10"/>
      <c r="I129" s="15">
        <f>I127</f>
        <v>0.62</v>
      </c>
      <c r="J129" s="29">
        <f t="shared" si="9"/>
        <v>0.496</v>
      </c>
      <c r="K129" s="66" t="str">
        <f>K128</f>
        <v>600x800</v>
      </c>
      <c r="L129" s="15">
        <f t="shared" si="16"/>
        <v>480000</v>
      </c>
      <c r="M129" s="15">
        <f>E129/(L129*10^-6)/3600</f>
        <v>6.333333333333333</v>
      </c>
    </row>
    <row r="132" spans="2:15">
      <c r="B132" s="194" t="s">
        <v>299</v>
      </c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6"/>
    </row>
    <row r="135" spans="2:15" ht="45">
      <c r="B135" s="10" t="s">
        <v>96</v>
      </c>
      <c r="C135" s="10" t="s">
        <v>97</v>
      </c>
      <c r="D135" s="10" t="s">
        <v>173</v>
      </c>
      <c r="E135" s="10" t="s">
        <v>496</v>
      </c>
      <c r="F135" s="2" t="s">
        <v>101</v>
      </c>
      <c r="G135" s="20" t="s">
        <v>498</v>
      </c>
      <c r="H135" s="20" t="s">
        <v>103</v>
      </c>
      <c r="I135" s="28" t="s">
        <v>104</v>
      </c>
      <c r="J135" s="22" t="s">
        <v>105</v>
      </c>
      <c r="K135" s="20" t="s">
        <v>106</v>
      </c>
      <c r="L135" s="20" t="s">
        <v>107</v>
      </c>
    </row>
    <row r="136" spans="2:15">
      <c r="B136" s="150" t="s">
        <v>489</v>
      </c>
      <c r="C136" s="33" t="s">
        <v>30</v>
      </c>
      <c r="D136" s="4">
        <v>6.5</v>
      </c>
      <c r="E136" s="33">
        <f>E137</f>
        <v>250</v>
      </c>
      <c r="F136" s="105" t="s">
        <v>111</v>
      </c>
      <c r="G136" s="10">
        <f t="shared" ref="G136:G147" si="17">E136/(3600*$C$7) * 10^6</f>
        <v>17361.111111111113</v>
      </c>
      <c r="H136" s="15">
        <v>1</v>
      </c>
      <c r="I136" s="29">
        <f t="shared" ref="I136:I150" si="18">D136*H136</f>
        <v>6.5</v>
      </c>
      <c r="J136" s="66" t="s">
        <v>486</v>
      </c>
      <c r="K136" s="15">
        <f>150*200</f>
        <v>30000</v>
      </c>
      <c r="L136" s="15">
        <f t="shared" ref="L136:L150" si="19">E136/(K136*10^-6)/3600</f>
        <v>2.3148148148148149</v>
      </c>
    </row>
    <row r="137" spans="2:15">
      <c r="B137" s="64" t="s">
        <v>490</v>
      </c>
      <c r="C137" s="33" t="s">
        <v>30</v>
      </c>
      <c r="D137" s="4">
        <v>5</v>
      </c>
      <c r="E137" s="33">
        <f>E138</f>
        <v>250</v>
      </c>
      <c r="F137" s="15" t="s">
        <v>111</v>
      </c>
      <c r="G137" s="10">
        <f t="shared" si="17"/>
        <v>17361.111111111113</v>
      </c>
      <c r="H137" s="15">
        <v>1</v>
      </c>
      <c r="I137" s="29">
        <f t="shared" si="18"/>
        <v>5</v>
      </c>
      <c r="J137" s="66" t="s">
        <v>486</v>
      </c>
      <c r="K137" s="15">
        <f t="shared" ref="K137:K139" si="20">150*200</f>
        <v>30000</v>
      </c>
      <c r="L137" s="15">
        <f t="shared" si="19"/>
        <v>2.3148148148148149</v>
      </c>
    </row>
    <row r="138" spans="2:15">
      <c r="B138" s="64" t="s">
        <v>491</v>
      </c>
      <c r="C138" s="33" t="s">
        <v>30</v>
      </c>
      <c r="D138" s="4">
        <v>2.5</v>
      </c>
      <c r="E138" s="33">
        <f>E139</f>
        <v>250</v>
      </c>
      <c r="F138" s="15" t="s">
        <v>111</v>
      </c>
      <c r="G138" s="10">
        <f t="shared" si="17"/>
        <v>17361.111111111113</v>
      </c>
      <c r="H138" s="15">
        <v>1</v>
      </c>
      <c r="I138" s="29">
        <f t="shared" si="18"/>
        <v>2.5</v>
      </c>
      <c r="J138" s="66" t="s">
        <v>486</v>
      </c>
      <c r="K138" s="15">
        <f t="shared" si="20"/>
        <v>30000</v>
      </c>
      <c r="L138" s="15">
        <f t="shared" si="19"/>
        <v>2.3148148148148149</v>
      </c>
    </row>
    <row r="139" spans="2:15">
      <c r="B139" s="64" t="s">
        <v>492</v>
      </c>
      <c r="C139" s="33" t="s">
        <v>30</v>
      </c>
      <c r="D139" s="4">
        <v>0.5</v>
      </c>
      <c r="E139" s="33">
        <f>E140+E142</f>
        <v>250</v>
      </c>
      <c r="F139" s="15" t="s">
        <v>111</v>
      </c>
      <c r="G139" s="10">
        <f t="shared" si="17"/>
        <v>17361.111111111113</v>
      </c>
      <c r="H139" s="15">
        <v>1</v>
      </c>
      <c r="I139" s="29">
        <f t="shared" si="18"/>
        <v>0.5</v>
      </c>
      <c r="J139" s="66" t="s">
        <v>486</v>
      </c>
      <c r="K139" s="15">
        <f t="shared" si="20"/>
        <v>30000</v>
      </c>
      <c r="L139" s="15">
        <f t="shared" si="19"/>
        <v>2.3148148148148149</v>
      </c>
    </row>
    <row r="140" spans="2:15">
      <c r="B140" s="64" t="s">
        <v>506</v>
      </c>
      <c r="C140" s="33" t="s">
        <v>30</v>
      </c>
      <c r="D140" s="4">
        <v>0.9</v>
      </c>
      <c r="E140" s="33">
        <f>E143+E141</f>
        <v>200</v>
      </c>
      <c r="F140" s="15" t="s">
        <v>111</v>
      </c>
      <c r="G140" s="10">
        <f t="shared" si="17"/>
        <v>13888.888888888889</v>
      </c>
      <c r="H140" s="15">
        <v>1</v>
      </c>
      <c r="I140" s="29">
        <f t="shared" si="18"/>
        <v>0.9</v>
      </c>
      <c r="J140" s="66" t="s">
        <v>307</v>
      </c>
      <c r="K140" s="15">
        <f>100*200</f>
        <v>20000</v>
      </c>
      <c r="L140" s="15">
        <f t="shared" si="19"/>
        <v>2.7777777777777777</v>
      </c>
    </row>
    <row r="141" spans="2:15">
      <c r="B141" s="64" t="s">
        <v>509</v>
      </c>
      <c r="C141" s="33" t="s">
        <v>30</v>
      </c>
      <c r="D141" s="4">
        <v>0.3</v>
      </c>
      <c r="E141" s="33">
        <f>E145+E146</f>
        <v>150</v>
      </c>
      <c r="F141" s="15" t="s">
        <v>111</v>
      </c>
      <c r="G141" s="10">
        <f t="shared" si="17"/>
        <v>10416.666666666666</v>
      </c>
      <c r="H141" s="15">
        <v>1</v>
      </c>
      <c r="I141" s="29">
        <f t="shared" si="18"/>
        <v>0.3</v>
      </c>
      <c r="J141" s="66" t="s">
        <v>307</v>
      </c>
      <c r="K141" s="15">
        <f>150*200</f>
        <v>30000</v>
      </c>
      <c r="L141" s="15">
        <f t="shared" si="19"/>
        <v>1.3888888888888888</v>
      </c>
    </row>
    <row r="142" spans="2:15">
      <c r="B142" s="151" t="s">
        <v>507</v>
      </c>
      <c r="C142" s="33" t="s">
        <v>31</v>
      </c>
      <c r="D142" s="49">
        <v>2.5</v>
      </c>
      <c r="E142" s="33">
        <f>50</f>
        <v>50</v>
      </c>
      <c r="F142" s="15" t="s">
        <v>111</v>
      </c>
      <c r="G142" s="10">
        <f t="shared" si="17"/>
        <v>3472.2222222222222</v>
      </c>
      <c r="H142" s="15">
        <v>0.4</v>
      </c>
      <c r="I142" s="29">
        <f t="shared" si="18"/>
        <v>1</v>
      </c>
      <c r="J142" s="66" t="s">
        <v>497</v>
      </c>
      <c r="K142" s="66">
        <f>100*100</f>
        <v>10000</v>
      </c>
      <c r="L142" s="15">
        <f t="shared" si="19"/>
        <v>1.3888888888888888</v>
      </c>
      <c r="N142" s="197"/>
      <c r="O142" s="197"/>
    </row>
    <row r="143" spans="2:15">
      <c r="B143" s="41" t="s">
        <v>508</v>
      </c>
      <c r="C143" s="33" t="s">
        <v>34</v>
      </c>
      <c r="D143" s="49">
        <v>2.8</v>
      </c>
      <c r="E143" s="33">
        <f>E144</f>
        <v>50</v>
      </c>
      <c r="F143" s="15" t="s">
        <v>111</v>
      </c>
      <c r="G143" s="10">
        <f t="shared" si="17"/>
        <v>3472.2222222222222</v>
      </c>
      <c r="H143" s="15">
        <v>0.4</v>
      </c>
      <c r="I143" s="29">
        <f t="shared" si="18"/>
        <v>1.1199999999999999</v>
      </c>
      <c r="J143" s="66" t="s">
        <v>497</v>
      </c>
      <c r="K143" s="15">
        <f>100*100</f>
        <v>10000</v>
      </c>
      <c r="L143" s="15">
        <f t="shared" si="19"/>
        <v>1.3888888888888888</v>
      </c>
      <c r="N143" s="197"/>
      <c r="O143" s="197"/>
    </row>
    <row r="144" spans="2:15">
      <c r="B144" s="151" t="s">
        <v>493</v>
      </c>
      <c r="C144" s="33" t="s">
        <v>34</v>
      </c>
      <c r="D144" s="49">
        <v>1.7</v>
      </c>
      <c r="E144" s="33">
        <f>50</f>
        <v>50</v>
      </c>
      <c r="F144" s="15" t="s">
        <v>111</v>
      </c>
      <c r="G144" s="10">
        <f t="shared" si="17"/>
        <v>3472.2222222222222</v>
      </c>
      <c r="H144" s="15">
        <v>0.4</v>
      </c>
      <c r="I144" s="29">
        <f t="shared" si="18"/>
        <v>0.68</v>
      </c>
      <c r="J144" s="66" t="s">
        <v>497</v>
      </c>
      <c r="K144" s="15">
        <f>100*100</f>
        <v>10000</v>
      </c>
      <c r="L144" s="15">
        <f t="shared" si="19"/>
        <v>1.3888888888888888</v>
      </c>
      <c r="N144" s="197"/>
      <c r="O144" s="197"/>
    </row>
    <row r="145" spans="2:34">
      <c r="B145" s="151" t="s">
        <v>494</v>
      </c>
      <c r="C145" s="33" t="s">
        <v>32</v>
      </c>
      <c r="D145" s="49">
        <v>1.5</v>
      </c>
      <c r="E145" s="33">
        <f>100</f>
        <v>100</v>
      </c>
      <c r="F145" s="15" t="s">
        <v>111</v>
      </c>
      <c r="G145" s="10">
        <f t="shared" si="17"/>
        <v>6944.4444444444443</v>
      </c>
      <c r="H145" s="15">
        <v>0.55000000000000004</v>
      </c>
      <c r="I145" s="29">
        <f t="shared" si="18"/>
        <v>0.82500000000000007</v>
      </c>
      <c r="J145" s="66" t="s">
        <v>499</v>
      </c>
      <c r="K145" s="15">
        <f>100*150</f>
        <v>15000</v>
      </c>
      <c r="L145" s="15">
        <f t="shared" si="19"/>
        <v>1.8518518518518519</v>
      </c>
      <c r="N145" s="197"/>
      <c r="O145" s="197"/>
    </row>
    <row r="146" spans="2:34">
      <c r="B146" s="152" t="s">
        <v>510</v>
      </c>
      <c r="C146" s="33" t="s">
        <v>35</v>
      </c>
      <c r="D146" s="49">
        <v>2.5</v>
      </c>
      <c r="E146" s="33">
        <f>E147</f>
        <v>50</v>
      </c>
      <c r="F146" s="15" t="s">
        <v>111</v>
      </c>
      <c r="G146" s="10">
        <f t="shared" si="17"/>
        <v>3472.2222222222222</v>
      </c>
      <c r="H146" s="15">
        <v>0.4</v>
      </c>
      <c r="I146" s="29">
        <f t="shared" si="18"/>
        <v>1</v>
      </c>
      <c r="J146" s="66" t="s">
        <v>497</v>
      </c>
      <c r="K146" s="15">
        <f>100*100</f>
        <v>10000</v>
      </c>
      <c r="L146" s="15">
        <f t="shared" si="19"/>
        <v>1.3888888888888888</v>
      </c>
    </row>
    <row r="147" spans="2:34">
      <c r="B147" s="151" t="s">
        <v>495</v>
      </c>
      <c r="C147" s="33" t="s">
        <v>35</v>
      </c>
      <c r="D147" s="49">
        <v>1.7</v>
      </c>
      <c r="E147" s="33">
        <v>50</v>
      </c>
      <c r="F147" s="15" t="s">
        <v>111</v>
      </c>
      <c r="G147" s="10">
        <f t="shared" si="17"/>
        <v>3472.2222222222222</v>
      </c>
      <c r="H147" s="15">
        <v>0.4</v>
      </c>
      <c r="I147" s="29">
        <f t="shared" si="18"/>
        <v>0.68</v>
      </c>
      <c r="J147" s="66" t="s">
        <v>497</v>
      </c>
      <c r="K147" s="15">
        <f>100*100</f>
        <v>10000</v>
      </c>
      <c r="L147" s="15">
        <f t="shared" si="19"/>
        <v>1.3888888888888888</v>
      </c>
    </row>
    <row r="148" spans="2:34">
      <c r="B148" s="18" t="s">
        <v>488</v>
      </c>
      <c r="C148" s="10" t="s">
        <v>37</v>
      </c>
      <c r="D148" s="4"/>
      <c r="E148" s="10">
        <f>E136</f>
        <v>250</v>
      </c>
      <c r="F148" s="15" t="s">
        <v>111</v>
      </c>
      <c r="G148" s="10">
        <f>E148/(3600*$C$6) * 10^6</f>
        <v>9920.6349206349205</v>
      </c>
      <c r="H148" s="15">
        <v>1</v>
      </c>
      <c r="I148" s="29">
        <f t="shared" si="18"/>
        <v>0</v>
      </c>
      <c r="J148" s="66" t="s">
        <v>486</v>
      </c>
      <c r="K148" s="15">
        <f>150*200</f>
        <v>30000</v>
      </c>
      <c r="L148" s="15">
        <f t="shared" si="19"/>
        <v>2.3148148148148149</v>
      </c>
    </row>
    <row r="149" spans="2:34">
      <c r="B149" s="18" t="s">
        <v>504</v>
      </c>
      <c r="C149" s="10" t="s">
        <v>323</v>
      </c>
      <c r="D149" s="4"/>
      <c r="E149" s="10">
        <f>E148</f>
        <v>250</v>
      </c>
      <c r="F149" s="15" t="s">
        <v>111</v>
      </c>
      <c r="G149" s="10">
        <f>E149/(3600*$C$6) * 10^6</f>
        <v>9920.6349206349205</v>
      </c>
      <c r="H149" s="15">
        <v>1</v>
      </c>
      <c r="I149" s="29">
        <f t="shared" si="18"/>
        <v>0</v>
      </c>
      <c r="J149" s="66" t="s">
        <v>486</v>
      </c>
      <c r="K149" s="15">
        <f>150*200</f>
        <v>30000</v>
      </c>
      <c r="L149" s="15">
        <f t="shared" si="19"/>
        <v>2.3148148148148149</v>
      </c>
    </row>
    <row r="150" spans="2:34">
      <c r="B150" s="18" t="s">
        <v>505</v>
      </c>
      <c r="C150" s="10" t="s">
        <v>324</v>
      </c>
      <c r="D150" s="4"/>
      <c r="E150" s="10">
        <f>E149</f>
        <v>250</v>
      </c>
      <c r="F150" s="15" t="s">
        <v>111</v>
      </c>
      <c r="G150" s="10">
        <f>E150/(3600*$C$6) * 10^6</f>
        <v>9920.6349206349205</v>
      </c>
      <c r="H150" s="15">
        <v>1</v>
      </c>
      <c r="I150" s="29">
        <f t="shared" si="18"/>
        <v>0</v>
      </c>
      <c r="J150" s="66" t="s">
        <v>486</v>
      </c>
      <c r="K150" s="15">
        <f>150*200</f>
        <v>30000</v>
      </c>
      <c r="L150" s="15">
        <f t="shared" si="19"/>
        <v>2.3148148148148149</v>
      </c>
      <c r="V150" s="23"/>
      <c r="W150" s="4"/>
      <c r="X150" s="10"/>
      <c r="Y150" s="10"/>
      <c r="Z150" s="10"/>
      <c r="AA150" s="10"/>
      <c r="AB150" s="10"/>
      <c r="AC150" s="10"/>
      <c r="AD150" s="19"/>
      <c r="AE150" s="10"/>
      <c r="AF150" s="29"/>
      <c r="AG150" s="10"/>
    </row>
    <row r="151" spans="2:34">
      <c r="W151" s="23"/>
      <c r="X151" s="4"/>
      <c r="Y151" s="10"/>
      <c r="Z151" s="10"/>
      <c r="AA151" s="10"/>
      <c r="AB151" s="10"/>
      <c r="AC151" s="10"/>
      <c r="AD151" s="10"/>
      <c r="AE151" s="19"/>
      <c r="AF151" s="10"/>
      <c r="AG151" s="29"/>
      <c r="AH151" s="10"/>
    </row>
    <row r="152" spans="2:34">
      <c r="W152" s="23"/>
      <c r="X152" s="4"/>
      <c r="Y152" s="5"/>
      <c r="Z152" s="10"/>
      <c r="AA152" s="10"/>
      <c r="AB152" s="10"/>
      <c r="AC152" s="10"/>
      <c r="AD152" s="10"/>
      <c r="AE152" s="19"/>
      <c r="AF152" s="10"/>
      <c r="AG152" s="29"/>
      <c r="AH152" s="10"/>
    </row>
    <row r="153" spans="2:34">
      <c r="W153" s="23"/>
      <c r="X153" s="4"/>
      <c r="Y153" s="5"/>
      <c r="Z153" s="4"/>
      <c r="AA153" s="10"/>
      <c r="AB153" s="10"/>
      <c r="AC153" s="10"/>
      <c r="AD153" s="10"/>
      <c r="AE153" s="19"/>
      <c r="AF153" s="10"/>
      <c r="AG153" s="29"/>
      <c r="AH153" s="10"/>
    </row>
    <row r="154" spans="2:34">
      <c r="W154" s="23"/>
      <c r="X154" s="4"/>
      <c r="Y154" s="10"/>
      <c r="Z154" s="4"/>
      <c r="AA154" s="10"/>
      <c r="AB154" s="10"/>
      <c r="AC154" s="10"/>
      <c r="AD154" s="10"/>
      <c r="AE154" s="19"/>
      <c r="AF154" s="10"/>
      <c r="AG154" s="29"/>
      <c r="AH154" s="10"/>
    </row>
    <row r="155" spans="2:34">
      <c r="W155" s="23"/>
      <c r="X155" s="4"/>
      <c r="Y155" s="10"/>
      <c r="Z155" s="10"/>
      <c r="AA155" s="10"/>
      <c r="AB155" s="10"/>
      <c r="AC155" s="10"/>
      <c r="AD155" s="10"/>
      <c r="AE155" s="19"/>
      <c r="AF155" s="10"/>
      <c r="AG155" s="29"/>
      <c r="AH155" s="10"/>
    </row>
    <row r="156" spans="2:34">
      <c r="W156" s="23"/>
      <c r="X156" s="4"/>
      <c r="Y156" s="10"/>
      <c r="Z156" s="10"/>
      <c r="AA156" s="10"/>
      <c r="AB156" s="10"/>
      <c r="AC156" s="10"/>
      <c r="AD156" s="10"/>
      <c r="AE156" s="19"/>
      <c r="AF156" s="10"/>
      <c r="AG156" s="29"/>
      <c r="AH156" s="10"/>
    </row>
    <row r="157" spans="2:34">
      <c r="W157" s="23"/>
      <c r="X157" s="4"/>
      <c r="Y157" s="10"/>
      <c r="Z157" s="4"/>
      <c r="AA157" s="10"/>
      <c r="AB157" s="10"/>
      <c r="AC157" s="10"/>
      <c r="AD157" s="10"/>
      <c r="AE157" s="19"/>
      <c r="AF157" s="10"/>
      <c r="AG157" s="29"/>
      <c r="AH157" s="10"/>
    </row>
    <row r="158" spans="2:34">
      <c r="W158" s="23"/>
      <c r="X158" s="4"/>
      <c r="Y158" s="5"/>
      <c r="Z158" s="4"/>
      <c r="AA158" s="10"/>
      <c r="AB158" s="10"/>
      <c r="AC158" s="10"/>
      <c r="AD158" s="10"/>
      <c r="AE158" s="19"/>
      <c r="AF158" s="10"/>
      <c r="AG158" s="29"/>
      <c r="AH158" s="10"/>
    </row>
    <row r="159" spans="2:34">
      <c r="W159" s="23"/>
      <c r="X159" s="4"/>
      <c r="Y159" s="5"/>
      <c r="Z159" s="4"/>
      <c r="AA159" s="10"/>
      <c r="AB159" s="10"/>
      <c r="AC159" s="10"/>
      <c r="AD159" s="10"/>
      <c r="AE159" s="19"/>
      <c r="AF159" s="10"/>
      <c r="AG159" s="29"/>
      <c r="AH159" s="10"/>
    </row>
    <row r="160" spans="2:34">
      <c r="W160" s="23"/>
      <c r="X160" s="4"/>
      <c r="Y160" s="5"/>
      <c r="Z160" s="10"/>
      <c r="AA160" s="10"/>
      <c r="AB160" s="10"/>
      <c r="AC160" s="10"/>
      <c r="AD160" s="10"/>
      <c r="AE160" s="19"/>
      <c r="AF160" s="10"/>
      <c r="AG160" s="29"/>
      <c r="AH160" s="10"/>
    </row>
    <row r="161" spans="23:34">
      <c r="W161" s="23"/>
      <c r="X161" s="4"/>
      <c r="Y161" s="5"/>
      <c r="Z161" s="10"/>
      <c r="AA161" s="10"/>
      <c r="AB161" s="10"/>
      <c r="AC161" s="10"/>
      <c r="AD161" s="10"/>
      <c r="AE161" s="19"/>
      <c r="AF161" s="10"/>
      <c r="AG161" s="29"/>
      <c r="AH161" s="10"/>
    </row>
    <row r="162" spans="23:34">
      <c r="W162" s="18"/>
      <c r="X162" s="4"/>
      <c r="Y162" s="10"/>
      <c r="Z162" s="10"/>
      <c r="AA162" s="10"/>
      <c r="AB162" s="10"/>
      <c r="AC162" s="10"/>
      <c r="AD162" s="10"/>
      <c r="AE162" s="19"/>
      <c r="AF162" s="10"/>
      <c r="AG162" s="29"/>
      <c r="AH162" s="10"/>
    </row>
    <row r="163" spans="23:34">
      <c r="W163" s="18"/>
      <c r="X163" s="4"/>
      <c r="Y163" s="10"/>
      <c r="Z163" s="10"/>
      <c r="AA163" s="10"/>
      <c r="AB163" s="10"/>
      <c r="AC163" s="10"/>
      <c r="AD163" s="10"/>
      <c r="AE163" s="19"/>
      <c r="AF163" s="10"/>
      <c r="AG163" s="29"/>
      <c r="AH163" s="10"/>
    </row>
    <row r="164" spans="23:34">
      <c r="W164" s="18"/>
      <c r="X164" s="4"/>
      <c r="Y164" s="5"/>
      <c r="Z164" s="10"/>
      <c r="AA164" s="10"/>
      <c r="AB164" s="10"/>
      <c r="AC164" s="10"/>
      <c r="AD164" s="10"/>
      <c r="AE164" s="19"/>
      <c r="AF164" s="10"/>
      <c r="AG164" s="29"/>
      <c r="AH164" s="10"/>
    </row>
    <row r="165" spans="23:34">
      <c r="W165" s="18"/>
      <c r="X165" s="4"/>
      <c r="Y165" s="5"/>
      <c r="Z165" s="10"/>
      <c r="AA165" s="10"/>
      <c r="AB165" s="10"/>
      <c r="AC165" s="10"/>
      <c r="AD165" s="10"/>
      <c r="AE165" s="19"/>
      <c r="AF165" s="10"/>
      <c r="AG165" s="29"/>
      <c r="AH165" s="10"/>
    </row>
    <row r="166" spans="23:34">
      <c r="W166" s="18"/>
      <c r="X166" s="4"/>
      <c r="Y166" s="10"/>
      <c r="Z166" s="10"/>
      <c r="AA166" s="10"/>
      <c r="AB166" s="10"/>
      <c r="AC166" s="10"/>
      <c r="AD166" s="10"/>
      <c r="AE166" s="19"/>
      <c r="AF166" s="10"/>
      <c r="AG166" s="29"/>
      <c r="AH166" s="10"/>
    </row>
    <row r="167" spans="23:34">
      <c r="W167" s="18"/>
      <c r="X167" s="4"/>
      <c r="Y167" s="10"/>
      <c r="Z167" s="10"/>
      <c r="AA167" s="10"/>
      <c r="AB167" s="10"/>
      <c r="AC167" s="10"/>
      <c r="AD167" s="10"/>
      <c r="AE167" s="19"/>
      <c r="AF167" s="10"/>
      <c r="AG167" s="29"/>
      <c r="AH167" s="10"/>
    </row>
    <row r="168" spans="23:34">
      <c r="W168" s="18"/>
      <c r="X168" s="4"/>
      <c r="Y168" s="5"/>
      <c r="Z168" s="10"/>
      <c r="AA168" s="10"/>
      <c r="AB168" s="10"/>
      <c r="AC168" s="10"/>
      <c r="AD168" s="10"/>
      <c r="AE168" s="19"/>
      <c r="AF168" s="10"/>
      <c r="AG168" s="29"/>
      <c r="AH168" s="10"/>
    </row>
    <row r="169" spans="23:34">
      <c r="W169" s="18"/>
      <c r="X169" s="4"/>
      <c r="Y169" s="10"/>
      <c r="Z169" s="10"/>
      <c r="AA169" s="10"/>
      <c r="AB169" s="10"/>
      <c r="AC169" s="10"/>
      <c r="AD169" s="10"/>
      <c r="AE169" s="19"/>
      <c r="AF169" s="10"/>
      <c r="AG169" s="29"/>
      <c r="AH169" s="10"/>
    </row>
    <row r="170" spans="23:34">
      <c r="W170" s="18"/>
      <c r="X170" s="4"/>
      <c r="Y170" s="5"/>
      <c r="Z170" s="10"/>
      <c r="AA170" s="10"/>
      <c r="AB170" s="10"/>
      <c r="AC170" s="10"/>
      <c r="AD170" s="10"/>
      <c r="AE170" s="19"/>
      <c r="AF170" s="10"/>
      <c r="AG170" s="29"/>
      <c r="AH170" s="10"/>
    </row>
    <row r="171" spans="23:34">
      <c r="W171" s="18"/>
      <c r="X171" s="4"/>
      <c r="Y171" s="10"/>
      <c r="Z171" s="10"/>
      <c r="AA171" s="10"/>
      <c r="AB171" s="10"/>
      <c r="AC171" s="10"/>
      <c r="AD171" s="10"/>
      <c r="AE171" s="19"/>
      <c r="AF171" s="10"/>
      <c r="AG171" s="29"/>
      <c r="AH171" s="10"/>
    </row>
    <row r="172" spans="23:34">
      <c r="AA172" s="11"/>
      <c r="AB172" s="11"/>
      <c r="AC172" s="11"/>
      <c r="AD172" s="11"/>
      <c r="AE172" s="11"/>
      <c r="AF172" s="11"/>
      <c r="AG172" s="21"/>
    </row>
    <row r="173" spans="23:34">
      <c r="AA173" s="10"/>
    </row>
  </sheetData>
  <mergeCells count="9">
    <mergeCell ref="N142:O145"/>
    <mergeCell ref="B132:M132"/>
    <mergeCell ref="O120:P122"/>
    <mergeCell ref="B9:N9"/>
    <mergeCell ref="C3:N3"/>
    <mergeCell ref="B5:C5"/>
    <mergeCell ref="B70:M70"/>
    <mergeCell ref="O110:P113"/>
    <mergeCell ref="O116:P118"/>
  </mergeCells>
  <phoneticPr fontId="1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3BBF-2978-427A-B605-EE9477492517}">
  <dimension ref="A3:O152"/>
  <sheetViews>
    <sheetView tabSelected="1" zoomScale="46" zoomScaleNormal="55" workbookViewId="0">
      <selection activeCell="I22" sqref="I22"/>
    </sheetView>
  </sheetViews>
  <sheetFormatPr baseColWidth="10" defaultColWidth="11.42578125" defaultRowHeight="15"/>
  <cols>
    <col min="2" max="2" width="12.5703125" customWidth="1"/>
    <col min="8" max="8" width="10.5703125" customWidth="1"/>
    <col min="9" max="9" width="12.5703125" customWidth="1"/>
    <col min="10" max="10" width="13.42578125" customWidth="1"/>
  </cols>
  <sheetData>
    <row r="3" spans="1:14">
      <c r="B3" s="180" t="s">
        <v>56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2"/>
    </row>
    <row r="5" spans="1:14">
      <c r="A5" s="25" t="s">
        <v>175</v>
      </c>
    </row>
    <row r="6" spans="1:14" ht="17.25">
      <c r="B6" s="116" t="s">
        <v>176</v>
      </c>
      <c r="C6" s="18" t="s">
        <v>96</v>
      </c>
      <c r="D6" s="18" t="s">
        <v>177</v>
      </c>
      <c r="E6" s="18" t="s">
        <v>178</v>
      </c>
      <c r="F6" s="18" t="s">
        <v>179</v>
      </c>
      <c r="G6" s="18" t="s">
        <v>180</v>
      </c>
      <c r="H6" s="18" t="s">
        <v>181</v>
      </c>
      <c r="I6" s="184" t="s">
        <v>182</v>
      </c>
      <c r="J6" s="184"/>
    </row>
    <row r="7" spans="1:14">
      <c r="B7" s="13" t="s">
        <v>183</v>
      </c>
      <c r="C7" s="10" t="str">
        <f>'PDC répartie-Dimension gaine'!B13</f>
        <v>W-X</v>
      </c>
      <c r="D7" s="5">
        <f>'PDC répartie-Dimension gaine'!E13</f>
        <v>550</v>
      </c>
      <c r="E7" s="10" t="str">
        <f>'PDC répartie-Dimension gaine'!K13</f>
        <v>DN250</v>
      </c>
      <c r="F7" s="19">
        <f>'PDC répartie-Dimension gaine'!M13</f>
        <v>3.1123633315748425</v>
      </c>
      <c r="G7" s="10">
        <v>5</v>
      </c>
      <c r="H7" s="10">
        <v>5</v>
      </c>
      <c r="I7" s="185" t="s">
        <v>184</v>
      </c>
      <c r="J7" s="185"/>
    </row>
    <row r="8" spans="1:14" ht="45" customHeight="1">
      <c r="B8" s="113" t="s">
        <v>306</v>
      </c>
      <c r="C8" s="10" t="str">
        <f>'PDC répartie-Dimension gaine'!B35</f>
        <v>I-K</v>
      </c>
      <c r="D8" s="27">
        <f>'PDC répartie-Dimension gaine'!E35</f>
        <v>54</v>
      </c>
      <c r="E8" s="10" t="str">
        <f>'PDC répartie-Dimension gaine'!K35</f>
        <v>100x200</v>
      </c>
      <c r="F8" s="19">
        <f>'PDC répartie-Dimension gaine'!M35</f>
        <v>0.75</v>
      </c>
      <c r="G8" s="10">
        <v>4</v>
      </c>
      <c r="H8" s="10">
        <v>0</v>
      </c>
      <c r="I8" s="186" t="s">
        <v>308</v>
      </c>
      <c r="J8" s="186"/>
    </row>
    <row r="9" spans="1:14">
      <c r="B9" s="13" t="s">
        <v>385</v>
      </c>
      <c r="C9" s="10" t="str">
        <f>'PDC répartie-Dimension gaine'!B42</f>
        <v>P'-Q'</v>
      </c>
      <c r="D9" s="5">
        <f>'PDC répartie-Dimension gaine'!E42</f>
        <v>550</v>
      </c>
      <c r="E9" s="10" t="str">
        <f>'PDC répartie-Dimension gaine'!K42</f>
        <v>DN250</v>
      </c>
      <c r="F9" s="19">
        <f>'PDC répartie-Dimension gaine'!M42</f>
        <v>3.1123633315748425</v>
      </c>
      <c r="G9" s="10">
        <v>5</v>
      </c>
      <c r="H9" s="10">
        <v>5</v>
      </c>
      <c r="I9" s="185" t="s">
        <v>184</v>
      </c>
      <c r="J9" s="185"/>
      <c r="K9" s="183" t="s">
        <v>310</v>
      </c>
      <c r="L9" s="183"/>
      <c r="M9" s="183"/>
      <c r="N9" s="183"/>
    </row>
    <row r="10" spans="1:14" ht="45" customHeight="1">
      <c r="B10" s="9" t="s">
        <v>186</v>
      </c>
      <c r="C10" s="10" t="str">
        <f>'PDC répartie-Dimension gaine'!B44</f>
        <v>H'-J'</v>
      </c>
      <c r="D10" s="5">
        <f>'Bouche GP-GE '!E22</f>
        <v>160</v>
      </c>
      <c r="E10" s="10" t="str">
        <f>'PDC répartie-Dimension gaine'!K44</f>
        <v>100x200</v>
      </c>
      <c r="F10" s="19">
        <f>D10/'PDC répartie-Dimension gaine'!L44/3600*1000000</f>
        <v>2.2222222222222219</v>
      </c>
      <c r="G10" s="10">
        <v>4</v>
      </c>
      <c r="H10" s="10">
        <v>3</v>
      </c>
      <c r="I10" s="186" t="s">
        <v>308</v>
      </c>
      <c r="J10" s="186"/>
      <c r="K10" s="183"/>
      <c r="L10" s="183"/>
      <c r="M10" s="183"/>
      <c r="N10" s="183"/>
    </row>
    <row r="11" spans="1:14" ht="45" customHeight="1">
      <c r="B11" s="9" t="s">
        <v>37</v>
      </c>
      <c r="C11" s="10" t="str">
        <f>'PDC répartie-Dimension gaine'!B28</f>
        <v>H-B</v>
      </c>
      <c r="D11" s="5">
        <f>'PDC répartie-Dimension gaine'!E28</f>
        <v>3637.5</v>
      </c>
      <c r="E11" s="10" t="str">
        <f>'PDC répartie-Dimension gaine'!K28</f>
        <v>300x1000</v>
      </c>
      <c r="F11" s="19">
        <f>'PDC répartie-Dimension gaine'!M28</f>
        <v>3.3680555555555554</v>
      </c>
      <c r="G11" s="10">
        <v>19</v>
      </c>
      <c r="H11" s="15">
        <v>2</v>
      </c>
      <c r="I11" s="186" t="s">
        <v>185</v>
      </c>
      <c r="J11" s="186"/>
      <c r="K11" s="183"/>
      <c r="L11" s="183"/>
      <c r="M11" s="183"/>
      <c r="N11" s="183"/>
    </row>
    <row r="12" spans="1:14" ht="45" customHeight="1">
      <c r="B12" s="9" t="s">
        <v>37</v>
      </c>
      <c r="C12" s="10" t="str">
        <f>'PDC répartie-Dimension gaine'!B29</f>
        <v>H-F</v>
      </c>
      <c r="D12" s="5">
        <f>'PDC répartie-Dimension gaine'!E29</f>
        <v>2286.5</v>
      </c>
      <c r="E12" s="10" t="str">
        <f>'PDC répartie-Dimension gaine'!K29</f>
        <v>200x800</v>
      </c>
      <c r="F12" s="19">
        <f>'PDC répartie-Dimension gaine'!M29</f>
        <v>3.9696180555555554</v>
      </c>
      <c r="G12" s="10">
        <v>12</v>
      </c>
      <c r="H12" s="10">
        <v>4</v>
      </c>
      <c r="I12" s="186" t="s">
        <v>311</v>
      </c>
      <c r="J12" s="186"/>
      <c r="K12" s="187" t="s">
        <v>309</v>
      </c>
      <c r="L12" s="188"/>
      <c r="M12" s="188"/>
      <c r="N12" s="188"/>
    </row>
    <row r="13" spans="1:14">
      <c r="B13" s="9" t="s">
        <v>37</v>
      </c>
      <c r="C13" s="10" t="str">
        <f>'PDC répartie-Dimension gaine'!B51</f>
        <v>N'-B'</v>
      </c>
      <c r="D13" s="5">
        <f>'PDC répartie-Dimension gaine'!E51</f>
        <v>3350</v>
      </c>
      <c r="E13" s="10" t="str">
        <f>'PDC répartie-Dimension gaine'!K51</f>
        <v>300x1000</v>
      </c>
      <c r="F13" s="19">
        <f>'PDC répartie-Dimension gaine'!M51</f>
        <v>3.1018518518518521</v>
      </c>
      <c r="G13" s="10">
        <v>19</v>
      </c>
      <c r="H13" s="15">
        <v>2</v>
      </c>
      <c r="I13" s="186" t="s">
        <v>312</v>
      </c>
      <c r="J13" s="186"/>
    </row>
    <row r="14" spans="1:14">
      <c r="B14" s="9" t="s">
        <v>37</v>
      </c>
      <c r="C14" s="10" t="str">
        <f>'PDC répartie-Dimension gaine'!B57</f>
        <v>N'-E'</v>
      </c>
      <c r="D14" s="5">
        <f>'PDC répartie-Dimension gaine'!E57</f>
        <v>1670</v>
      </c>
      <c r="E14" s="10" t="str">
        <f>'PDC répartie-Dimension gaine'!K57</f>
        <v>300x400</v>
      </c>
      <c r="F14" s="19">
        <f>'PDC répartie-Dimension gaine'!M57</f>
        <v>3.8657407407407409</v>
      </c>
      <c r="G14" s="10">
        <v>11</v>
      </c>
      <c r="H14" s="15">
        <v>4</v>
      </c>
      <c r="I14" s="186" t="s">
        <v>313</v>
      </c>
      <c r="J14" s="186"/>
    </row>
    <row r="15" spans="1:14" ht="30">
      <c r="B15" s="112" t="s">
        <v>323</v>
      </c>
      <c r="C15" s="10" t="s">
        <v>321</v>
      </c>
      <c r="D15" s="5">
        <f>'PDC répartie-Dimension gaine'!E62+'PDC répartie-Dimension gaine'!E61</f>
        <v>10944</v>
      </c>
      <c r="E15" s="10" t="str">
        <f>'PDC répartie-Dimension gaine'!K64</f>
        <v>600x800</v>
      </c>
      <c r="F15" s="19">
        <f>'PDC répartie-Dimension gaine'!M64</f>
        <v>6.333333333333333</v>
      </c>
      <c r="G15" s="10">
        <v>31</v>
      </c>
      <c r="H15" s="15">
        <v>9</v>
      </c>
      <c r="I15" s="186" t="s">
        <v>326</v>
      </c>
      <c r="J15" s="186"/>
    </row>
    <row r="16" spans="1:14">
      <c r="H16">
        <f>SUM(H7:H15)</f>
        <v>34</v>
      </c>
    </row>
    <row r="18" spans="1:13">
      <c r="A18" s="25" t="s">
        <v>187</v>
      </c>
    </row>
    <row r="19" spans="1:13" ht="17.25" customHeight="1">
      <c r="B19" s="117" t="s">
        <v>188</v>
      </c>
      <c r="C19" s="18" t="s">
        <v>189</v>
      </c>
      <c r="D19" s="18" t="s">
        <v>190</v>
      </c>
      <c r="E19" s="111" t="s">
        <v>191</v>
      </c>
      <c r="F19" s="18" t="s">
        <v>192</v>
      </c>
      <c r="G19" s="18" t="s">
        <v>193</v>
      </c>
      <c r="I19" s="183" t="s">
        <v>194</v>
      </c>
      <c r="J19" s="183"/>
    </row>
    <row r="20" spans="1:13">
      <c r="B20" s="13" t="s">
        <v>242</v>
      </c>
      <c r="C20" s="10">
        <v>90</v>
      </c>
      <c r="D20" s="10">
        <v>1.2</v>
      </c>
      <c r="E20" s="4">
        <f>'PDC répartie-Dimension gaine'!M16</f>
        <v>3.0555555555555554</v>
      </c>
      <c r="F20" s="10">
        <v>1.2</v>
      </c>
      <c r="G20" s="4">
        <f>(D20*F20*E20^2)/2</f>
        <v>6.7222222222222214</v>
      </c>
      <c r="I20" s="183"/>
      <c r="J20" s="183"/>
    </row>
    <row r="21" spans="1:13">
      <c r="B21" s="13" t="s">
        <v>195</v>
      </c>
      <c r="C21" s="10">
        <v>90</v>
      </c>
      <c r="D21" s="10">
        <v>1.2</v>
      </c>
      <c r="E21" s="4">
        <f>'PDC répartie-Dimension gaine'!M27</f>
        <v>3.3680555555555554</v>
      </c>
      <c r="F21" s="10">
        <v>1.2</v>
      </c>
      <c r="G21" s="4">
        <f>(D21*F21*E21^2)/2</f>
        <v>8.1675347222222214</v>
      </c>
      <c r="I21" s="183"/>
      <c r="J21" s="183"/>
    </row>
    <row r="22" spans="1:13">
      <c r="B22" s="13" t="s">
        <v>196</v>
      </c>
      <c r="C22" s="10">
        <v>90</v>
      </c>
      <c r="D22" s="10">
        <v>1.2</v>
      </c>
      <c r="E22" s="4">
        <f>'PDC répartie-Dimension gaine'!M29</f>
        <v>3.9696180555555554</v>
      </c>
      <c r="F22" s="10">
        <v>1.2</v>
      </c>
      <c r="G22" s="4">
        <f>(D22*F22*E22^2)/2</f>
        <v>11.34566460503472</v>
      </c>
      <c r="I22" s="52"/>
      <c r="J22" s="52"/>
    </row>
    <row r="23" spans="1:13" ht="15" customHeight="1">
      <c r="B23" s="13" t="s">
        <v>197</v>
      </c>
      <c r="C23" s="10">
        <v>90</v>
      </c>
      <c r="D23" s="10">
        <v>1.2</v>
      </c>
      <c r="E23" s="4">
        <f>'PDC répartie-Dimension gaine'!M20</f>
        <v>3.439646596314303</v>
      </c>
      <c r="F23" s="10">
        <v>1.2</v>
      </c>
      <c r="G23" s="4">
        <f>(D23*F23*E23^2)/2</f>
        <v>8.51844146942633</v>
      </c>
      <c r="I23" s="52"/>
      <c r="J23" s="52"/>
    </row>
    <row r="24" spans="1:13">
      <c r="B24" s="13" t="s">
        <v>198</v>
      </c>
      <c r="C24" s="10">
        <v>90</v>
      </c>
      <c r="D24" s="10">
        <v>1.2</v>
      </c>
      <c r="E24" s="4">
        <f>'PDC répartie-Dimension gaine'!M33</f>
        <v>2.3587962962962967</v>
      </c>
      <c r="F24" s="10">
        <v>1.2</v>
      </c>
      <c r="G24" s="4">
        <f t="shared" ref="G24:G27" si="0">(D24*F24*E24^2)/2</f>
        <v>4.0060223765432106</v>
      </c>
      <c r="I24" s="52"/>
      <c r="J24" s="52"/>
    </row>
    <row r="25" spans="1:13">
      <c r="B25" s="13" t="s">
        <v>199</v>
      </c>
      <c r="C25" s="10">
        <v>90</v>
      </c>
      <c r="D25" s="10">
        <v>1.2</v>
      </c>
      <c r="E25" s="4">
        <f>'PDC répartie-Dimension gaine'!M58</f>
        <v>3.8657407407407409</v>
      </c>
      <c r="F25" s="10">
        <v>1.2</v>
      </c>
      <c r="G25" s="4">
        <f t="shared" si="0"/>
        <v>10.759645061728396</v>
      </c>
      <c r="I25" s="52"/>
      <c r="J25" s="52"/>
    </row>
    <row r="26" spans="1:13" ht="15" customHeight="1">
      <c r="B26" s="13" t="s">
        <v>200</v>
      </c>
      <c r="C26" s="10">
        <v>90</v>
      </c>
      <c r="D26" s="10">
        <v>1.2</v>
      </c>
      <c r="E26" s="4">
        <f>'PDC répartie-Dimension gaine'!M48</f>
        <v>3.1123633315748425</v>
      </c>
      <c r="F26" s="10">
        <v>1.2</v>
      </c>
      <c r="G26" s="4">
        <f t="shared" si="0"/>
        <v>6.974499965566789</v>
      </c>
    </row>
    <row r="27" spans="1:13">
      <c r="B27" s="13" t="s">
        <v>201</v>
      </c>
      <c r="C27" s="10">
        <v>90</v>
      </c>
      <c r="D27" s="10">
        <v>1.2</v>
      </c>
      <c r="E27" s="4">
        <f>'PDC répartie-Dimension gaine'!M56</f>
        <v>3.5111111111111111</v>
      </c>
      <c r="F27" s="10">
        <v>1.2</v>
      </c>
      <c r="G27" s="4">
        <f t="shared" si="0"/>
        <v>8.8760888888888889</v>
      </c>
      <c r="H27" s="183"/>
      <c r="I27" s="183"/>
      <c r="J27" s="183"/>
      <c r="K27" s="183"/>
    </row>
    <row r="28" spans="1:13">
      <c r="B28" s="13" t="s">
        <v>202</v>
      </c>
      <c r="C28" s="10">
        <v>90</v>
      </c>
      <c r="D28" s="10">
        <v>1.2</v>
      </c>
      <c r="E28" s="4">
        <f>'PDC répartie-Dimension gaine'!M37</f>
        <v>2.8294212105225847</v>
      </c>
      <c r="F28" s="10">
        <v>1.2</v>
      </c>
      <c r="G28" s="4">
        <f t="shared" ref="G28:G30" si="1">(D28*F28*E28^2)/2</f>
        <v>5.7640495583196625</v>
      </c>
      <c r="H28" s="114"/>
      <c r="I28" s="114"/>
      <c r="J28" s="114"/>
      <c r="K28" s="114"/>
    </row>
    <row r="29" spans="1:13">
      <c r="B29" s="13" t="s">
        <v>327</v>
      </c>
      <c r="C29" s="10">
        <v>90</v>
      </c>
      <c r="D29" s="10">
        <v>1.2</v>
      </c>
      <c r="E29" s="4">
        <f>'PDC répartie-Dimension gaine'!M64</f>
        <v>6.333333333333333</v>
      </c>
      <c r="F29" s="10">
        <v>1.2</v>
      </c>
      <c r="G29" s="4">
        <f t="shared" si="1"/>
        <v>28.879999999999995</v>
      </c>
      <c r="H29" s="114"/>
      <c r="I29" s="114"/>
      <c r="J29" s="114"/>
      <c r="K29" s="114"/>
    </row>
    <row r="30" spans="1:13">
      <c r="B30" s="13" t="s">
        <v>328</v>
      </c>
      <c r="C30" s="10">
        <v>90</v>
      </c>
      <c r="D30" s="10">
        <v>1.2</v>
      </c>
      <c r="E30" s="4">
        <f>'PDC répartie-Dimension gaine'!M65</f>
        <v>6.333333333333333</v>
      </c>
      <c r="F30" s="10">
        <v>1.2</v>
      </c>
      <c r="G30" s="4">
        <f t="shared" si="1"/>
        <v>28.879999999999995</v>
      </c>
    </row>
    <row r="31" spans="1:13">
      <c r="G31" s="69">
        <f>SUM(G20:G30)</f>
        <v>128.89416886995244</v>
      </c>
    </row>
    <row r="32" spans="1:13" ht="17.25">
      <c r="B32" s="117" t="s">
        <v>314</v>
      </c>
      <c r="C32" s="18" t="s">
        <v>203</v>
      </c>
      <c r="D32" s="18" t="s">
        <v>204</v>
      </c>
      <c r="E32" s="18" t="s">
        <v>205</v>
      </c>
      <c r="F32" s="18" t="s">
        <v>206</v>
      </c>
      <c r="G32" s="18" t="s">
        <v>207</v>
      </c>
      <c r="H32" s="18" t="s">
        <v>208</v>
      </c>
      <c r="I32" s="18" t="s">
        <v>209</v>
      </c>
      <c r="J32" s="18" t="s">
        <v>192</v>
      </c>
      <c r="K32" s="18" t="s">
        <v>210</v>
      </c>
      <c r="L32" s="18" t="s">
        <v>211</v>
      </c>
      <c r="M32" s="18" t="s">
        <v>212</v>
      </c>
    </row>
    <row r="33" spans="2:15">
      <c r="B33" s="12" t="s">
        <v>213</v>
      </c>
      <c r="C33" s="10">
        <v>90</v>
      </c>
      <c r="D33" s="10">
        <f>'PDC répartie-Dimension gaine'!L62/'PDC répartie-Dimension gaine'!L28</f>
        <v>0.83333333333333337</v>
      </c>
      <c r="E33" s="4">
        <f>'PDC répartie-Dimension gaine'!E29/'PDC répartie-Dimension gaine'!E28</f>
        <v>0.62859106529209618</v>
      </c>
      <c r="F33" s="10">
        <v>0.2</v>
      </c>
      <c r="G33" s="10">
        <v>0.2</v>
      </c>
      <c r="H33" s="4">
        <f>'PDC répartie-Dimension gaine'!M62</f>
        <v>6.5822222222222226</v>
      </c>
      <c r="I33" s="4">
        <f>'PDC répartie-Dimension gaine'!M29</f>
        <v>3.9696180555555554</v>
      </c>
      <c r="J33" s="10">
        <v>1.2</v>
      </c>
      <c r="K33" s="4">
        <f t="shared" ref="K33:K47" si="2">J33*H33^2*F33/2</f>
        <v>5.199077925925927</v>
      </c>
      <c r="L33" s="4">
        <f t="shared" ref="L33:L47" si="3">J33*I33^2*G33/2</f>
        <v>1.8909441008391203</v>
      </c>
      <c r="M33" s="4">
        <f>SUM(K33:L33)</f>
        <v>7.0900220267650473</v>
      </c>
      <c r="N33" s="183" t="s">
        <v>481</v>
      </c>
      <c r="O33" s="183"/>
    </row>
    <row r="34" spans="2:15">
      <c r="B34" s="37" t="s">
        <v>358</v>
      </c>
      <c r="C34" s="34">
        <v>90</v>
      </c>
      <c r="D34" s="34">
        <f>'PDC répartie-Dimension gaine'!L30/'PDC répartie-Dimension gaine'!L32</f>
        <v>1</v>
      </c>
      <c r="E34" s="4">
        <f>'PDC répartie-Dimension gaine'!E31/'PDC répartie-Dimension gaine'!E32</f>
        <v>0.42995622263914945</v>
      </c>
      <c r="F34" s="34">
        <v>0</v>
      </c>
      <c r="G34" s="34">
        <v>0.4</v>
      </c>
      <c r="H34" s="35">
        <f>'PDC répartie-Dimension gaine'!M30</f>
        <v>3.9696180555555554</v>
      </c>
      <c r="I34" s="35">
        <f>'PDC répartie-Dimension gaine'!M31</f>
        <v>3.8194444444444451</v>
      </c>
      <c r="J34" s="10">
        <v>1.2</v>
      </c>
      <c r="K34" s="4">
        <f t="shared" si="2"/>
        <v>0</v>
      </c>
      <c r="L34" s="4">
        <f t="shared" si="3"/>
        <v>3.5011574074074083</v>
      </c>
      <c r="M34" s="4">
        <f>SUM(K34:L34)</f>
        <v>3.5011574074074083</v>
      </c>
      <c r="N34" s="183"/>
      <c r="O34" s="183"/>
    </row>
    <row r="35" spans="2:15">
      <c r="B35" s="37" t="s">
        <v>214</v>
      </c>
      <c r="C35" s="34">
        <v>90</v>
      </c>
      <c r="D35" s="34">
        <f>'PDC répartie-Dimension gaine'!L32/'PDC répartie-Dimension gaine'!L33</f>
        <v>1.3333333333333333</v>
      </c>
      <c r="E35" s="16">
        <f>'PDC répartie-Dimension gaine'!E19/'PDC répartie-Dimension gaine'!E33</f>
        <v>0.56918547595682045</v>
      </c>
      <c r="F35" s="34">
        <v>0.2</v>
      </c>
      <c r="G35" s="34">
        <v>0.3</v>
      </c>
      <c r="H35" s="35">
        <f>'PDC répartie-Dimension gaine'!M32</f>
        <v>2.7760416666666665</v>
      </c>
      <c r="I35" s="35">
        <f>'PDC répartie-Dimension gaine'!M33</f>
        <v>2.3587962962962967</v>
      </c>
      <c r="J35" s="10">
        <v>1.2</v>
      </c>
      <c r="K35" s="35">
        <f t="shared" si="2"/>
        <v>0.92476888020833314</v>
      </c>
      <c r="L35" s="35">
        <f t="shared" si="3"/>
        <v>1.0015055941358026</v>
      </c>
      <c r="M35" s="4">
        <f>K35+L35</f>
        <v>1.9262744743441358</v>
      </c>
      <c r="N35" s="183"/>
      <c r="O35" s="183"/>
    </row>
    <row r="36" spans="2:15">
      <c r="B36" s="37" t="s">
        <v>215</v>
      </c>
      <c r="C36" s="34">
        <v>90</v>
      </c>
      <c r="D36" s="34">
        <f>'PDC répartie-Dimension gaine'!L33/'PDC répartie-Dimension gaine'!L34</f>
        <v>1.5</v>
      </c>
      <c r="E36" s="16">
        <f>'PDC répartie-Dimension gaine'!E35/'PDC répartie-Dimension gaine'!E34</f>
        <v>5.5958549222797929E-2</v>
      </c>
      <c r="F36" s="34">
        <v>0</v>
      </c>
      <c r="G36" s="34">
        <v>0.4</v>
      </c>
      <c r="H36" s="35">
        <f>'PDC répartie-Dimension gaine'!M32</f>
        <v>2.7760416666666665</v>
      </c>
      <c r="I36" s="35">
        <f>'PDC répartie-Dimension gaine'!M33</f>
        <v>2.3587962962962967</v>
      </c>
      <c r="J36" s="10">
        <v>1.2</v>
      </c>
      <c r="K36" s="35">
        <f t="shared" si="2"/>
        <v>0</v>
      </c>
      <c r="L36" s="35">
        <f t="shared" si="3"/>
        <v>1.3353407921810705</v>
      </c>
      <c r="M36" s="4">
        <f t="shared" ref="M36:M40" si="4">K36+L36</f>
        <v>1.3353407921810705</v>
      </c>
      <c r="N36" s="183"/>
      <c r="O36" s="183"/>
    </row>
    <row r="37" spans="2:15">
      <c r="B37" s="37" t="s">
        <v>216</v>
      </c>
      <c r="C37" s="34">
        <v>90</v>
      </c>
      <c r="D37" s="34">
        <f>'PDC répartie-Dimension gaine'!L27/'PDC répartie-Dimension gaine'!L26</f>
        <v>1.25</v>
      </c>
      <c r="E37" s="16">
        <f>'PDC répartie-Dimension gaine'!E18/'PDC répartie-Dimension gaine'!E26</f>
        <v>0.18969746524938674</v>
      </c>
      <c r="F37" s="34">
        <v>-0.1</v>
      </c>
      <c r="G37" s="34">
        <v>0.6</v>
      </c>
      <c r="H37" s="35">
        <f>'PDC répartie-Dimension gaine'!M27</f>
        <v>3.3680555555555554</v>
      </c>
      <c r="I37" s="35">
        <f>'PDC répartie-Dimension gaine'!M18</f>
        <v>2.6851851851851856</v>
      </c>
      <c r="J37" s="10">
        <v>1.2</v>
      </c>
      <c r="K37" s="35">
        <f t="shared" si="2"/>
        <v>-0.68062789351851849</v>
      </c>
      <c r="L37" s="35">
        <f t="shared" si="3"/>
        <v>2.5956790123456792</v>
      </c>
      <c r="M37" s="4">
        <f t="shared" si="4"/>
        <v>1.9150511188271606</v>
      </c>
      <c r="N37" s="183"/>
      <c r="O37" s="183"/>
    </row>
    <row r="38" spans="2:15">
      <c r="B38" s="37" t="s">
        <v>359</v>
      </c>
      <c r="C38" s="34">
        <v>90</v>
      </c>
      <c r="D38" s="34">
        <f>'PDC répartie-Dimension gaine'!L26/'PDC répartie-Dimension gaine'!L23</f>
        <v>1.3333333333333333</v>
      </c>
      <c r="E38" s="16">
        <f>'PDC répartie-Dimension gaine'!E24/'PDC répartie-Dimension gaine'!E26</f>
        <v>0.22485690923957483</v>
      </c>
      <c r="F38" s="34">
        <v>-0.1</v>
      </c>
      <c r="G38" s="34">
        <v>0.6</v>
      </c>
      <c r="H38" s="35">
        <f>'PDC répartie-Dimension gaine'!M26</f>
        <v>3.5387731481481484</v>
      </c>
      <c r="I38" s="35">
        <f>'PDC répartie-Dimension gaine'!M24</f>
        <v>3.8194444444444451</v>
      </c>
      <c r="J38" s="10">
        <v>1.2</v>
      </c>
      <c r="K38" s="35">
        <f t="shared" si="2"/>
        <v>-0.75137492364326142</v>
      </c>
      <c r="L38" s="35">
        <f t="shared" si="3"/>
        <v>5.2517361111111125</v>
      </c>
      <c r="M38" s="4">
        <f t="shared" si="4"/>
        <v>4.5003611874678509</v>
      </c>
      <c r="N38" s="114"/>
      <c r="O38" s="114"/>
    </row>
    <row r="39" spans="2:15">
      <c r="B39" s="37" t="s">
        <v>217</v>
      </c>
      <c r="C39" s="34">
        <v>90</v>
      </c>
      <c r="D39" s="34">
        <f>'PDC répartie-Dimension gaine'!L23/'PDC répartie-Dimension gaine'!L25</f>
        <v>1.44</v>
      </c>
      <c r="E39" s="16">
        <f>'PDC répartie-Dimension gaine'!E17/'PDC répartie-Dimension gaine'!E25</f>
        <v>0.3203342618384401</v>
      </c>
      <c r="F39" s="34">
        <v>-0.1</v>
      </c>
      <c r="G39" s="34">
        <v>0.5</v>
      </c>
      <c r="H39" s="35">
        <f>'PDC répartie-Dimension gaine'!M23</f>
        <v>3.6574074074074079</v>
      </c>
      <c r="I39" s="35">
        <f>'PDC répartie-Dimension gaine'!M17</f>
        <v>2.6620370370370372</v>
      </c>
      <c r="J39" s="10">
        <v>1.2</v>
      </c>
      <c r="K39" s="35">
        <f t="shared" si="2"/>
        <v>-0.8025977366255147</v>
      </c>
      <c r="L39" s="35">
        <f t="shared" si="3"/>
        <v>2.1259323559670782</v>
      </c>
      <c r="M39" s="4">
        <f t="shared" si="4"/>
        <v>1.3233346193415634</v>
      </c>
    </row>
    <row r="40" spans="2:15">
      <c r="B40" s="37" t="s">
        <v>218</v>
      </c>
      <c r="C40" s="34">
        <v>90</v>
      </c>
      <c r="D40" s="34">
        <f>'PDC répartie-Dimension gaine'!L25/'PDC répartie-Dimension gaine'!L22</f>
        <v>1.0416666666666667</v>
      </c>
      <c r="E40" s="16">
        <f>'PDC répartie-Dimension gaine'!E15/'PDC répartie-Dimension gaine'!E22</f>
        <v>0.96174863387978138</v>
      </c>
      <c r="F40" s="34">
        <v>0.5</v>
      </c>
      <c r="G40" s="34">
        <v>0.4</v>
      </c>
      <c r="H40" s="35">
        <f>'PDC répartie-Dimension gaine'!M25</f>
        <v>3.9888888888888889</v>
      </c>
      <c r="I40" s="35">
        <f>'PDC répartie-Dimension gaine'!M22</f>
        <v>2.1180555555555554</v>
      </c>
      <c r="J40" s="10">
        <v>1.2</v>
      </c>
      <c r="K40" s="35">
        <f t="shared" si="2"/>
        <v>4.7733703703703707</v>
      </c>
      <c r="L40" s="35">
        <f t="shared" si="3"/>
        <v>1.0766782407407405</v>
      </c>
      <c r="M40" s="4">
        <f t="shared" si="4"/>
        <v>5.8500486111111112</v>
      </c>
    </row>
    <row r="41" spans="2:15">
      <c r="B41" s="37" t="s">
        <v>219</v>
      </c>
      <c r="C41" s="34">
        <v>90</v>
      </c>
      <c r="D41" s="34">
        <f>'PDC répartie-Dimension gaine'!L61/'PDC répartie-Dimension gaine'!L51</f>
        <v>0.8</v>
      </c>
      <c r="E41" s="16">
        <f>'PDC répartie-Dimension gaine'!E57/'PDC répartie-Dimension gaine'!E51</f>
        <v>0.49850746268656715</v>
      </c>
      <c r="F41" s="34">
        <v>0.1</v>
      </c>
      <c r="G41" s="34">
        <v>0.45</v>
      </c>
      <c r="H41" s="35">
        <f>'PDC répartie-Dimension gaine'!M61</f>
        <v>5.8101851851851851</v>
      </c>
      <c r="I41" s="35">
        <f>'PDC répartie-Dimension gaine'!M57</f>
        <v>3.8657407407407409</v>
      </c>
      <c r="J41" s="10">
        <v>1.2</v>
      </c>
      <c r="K41" s="35">
        <f t="shared" si="2"/>
        <v>2.025495113168724</v>
      </c>
      <c r="L41" s="35">
        <f t="shared" si="3"/>
        <v>4.0348668981481479</v>
      </c>
      <c r="M41" s="4">
        <f t="shared" ref="M41:M45" si="5">K41+L41</f>
        <v>6.0603620113168724</v>
      </c>
    </row>
    <row r="42" spans="2:15">
      <c r="B42" s="37" t="s">
        <v>238</v>
      </c>
      <c r="C42" s="34">
        <v>90</v>
      </c>
      <c r="D42" s="34">
        <f>'PDC répartie-Dimension gaine'!L51/'PDC répartie-Dimension gaine'!L53</f>
        <v>1.5</v>
      </c>
      <c r="E42" s="16">
        <f>'PDC répartie-Dimension gaine'!E52/'PDC répartie-Dimension gaine'!E53</f>
        <v>0.35902636916835701</v>
      </c>
      <c r="F42" s="34">
        <v>0</v>
      </c>
      <c r="G42" s="34">
        <v>0.4</v>
      </c>
      <c r="H42" s="35">
        <f>'PDC répartie-Dimension gaine'!M51</f>
        <v>3.1018518518518521</v>
      </c>
      <c r="I42" s="35">
        <f>'PDC répartie-Dimension gaine'!M52</f>
        <v>2.7314814814814818</v>
      </c>
      <c r="J42" s="10">
        <v>1.2</v>
      </c>
      <c r="K42" s="35">
        <f t="shared" si="2"/>
        <v>0</v>
      </c>
      <c r="L42" s="35">
        <f t="shared" si="3"/>
        <v>1.7906378600823052</v>
      </c>
      <c r="M42" s="4">
        <f t="shared" si="5"/>
        <v>1.7906378600823052</v>
      </c>
    </row>
    <row r="43" spans="2:15">
      <c r="B43" s="37" t="s">
        <v>220</v>
      </c>
      <c r="C43" s="34">
        <v>90</v>
      </c>
      <c r="D43" s="34">
        <f>'PDC répartie-Dimension gaine'!L54/'PDC répartie-Dimension gaine'!L55</f>
        <v>1.6666666666666667</v>
      </c>
      <c r="E43" s="16">
        <f>'PDC répartie-Dimension gaine'!E50/'PDC répartie-Dimension gaine'!E55</f>
        <v>0.89265536723163841</v>
      </c>
      <c r="F43" s="34">
        <v>0.45</v>
      </c>
      <c r="G43" s="34">
        <v>0.2</v>
      </c>
      <c r="H43" s="35">
        <f>'PDC répartie-Dimension gaine'!M54</f>
        <v>3.7222222222222223</v>
      </c>
      <c r="I43" s="35">
        <f>'PDC répartie-Dimension gaine'!M50</f>
        <v>3.5111111111111111</v>
      </c>
      <c r="J43" s="10">
        <v>1.2</v>
      </c>
      <c r="K43" s="35">
        <f t="shared" si="2"/>
        <v>3.7408333333333337</v>
      </c>
      <c r="L43" s="35">
        <f t="shared" si="3"/>
        <v>1.4793481481481483</v>
      </c>
      <c r="M43" s="4">
        <f t="shared" si="5"/>
        <v>5.2201814814814824</v>
      </c>
    </row>
    <row r="44" spans="2:15">
      <c r="B44" s="37" t="s">
        <v>221</v>
      </c>
      <c r="C44" s="34">
        <v>90</v>
      </c>
      <c r="D44" s="34">
        <f>'PDC répartie-Dimension gaine'!L59/'PDC répartie-Dimension gaine'!L60</f>
        <v>1</v>
      </c>
      <c r="E44" s="16">
        <f>'PDC répartie-Dimension gaine'!E44/'PDC répartie-Dimension gaine'!E60</f>
        <v>0.10596026490066225</v>
      </c>
      <c r="F44" s="34">
        <v>0</v>
      </c>
      <c r="G44" s="34">
        <v>0.7</v>
      </c>
      <c r="H44" s="35">
        <f>'PDC répartie-Dimension gaine'!M59</f>
        <v>3.8657407407407409</v>
      </c>
      <c r="I44" s="35">
        <f>'PDC répartie-Dimension gaine'!M44</f>
        <v>2.2222222222222223</v>
      </c>
      <c r="J44" s="10">
        <v>1.2</v>
      </c>
      <c r="K44" s="35">
        <f t="shared" si="2"/>
        <v>0</v>
      </c>
      <c r="L44" s="35">
        <f t="shared" si="3"/>
        <v>2.074074074074074</v>
      </c>
      <c r="M44" s="4">
        <f t="shared" si="5"/>
        <v>2.074074074074074</v>
      </c>
    </row>
    <row r="45" spans="2:15">
      <c r="B45" s="12" t="s">
        <v>222</v>
      </c>
      <c r="C45" s="10">
        <v>90</v>
      </c>
      <c r="D45" s="10">
        <f>'PDC répartie-Dimension gaine'!L45/'PDC répartie-Dimension gaine'!L47</f>
        <v>2.56</v>
      </c>
      <c r="E45" s="16">
        <f>'PDC répartie-Dimension gaine'!E46/'PDC répartie-Dimension gaine'!E47</f>
        <v>1.7454545454545454</v>
      </c>
      <c r="F45" s="10">
        <v>0.5</v>
      </c>
      <c r="G45" s="10">
        <v>0.3</v>
      </c>
      <c r="H45" s="4">
        <f>'PDC répartie-Dimension gaine'!M45</f>
        <v>3.3378328342883608</v>
      </c>
      <c r="I45" s="4">
        <f>'PDC répartie-Dimension gaine'!M46</f>
        <v>3.4218245932245916</v>
      </c>
      <c r="J45" s="10">
        <v>1.2</v>
      </c>
      <c r="K45" s="4">
        <f t="shared" si="2"/>
        <v>3.3423384088960413</v>
      </c>
      <c r="L45" s="4">
        <f t="shared" si="3"/>
        <v>2.1075990384233956</v>
      </c>
      <c r="M45" s="4">
        <f t="shared" si="5"/>
        <v>5.4499374473194369</v>
      </c>
    </row>
    <row r="46" spans="2:15">
      <c r="B46" s="12" t="s">
        <v>223</v>
      </c>
      <c r="C46" s="10">
        <v>90</v>
      </c>
      <c r="D46" s="10">
        <f>'PDC répartie-Dimension gaine'!L42/'PDC répartie-Dimension gaine'!L40</f>
        <v>1.5625</v>
      </c>
      <c r="E46" s="16">
        <f>'PDC répartie-Dimension gaine'!E41/'PDC répartie-Dimension gaine'!E43</f>
        <v>0.29411764705882354</v>
      </c>
      <c r="F46" s="10">
        <v>-0.1</v>
      </c>
      <c r="G46" s="10">
        <v>0.5</v>
      </c>
      <c r="H46" s="4">
        <f>'PDC répartie-Dimension gaine'!M42</f>
        <v>3.1123633315748425</v>
      </c>
      <c r="I46" s="4">
        <f>'PDC répartie-Dimension gaine'!M41</f>
        <v>2.8294212105225847</v>
      </c>
      <c r="J46" s="10">
        <v>1.2</v>
      </c>
      <c r="K46" s="4">
        <f t="shared" si="2"/>
        <v>-0.58120833046389908</v>
      </c>
      <c r="L46" s="4">
        <f t="shared" si="3"/>
        <v>2.4016873159665262</v>
      </c>
      <c r="M46" s="4">
        <f t="shared" ref="M46:M47" si="6">K46+L46</f>
        <v>1.8204789855026271</v>
      </c>
    </row>
    <row r="47" spans="2:15">
      <c r="B47" s="12" t="s">
        <v>224</v>
      </c>
      <c r="C47" s="10">
        <v>90</v>
      </c>
      <c r="D47" s="10">
        <f>'PDC répartie-Dimension gaine'!L40/'PDC répartie-Dimension gaine'!L39</f>
        <v>2.56</v>
      </c>
      <c r="E47" s="16">
        <f>'PDC répartie-Dimension gaine'!E38/'PDC répartie-Dimension gaine'!E39</f>
        <v>2.4</v>
      </c>
      <c r="F47" s="10">
        <v>0.5</v>
      </c>
      <c r="G47" s="10">
        <v>0.3</v>
      </c>
      <c r="H47" s="4">
        <f>'PDC répartie-Dimension gaine'!M40</f>
        <v>3.7578250452253061</v>
      </c>
      <c r="I47" s="4">
        <f>'PDC répartie-Dimension gaine'!M38</f>
        <v>2.6525823848649219</v>
      </c>
      <c r="J47" s="10">
        <v>1.2</v>
      </c>
      <c r="K47" s="4">
        <f t="shared" si="2"/>
        <v>4.2363747211567722</v>
      </c>
      <c r="L47" s="4">
        <f t="shared" si="3"/>
        <v>1.2665147955292217</v>
      </c>
      <c r="M47" s="4">
        <f t="shared" si="6"/>
        <v>5.5028895166859941</v>
      </c>
    </row>
    <row r="48" spans="2:15">
      <c r="K48" s="69">
        <f>SUM(K33:K47)</f>
        <v>21.426449868808309</v>
      </c>
      <c r="L48" s="69">
        <f>SUM(L33:L47)</f>
        <v>33.933701745099825</v>
      </c>
      <c r="M48" s="147">
        <f>SUM(M33:M47)</f>
        <v>55.360151613908144</v>
      </c>
    </row>
    <row r="51" spans="1:14">
      <c r="N51" s="30"/>
    </row>
    <row r="52" spans="1:14" ht="17.25">
      <c r="A52" s="192" t="s">
        <v>484</v>
      </c>
      <c r="B52" s="193"/>
      <c r="C52" s="18" t="s">
        <v>203</v>
      </c>
      <c r="D52" s="18" t="s">
        <v>225</v>
      </c>
      <c r="E52" s="18" t="s">
        <v>226</v>
      </c>
      <c r="F52" s="18" t="s">
        <v>206</v>
      </c>
      <c r="G52" s="18" t="s">
        <v>207</v>
      </c>
      <c r="H52" s="18" t="s">
        <v>208</v>
      </c>
      <c r="I52" s="18" t="s">
        <v>209</v>
      </c>
      <c r="J52" s="18" t="s">
        <v>192</v>
      </c>
      <c r="K52" s="18" t="s">
        <v>210</v>
      </c>
      <c r="L52" s="18" t="s">
        <v>211</v>
      </c>
      <c r="M52" s="18" t="s">
        <v>212</v>
      </c>
    </row>
    <row r="53" spans="1:14">
      <c r="B53" s="12" t="s">
        <v>227</v>
      </c>
      <c r="C53" s="10">
        <v>90</v>
      </c>
      <c r="D53" s="10">
        <f>'PDC répartie-Dimension gaine'!L54/'PDC répartie-Dimension gaine'!L53</f>
        <v>0.625</v>
      </c>
      <c r="E53" s="32">
        <f>'PDC répartie-Dimension gaine'!E56/'PDC répartie-Dimension gaine'!E53</f>
        <v>0.32048681541582152</v>
      </c>
      <c r="F53" s="10">
        <v>1.75</v>
      </c>
      <c r="G53" s="10">
        <v>1.75</v>
      </c>
      <c r="H53" s="4">
        <f>'PDC répartie-Dimension gaine'!M54</f>
        <v>3.7222222222222223</v>
      </c>
      <c r="I53" s="4">
        <f>'PDC répartie-Dimension gaine'!M56</f>
        <v>3.5111111111111111</v>
      </c>
      <c r="J53" s="10">
        <v>1.2</v>
      </c>
      <c r="K53" s="4">
        <f>J53*H53^2*F53/2</f>
        <v>14.547685185185186</v>
      </c>
      <c r="L53" s="4">
        <f>J53*I53^2*G53/2</f>
        <v>12.944296296296297</v>
      </c>
      <c r="M53" s="4">
        <f>SUM(K53:L53)</f>
        <v>27.491981481481481</v>
      </c>
    </row>
    <row r="54" spans="1:14">
      <c r="B54" s="12" t="s">
        <v>228</v>
      </c>
      <c r="C54" s="10">
        <v>90</v>
      </c>
      <c r="D54" s="10">
        <f>'PDC répartie-Dimension gaine'!L14/'PDC répartie-Dimension gaine'!L22</f>
        <v>0.25</v>
      </c>
      <c r="E54" s="10">
        <f>'PDC répartie-Dimension gaine'!E13/'PDC répartie-Dimension gaine'!E22</f>
        <v>0.60109289617486339</v>
      </c>
      <c r="F54" s="10">
        <v>5.5</v>
      </c>
      <c r="G54" s="10">
        <v>5.5</v>
      </c>
      <c r="H54" s="4">
        <f>'PDC répartie-Dimension gaine'!M14</f>
        <v>3.3796296296296298</v>
      </c>
      <c r="I54" s="10">
        <f>'PDC répartie-Dimension gaine'!M13</f>
        <v>3.1123633315748425</v>
      </c>
      <c r="J54" s="10">
        <v>1.2</v>
      </c>
      <c r="K54" s="4">
        <f>J54*H54^2*F54/2</f>
        <v>37.692258230452673</v>
      </c>
      <c r="L54" s="4">
        <f>J54*I54^2*G54/2</f>
        <v>31.96645817551445</v>
      </c>
      <c r="M54" s="4">
        <f>SUM(K54:L54)</f>
        <v>69.658716405967127</v>
      </c>
    </row>
    <row r="55" spans="1:14">
      <c r="B55" s="12" t="s">
        <v>240</v>
      </c>
      <c r="C55" s="10">
        <v>90</v>
      </c>
      <c r="D55" s="10">
        <f>'PDC répartie-Dimension gaine'!L62/'PDC répartie-Dimension gaine'!L63</f>
        <v>0.52083333333333337</v>
      </c>
      <c r="E55" s="10">
        <f>'PDC répartie-Dimension gaine'!E61/'PDC répartie-Dimension gaine'!E63</f>
        <v>0.45869883040935672</v>
      </c>
      <c r="F55" s="10">
        <v>2</v>
      </c>
      <c r="G55" s="10">
        <v>2</v>
      </c>
      <c r="H55" s="4">
        <f>'PDC répartie-Dimension gaine'!M15</f>
        <v>3.0555555555555554</v>
      </c>
      <c r="I55" s="10">
        <f>'PDC répartie-Dimension gaine'!M14</f>
        <v>3.3796296296296298</v>
      </c>
      <c r="J55" s="10">
        <v>1.2</v>
      </c>
      <c r="K55" s="4">
        <f>J55*H55^2*F55/2</f>
        <v>11.203703703703702</v>
      </c>
      <c r="L55" s="4">
        <f>J55*I55^2*G55/2</f>
        <v>13.706275720164609</v>
      </c>
      <c r="M55" s="4">
        <f>SUM(K55:L55)</f>
        <v>24.909979423868311</v>
      </c>
    </row>
    <row r="56" spans="1:14">
      <c r="K56" s="69">
        <f>SUM(K53:K55)</f>
        <v>63.443647119341563</v>
      </c>
      <c r="L56" s="69">
        <f>SUM(L53:L55)</f>
        <v>58.61703019197536</v>
      </c>
      <c r="M56" s="69">
        <f>SUM(M53:M55)</f>
        <v>122.06067731131692</v>
      </c>
    </row>
    <row r="64" spans="1:14">
      <c r="B64" s="189" t="s">
        <v>91</v>
      </c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1"/>
    </row>
    <row r="66" spans="1:14">
      <c r="A66" s="25" t="s">
        <v>175</v>
      </c>
    </row>
    <row r="67" spans="1:14" ht="17.25">
      <c r="B67" s="116" t="s">
        <v>176</v>
      </c>
      <c r="C67" s="18" t="s">
        <v>96</v>
      </c>
      <c r="D67" s="18" t="s">
        <v>177</v>
      </c>
      <c r="E67" s="18" t="s">
        <v>178</v>
      </c>
      <c r="F67" s="18" t="s">
        <v>179</v>
      </c>
      <c r="G67" s="18" t="s">
        <v>180</v>
      </c>
      <c r="H67" s="18" t="s">
        <v>181</v>
      </c>
      <c r="I67" s="184" t="s">
        <v>182</v>
      </c>
      <c r="J67" s="184"/>
    </row>
    <row r="68" spans="1:14">
      <c r="B68" s="13" t="s">
        <v>183</v>
      </c>
      <c r="C68" s="10" t="str">
        <f>'PDC répartie-Dimension gaine'!$B$74</f>
        <v>OO-PP</v>
      </c>
      <c r="D68" s="5">
        <f>'PDC répartie-Dimension gaine'!E74</f>
        <v>550</v>
      </c>
      <c r="E68" s="10" t="str">
        <f>'PDC répartie-Dimension gaine'!K74</f>
        <v>DN250</v>
      </c>
      <c r="F68" s="19">
        <f>'PDC répartie-Dimension gaine'!M74</f>
        <v>3.1123633315748425</v>
      </c>
      <c r="G68" s="10">
        <v>5</v>
      </c>
      <c r="H68" s="10">
        <v>5</v>
      </c>
      <c r="I68" s="185" t="s">
        <v>184</v>
      </c>
      <c r="J68" s="185"/>
    </row>
    <row r="69" spans="1:14">
      <c r="B69" s="113" t="s">
        <v>306</v>
      </c>
      <c r="C69" s="10" t="str">
        <f>'PDC répartie-Dimension gaine'!$B$95</f>
        <v>XX-YY</v>
      </c>
      <c r="D69" s="27">
        <f>'PDC répartie-Dimension gaine'!E95</f>
        <v>54</v>
      </c>
      <c r="E69" s="10" t="str">
        <f>'PDC répartie-Dimension gaine'!K96</f>
        <v>100x200</v>
      </c>
      <c r="F69" s="19">
        <f>'PDC répartie-Dimension gaine'!M96</f>
        <v>0.75</v>
      </c>
      <c r="G69" s="10">
        <v>4</v>
      </c>
      <c r="H69" s="10">
        <v>0</v>
      </c>
      <c r="I69" s="185" t="s">
        <v>308</v>
      </c>
      <c r="J69" s="185"/>
    </row>
    <row r="70" spans="1:14">
      <c r="B70" s="13" t="s">
        <v>385</v>
      </c>
      <c r="C70" s="10" t="str">
        <f>'PDC répartie-Dimension gaine'!$B$102</f>
        <v>RR'-SS'</v>
      </c>
      <c r="D70" s="5">
        <f>'PDC répartie-Dimension gaine'!E102</f>
        <v>550</v>
      </c>
      <c r="E70" s="10" t="str">
        <f>'PDC répartie-Dimension gaine'!K102</f>
        <v>DN250</v>
      </c>
      <c r="F70" s="19">
        <f>'PDC répartie-Dimension gaine'!M102</f>
        <v>3.1123633315748425</v>
      </c>
      <c r="G70" s="10">
        <v>5</v>
      </c>
      <c r="H70" s="10">
        <v>5</v>
      </c>
      <c r="I70" s="185" t="s">
        <v>184</v>
      </c>
      <c r="J70" s="185"/>
      <c r="K70" s="183" t="s">
        <v>310</v>
      </c>
      <c r="L70" s="183"/>
      <c r="M70" s="183"/>
      <c r="N70" s="183"/>
    </row>
    <row r="71" spans="1:14">
      <c r="B71" s="9" t="s">
        <v>186</v>
      </c>
      <c r="C71" s="10" t="str">
        <f>'PDC répartie-Dimension gaine'!B104</f>
        <v>MM'-NN'</v>
      </c>
      <c r="D71" s="5">
        <f>'PDC répartie-Dimension gaine'!E104</f>
        <v>160</v>
      </c>
      <c r="E71" s="10" t="str">
        <f>'PDC répartie-Dimension gaine'!K103</f>
        <v>100x200</v>
      </c>
      <c r="F71" s="19">
        <f>'PDC répartie-Dimension gaine'!M103</f>
        <v>2.2222222222222223</v>
      </c>
      <c r="G71" s="10">
        <v>4</v>
      </c>
      <c r="H71" s="10">
        <v>3</v>
      </c>
      <c r="I71" s="185" t="s">
        <v>308</v>
      </c>
      <c r="J71" s="185"/>
      <c r="K71" s="183"/>
      <c r="L71" s="183"/>
      <c r="M71" s="183"/>
      <c r="N71" s="183"/>
    </row>
    <row r="72" spans="1:14">
      <c r="B72" s="9" t="s">
        <v>37</v>
      </c>
      <c r="C72" s="10" t="str">
        <f>'PDC répartie-Dimension gaine'!B81</f>
        <v>EE-FF</v>
      </c>
      <c r="D72" s="5">
        <f>'PDC répartie-Dimension gaine'!E81</f>
        <v>3637.5</v>
      </c>
      <c r="E72" s="10" t="str">
        <f>'PDC répartie-Dimension gaine'!K81</f>
        <v>300x1000</v>
      </c>
      <c r="F72" s="19">
        <f>'PDC répartie-Dimension gaine'!M81</f>
        <v>3.3680555555555554</v>
      </c>
      <c r="G72" s="10">
        <v>19</v>
      </c>
      <c r="H72" s="15">
        <v>2</v>
      </c>
      <c r="I72" s="185" t="s">
        <v>185</v>
      </c>
      <c r="J72" s="185"/>
      <c r="K72" s="183"/>
      <c r="L72" s="183"/>
      <c r="M72" s="183"/>
      <c r="N72" s="183"/>
    </row>
    <row r="73" spans="1:14">
      <c r="B73" s="9" t="s">
        <v>37</v>
      </c>
      <c r="C73" s="10" t="str">
        <f>'PDC répartie-Dimension gaine'!B88</f>
        <v>CCC-EEE</v>
      </c>
      <c r="D73" s="5">
        <f>'PDC répartie-Dimension gaine'!E88</f>
        <v>2286.5</v>
      </c>
      <c r="E73" s="10" t="str">
        <f>'PDC répartie-Dimension gaine'!K88</f>
        <v>300x1000</v>
      </c>
      <c r="F73" s="19">
        <f>'PDC répartie-Dimension gaine'!M88</f>
        <v>2.1171296296296296</v>
      </c>
      <c r="G73" s="10">
        <v>12</v>
      </c>
      <c r="H73" s="10">
        <v>4</v>
      </c>
      <c r="I73" s="185" t="s">
        <v>311</v>
      </c>
      <c r="J73" s="185"/>
      <c r="K73" s="187" t="s">
        <v>309</v>
      </c>
      <c r="L73" s="188"/>
      <c r="M73" s="188"/>
      <c r="N73" s="188"/>
    </row>
    <row r="74" spans="1:14">
      <c r="B74" s="9" t="s">
        <v>37</v>
      </c>
      <c r="C74" s="10" t="str">
        <f>'PDC répartie-Dimension gaine'!B110</f>
        <v>AA'-BB'</v>
      </c>
      <c r="D74" s="5">
        <f>'PDC répartie-Dimension gaine'!E110</f>
        <v>2465</v>
      </c>
      <c r="E74" s="10" t="str">
        <f>'PDC répartie-Dimension gaine'!K110</f>
        <v>250x800</v>
      </c>
      <c r="F74" s="19">
        <f>'PDC répartie-Dimension gaine'!M110</f>
        <v>3.4236111111111116</v>
      </c>
      <c r="G74" s="10">
        <v>15</v>
      </c>
      <c r="H74" s="15">
        <v>3</v>
      </c>
      <c r="I74" s="185" t="s">
        <v>421</v>
      </c>
      <c r="J74" s="185"/>
    </row>
    <row r="75" spans="1:14">
      <c r="B75" s="9" t="s">
        <v>37</v>
      </c>
      <c r="C75" s="10" t="str">
        <f>'PDC répartie-Dimension gaine'!B115</f>
        <v>AAA-GGG</v>
      </c>
      <c r="D75" s="5">
        <f>'PDC répartie-Dimension gaine'!E115</f>
        <v>2555</v>
      </c>
      <c r="E75" s="10" t="str">
        <f>'PDC répartie-Dimension gaine'!K115</f>
        <v>250x800</v>
      </c>
      <c r="F75" s="19">
        <f>'PDC répartie-Dimension gaine'!M115</f>
        <v>3.5486111111111116</v>
      </c>
      <c r="G75" s="10">
        <v>15</v>
      </c>
      <c r="H75" s="15">
        <v>3</v>
      </c>
      <c r="I75" s="185" t="s">
        <v>421</v>
      </c>
      <c r="J75" s="185"/>
    </row>
    <row r="76" spans="1:14" ht="30">
      <c r="B76" s="112" t="s">
        <v>323</v>
      </c>
      <c r="C76" s="10" t="str">
        <f>'PDC répartie-Dimension gaine'!B128</f>
        <v>BB-CC</v>
      </c>
      <c r="D76" s="5">
        <f>'PDC répartie-Dimension gaine'!E128</f>
        <v>10944</v>
      </c>
      <c r="E76" s="10" t="str">
        <f>'PDC répartie-Dimension gaine'!K128</f>
        <v>600x800</v>
      </c>
      <c r="F76" s="19">
        <f>'PDC répartie-Dimension gaine'!M128</f>
        <v>6.333333333333333</v>
      </c>
      <c r="G76" s="10">
        <v>31</v>
      </c>
      <c r="H76" s="15">
        <v>9</v>
      </c>
      <c r="I76" s="185" t="s">
        <v>326</v>
      </c>
      <c r="J76" s="185"/>
    </row>
    <row r="79" spans="1:14">
      <c r="A79" s="25" t="s">
        <v>187</v>
      </c>
    </row>
    <row r="80" spans="1:14" ht="17.25">
      <c r="B80" s="117" t="s">
        <v>188</v>
      </c>
      <c r="C80" s="18" t="s">
        <v>189</v>
      </c>
      <c r="D80" s="18" t="s">
        <v>190</v>
      </c>
      <c r="E80" s="111" t="s">
        <v>191</v>
      </c>
      <c r="F80" s="18" t="s">
        <v>192</v>
      </c>
      <c r="G80" s="18" t="s">
        <v>193</v>
      </c>
      <c r="I80" s="183" t="s">
        <v>194</v>
      </c>
      <c r="J80" s="183"/>
    </row>
    <row r="81" spans="2:11">
      <c r="B81" s="13" t="s">
        <v>422</v>
      </c>
      <c r="C81" s="10">
        <v>90</v>
      </c>
      <c r="D81" s="10">
        <v>1.2</v>
      </c>
      <c r="E81" s="4">
        <f>'PDC répartie-Dimension gaine'!$M$81</f>
        <v>3.3680555555555554</v>
      </c>
      <c r="F81" s="10">
        <v>1.2</v>
      </c>
      <c r="G81" s="4">
        <f>(D81*F81*E81^2)/2</f>
        <v>8.1675347222222214</v>
      </c>
      <c r="I81" s="183"/>
      <c r="J81" s="183"/>
    </row>
    <row r="82" spans="2:11">
      <c r="B82" s="13" t="s">
        <v>243</v>
      </c>
      <c r="C82" s="10">
        <v>90</v>
      </c>
      <c r="D82" s="10">
        <v>1.2</v>
      </c>
      <c r="E82" s="4">
        <f>'PDC répartie-Dimension gaine'!$M$81</f>
        <v>3.3680555555555554</v>
      </c>
      <c r="F82" s="10">
        <v>1.2</v>
      </c>
      <c r="G82" s="4">
        <f>(D82*F82*E82^2)/2</f>
        <v>8.1675347222222214</v>
      </c>
      <c r="I82" s="183"/>
      <c r="J82" s="183"/>
    </row>
    <row r="83" spans="2:11">
      <c r="B83" s="13" t="s">
        <v>423</v>
      </c>
      <c r="C83" s="10">
        <v>90</v>
      </c>
      <c r="D83" s="10">
        <v>1.2</v>
      </c>
      <c r="E83" s="4">
        <f>'PDC répartie-Dimension gaine'!$M$122</f>
        <v>3.3680555555555554</v>
      </c>
      <c r="F83" s="10">
        <v>1.2</v>
      </c>
      <c r="G83" s="4">
        <f>(D83*F83*E83^2)/2</f>
        <v>8.1675347222222214</v>
      </c>
      <c r="I83" s="52"/>
      <c r="J83" s="52"/>
    </row>
    <row r="84" spans="2:11">
      <c r="B84" s="13" t="s">
        <v>424</v>
      </c>
      <c r="C84" s="10">
        <v>90</v>
      </c>
      <c r="D84" s="10">
        <v>1.2</v>
      </c>
      <c r="E84" s="4">
        <f>'PDC répartie-Dimension gaine'!$M$88</f>
        <v>2.1171296296296296</v>
      </c>
      <c r="F84" s="10">
        <v>1.2</v>
      </c>
      <c r="G84" s="4">
        <f>(D84*F84*E84^2)/2</f>
        <v>3.2272112654320986</v>
      </c>
      <c r="I84" s="52"/>
      <c r="J84" s="52"/>
    </row>
    <row r="85" spans="2:11">
      <c r="B85" s="13" t="s">
        <v>425</v>
      </c>
      <c r="C85" s="10">
        <v>90</v>
      </c>
      <c r="D85" s="10">
        <v>1.2</v>
      </c>
      <c r="E85" s="4">
        <f>E84</f>
        <v>2.1171296296296296</v>
      </c>
      <c r="F85" s="10">
        <v>1.2</v>
      </c>
      <c r="G85" s="4">
        <f t="shared" ref="G85:G99" si="7">(D85*F85*E85^2)/2</f>
        <v>3.2272112654320986</v>
      </c>
      <c r="I85" s="52"/>
      <c r="J85" s="52"/>
    </row>
    <row r="86" spans="2:11">
      <c r="B86" s="13" t="s">
        <v>426</v>
      </c>
      <c r="C86" s="10">
        <v>90</v>
      </c>
      <c r="D86" s="10">
        <v>1.2</v>
      </c>
      <c r="E86" s="4">
        <f>E85</f>
        <v>2.1171296296296296</v>
      </c>
      <c r="F86" s="10">
        <v>1.2</v>
      </c>
      <c r="G86" s="4">
        <f t="shared" si="7"/>
        <v>3.2272112654320986</v>
      </c>
      <c r="I86" s="52"/>
      <c r="J86" s="52"/>
    </row>
    <row r="87" spans="2:11">
      <c r="B87" s="13" t="s">
        <v>427</v>
      </c>
      <c r="C87" s="10">
        <v>90</v>
      </c>
      <c r="D87" s="10">
        <v>1.2</v>
      </c>
      <c r="E87" s="4">
        <f>'PDC répartie-Dimension gaine'!$M$95</f>
        <v>0.75</v>
      </c>
      <c r="F87" s="10">
        <v>1.2</v>
      </c>
      <c r="G87" s="4">
        <f t="shared" si="7"/>
        <v>0.40499999999999997</v>
      </c>
    </row>
    <row r="88" spans="2:11">
      <c r="B88" s="13" t="s">
        <v>428</v>
      </c>
      <c r="C88" s="10">
        <v>90</v>
      </c>
      <c r="D88" s="10">
        <v>1.2</v>
      </c>
      <c r="E88" s="4">
        <f>'PDC répartie-Dimension gaine'!$M$125</f>
        <v>3.4236111111111116</v>
      </c>
      <c r="F88" s="10">
        <v>1.2</v>
      </c>
      <c r="G88" s="4">
        <f t="shared" si="7"/>
        <v>8.4392013888888915</v>
      </c>
      <c r="H88" s="183"/>
      <c r="I88" s="183"/>
      <c r="J88" s="183"/>
      <c r="K88" s="183"/>
    </row>
    <row r="89" spans="2:11">
      <c r="B89" s="13" t="s">
        <v>429</v>
      </c>
      <c r="C89" s="10">
        <v>90</v>
      </c>
      <c r="D89" s="10">
        <v>1.2</v>
      </c>
      <c r="E89" s="4">
        <f>E88</f>
        <v>3.4236111111111116</v>
      </c>
      <c r="F89" s="10">
        <v>1.2</v>
      </c>
      <c r="G89" s="4">
        <f t="shared" si="7"/>
        <v>8.4392013888888915</v>
      </c>
      <c r="H89" s="114"/>
      <c r="I89" s="114"/>
      <c r="J89" s="114"/>
      <c r="K89" s="114"/>
    </row>
    <row r="90" spans="2:11">
      <c r="B90" s="13" t="s">
        <v>430</v>
      </c>
      <c r="C90" s="10">
        <v>90</v>
      </c>
      <c r="D90" s="10">
        <v>1.2</v>
      </c>
      <c r="E90" s="4">
        <f>'PDC répartie-Dimension gaine'!$M$114</f>
        <v>3.6574074074074079</v>
      </c>
      <c r="F90" s="10">
        <v>1.2</v>
      </c>
      <c r="G90" s="4">
        <f t="shared" si="7"/>
        <v>9.631172839506176</v>
      </c>
      <c r="H90" s="114"/>
      <c r="I90" s="114"/>
      <c r="J90" s="114"/>
      <c r="K90" s="114"/>
    </row>
    <row r="91" spans="2:11">
      <c r="B91" s="13" t="s">
        <v>431</v>
      </c>
      <c r="C91" s="10">
        <v>90</v>
      </c>
      <c r="D91" s="10">
        <v>1.2</v>
      </c>
      <c r="E91" s="4">
        <f>'PDC répartie-Dimension gaine'!$M$108</f>
        <v>3.6574074074074079</v>
      </c>
      <c r="F91" s="10">
        <v>1.2</v>
      </c>
      <c r="G91" s="4">
        <f t="shared" si="7"/>
        <v>9.631172839506176</v>
      </c>
      <c r="H91" s="114"/>
      <c r="I91" s="114"/>
      <c r="J91" s="114"/>
      <c r="K91" s="114"/>
    </row>
    <row r="92" spans="2:11">
      <c r="B92" s="13" t="s">
        <v>432</v>
      </c>
      <c r="C92" s="10">
        <v>90</v>
      </c>
      <c r="D92" s="10">
        <v>1.2</v>
      </c>
      <c r="E92" s="4">
        <f>'PDC répartie-Dimension gaine'!$M$115</f>
        <v>3.5486111111111116</v>
      </c>
      <c r="F92" s="10">
        <v>1.2</v>
      </c>
      <c r="G92" s="4">
        <f t="shared" si="7"/>
        <v>9.066701388888891</v>
      </c>
      <c r="H92" s="114"/>
      <c r="I92" s="114"/>
      <c r="J92" s="114"/>
      <c r="K92" s="114"/>
    </row>
    <row r="93" spans="2:11">
      <c r="B93" s="13" t="s">
        <v>433</v>
      </c>
      <c r="C93" s="10">
        <v>90</v>
      </c>
      <c r="D93" s="10">
        <v>1.2</v>
      </c>
      <c r="E93" s="4">
        <f>E92</f>
        <v>3.5486111111111116</v>
      </c>
      <c r="F93" s="10">
        <v>1.2</v>
      </c>
      <c r="G93" s="4">
        <f t="shared" si="7"/>
        <v>9.066701388888891</v>
      </c>
      <c r="H93" s="114"/>
      <c r="I93" s="114"/>
      <c r="J93" s="114"/>
      <c r="K93" s="114"/>
    </row>
    <row r="94" spans="2:11">
      <c r="B94" s="13" t="s">
        <v>434</v>
      </c>
      <c r="C94" s="10">
        <v>90</v>
      </c>
      <c r="D94" s="10">
        <v>1.2</v>
      </c>
      <c r="E94" s="4">
        <f>'PDC répartie-Dimension gaine'!$M$119</f>
        <v>3.8657407407407409</v>
      </c>
      <c r="F94" s="10">
        <v>1.2</v>
      </c>
      <c r="G94" s="4">
        <f t="shared" si="7"/>
        <v>10.759645061728396</v>
      </c>
      <c r="H94" s="114"/>
      <c r="I94" s="114"/>
      <c r="J94" s="114"/>
      <c r="K94" s="114"/>
    </row>
    <row r="95" spans="2:11">
      <c r="B95" s="13" t="s">
        <v>435</v>
      </c>
      <c r="C95" s="10">
        <v>90</v>
      </c>
      <c r="D95" s="10">
        <v>1.2</v>
      </c>
      <c r="E95" s="4">
        <f>'PDC répartie-Dimension gaine'!$M$104</f>
        <v>2.2222222222222223</v>
      </c>
      <c r="F95" s="10">
        <v>1.2</v>
      </c>
      <c r="G95" s="4">
        <f t="shared" si="7"/>
        <v>3.5555555555555558</v>
      </c>
      <c r="H95" s="114"/>
      <c r="I95" s="114"/>
      <c r="J95" s="114"/>
      <c r="K95" s="114"/>
    </row>
    <row r="96" spans="2:11">
      <c r="B96" s="13" t="s">
        <v>436</v>
      </c>
      <c r="C96" s="10">
        <v>90</v>
      </c>
      <c r="D96" s="10">
        <v>1.2</v>
      </c>
      <c r="E96" s="4">
        <f>'PDC répartie-Dimension gaine'!$M$102</f>
        <v>3.1123633315748425</v>
      </c>
      <c r="F96" s="10">
        <v>1.2</v>
      </c>
      <c r="G96" s="4">
        <f t="shared" si="7"/>
        <v>6.974499965566789</v>
      </c>
      <c r="H96" s="114"/>
      <c r="I96" s="114"/>
      <c r="J96" s="114"/>
      <c r="K96" s="114"/>
    </row>
    <row r="97" spans="2:15">
      <c r="B97" s="13" t="s">
        <v>450</v>
      </c>
      <c r="C97" s="10">
        <v>90</v>
      </c>
      <c r="D97" s="10">
        <v>1.2</v>
      </c>
      <c r="E97" s="4">
        <f>'PDC répartie-Dimension gaine'!$M$97</f>
        <v>2.8294212105225847</v>
      </c>
      <c r="F97" s="10">
        <v>1.2</v>
      </c>
      <c r="G97" s="4">
        <f>(D97*F97*E97^2)/2</f>
        <v>5.7640495583196625</v>
      </c>
      <c r="H97" s="114"/>
      <c r="I97" s="114"/>
      <c r="J97" s="114"/>
      <c r="K97" s="114"/>
    </row>
    <row r="98" spans="2:15">
      <c r="B98" s="13" t="s">
        <v>239</v>
      </c>
      <c r="C98" s="10">
        <v>90</v>
      </c>
      <c r="D98" s="10">
        <v>1.2</v>
      </c>
      <c r="E98" s="4">
        <f>'PDC répartie-Dimension gaine'!$M$128</f>
        <v>6.333333333333333</v>
      </c>
      <c r="F98" s="10">
        <v>1.2</v>
      </c>
      <c r="G98" s="4">
        <f>(D98*F98*E98^2)/2</f>
        <v>28.879999999999995</v>
      </c>
      <c r="H98" s="114"/>
      <c r="I98" s="114"/>
      <c r="J98" s="114"/>
      <c r="K98" s="114"/>
    </row>
    <row r="99" spans="2:15">
      <c r="B99" s="13" t="s">
        <v>437</v>
      </c>
      <c r="C99" s="10">
        <v>90</v>
      </c>
      <c r="D99" s="10">
        <v>1.2</v>
      </c>
      <c r="E99" s="4">
        <f>E98</f>
        <v>6.333333333333333</v>
      </c>
      <c r="F99" s="10">
        <v>1.2</v>
      </c>
      <c r="G99" s="4">
        <f t="shared" si="7"/>
        <v>28.879999999999995</v>
      </c>
      <c r="H99" s="114"/>
      <c r="I99" s="114"/>
      <c r="J99" s="114"/>
      <c r="K99" s="114"/>
    </row>
    <row r="101" spans="2:15" ht="17.25">
      <c r="B101" s="117" t="s">
        <v>314</v>
      </c>
      <c r="C101" s="18" t="s">
        <v>203</v>
      </c>
      <c r="D101" s="18" t="s">
        <v>485</v>
      </c>
      <c r="E101" s="18" t="s">
        <v>205</v>
      </c>
      <c r="F101" s="18" t="s">
        <v>206</v>
      </c>
      <c r="G101" s="18" t="s">
        <v>207</v>
      </c>
      <c r="H101" s="18" t="s">
        <v>208</v>
      </c>
      <c r="I101" s="18" t="s">
        <v>209</v>
      </c>
      <c r="J101" s="18" t="s">
        <v>192</v>
      </c>
      <c r="K101" s="18" t="s">
        <v>210</v>
      </c>
      <c r="L101" s="18" t="s">
        <v>211</v>
      </c>
      <c r="M101" s="18" t="s">
        <v>212</v>
      </c>
    </row>
    <row r="102" spans="2:15">
      <c r="B102" s="12" t="s">
        <v>439</v>
      </c>
      <c r="C102" s="10">
        <v>90</v>
      </c>
      <c r="D102" s="4">
        <f>'PDC répartie-Dimension gaine'!L74/'PDC répartie-Dimension gaine'!L75</f>
        <v>1.6362461737446838</v>
      </c>
      <c r="E102" s="4">
        <f>'PDC répartie-Dimension gaine'!E74/'PDC répartie-Dimension gaine'!E87</f>
        <v>0.60109289617486339</v>
      </c>
      <c r="F102" s="10">
        <v>0</v>
      </c>
      <c r="G102" s="10">
        <v>-0.2</v>
      </c>
      <c r="H102" s="4">
        <f>'PDC répartie-Dimension gaine'!M75</f>
        <v>3.3796296296296298</v>
      </c>
      <c r="I102" s="4">
        <f>'PDC répartie-Dimension gaine'!M74</f>
        <v>3.1123633315748425</v>
      </c>
      <c r="J102" s="10">
        <v>1.2</v>
      </c>
      <c r="K102" s="4">
        <f t="shared" ref="K102:K108" si="8">J102*H102^2*F102/2</f>
        <v>0</v>
      </c>
      <c r="L102" s="4">
        <f t="shared" ref="L102:L108" si="9">J102*I102^2*G102/2</f>
        <v>-1.1624166609277982</v>
      </c>
      <c r="M102" s="4">
        <f>SUM(K102:L102)</f>
        <v>-1.1624166609277982</v>
      </c>
      <c r="N102" s="183" t="s">
        <v>482</v>
      </c>
      <c r="O102" s="183"/>
    </row>
    <row r="103" spans="2:15">
      <c r="B103" s="37" t="s">
        <v>440</v>
      </c>
      <c r="C103" s="34">
        <v>90</v>
      </c>
      <c r="D103" s="35">
        <f>'PDC répartie-Dimension gaine'!L85/'PDC répartie-Dimension gaine'!L86</f>
        <v>0.4</v>
      </c>
      <c r="E103" s="4">
        <f>'PDC répartie-Dimension gaine'!E85/'PDC répartie-Dimension gaine'!E84</f>
        <v>0.2769385699899295</v>
      </c>
      <c r="F103" s="34">
        <v>0.9</v>
      </c>
      <c r="G103" s="34">
        <v>0.4</v>
      </c>
      <c r="H103" s="35">
        <f>'PDC répartie-Dimension gaine'!M86</f>
        <v>3.9888888888888889</v>
      </c>
      <c r="I103" s="35">
        <f>'PDC répartie-Dimension gaine'!M85</f>
        <v>3.8194444444444451</v>
      </c>
      <c r="J103" s="10">
        <v>1.2</v>
      </c>
      <c r="K103" s="4">
        <f t="shared" si="8"/>
        <v>8.5920666666666676</v>
      </c>
      <c r="L103" s="4">
        <f t="shared" si="9"/>
        <v>3.5011574074074083</v>
      </c>
      <c r="M103" s="4">
        <f>SUM(K103:L103)</f>
        <v>12.093224074074076</v>
      </c>
      <c r="N103" s="183"/>
      <c r="O103" s="183"/>
    </row>
    <row r="104" spans="2:15">
      <c r="B104" s="37" t="s">
        <v>441</v>
      </c>
      <c r="C104" s="34">
        <v>90</v>
      </c>
      <c r="D104" s="35">
        <f>'PDC répartie-Dimension gaine'!L77/'PDC répartie-Dimension gaine'!L84</f>
        <v>0.4</v>
      </c>
      <c r="E104" s="16">
        <f>'PDC répartie-Dimension gaine'!E77/'PDC répartie-Dimension gaine'!E83</f>
        <v>0.18806214227309895</v>
      </c>
      <c r="F104" s="34">
        <v>1</v>
      </c>
      <c r="G104" s="34">
        <v>0</v>
      </c>
      <c r="H104" s="35">
        <f>'PDC répartie-Dimension gaine'!M84</f>
        <v>3.447916666666667</v>
      </c>
      <c r="I104" s="35">
        <f>'PDC répartie-Dimension gaine'!M77</f>
        <v>1.9965277777777777</v>
      </c>
      <c r="J104" s="10">
        <v>1.2</v>
      </c>
      <c r="K104" s="35">
        <f t="shared" si="8"/>
        <v>7.1328776041666684</v>
      </c>
      <c r="L104" s="35">
        <f t="shared" si="9"/>
        <v>0</v>
      </c>
      <c r="M104" s="4">
        <f>K104+L104</f>
        <v>7.1328776041666684</v>
      </c>
      <c r="N104" s="183"/>
      <c r="O104" s="183"/>
    </row>
    <row r="105" spans="2:15">
      <c r="B105" s="37" t="s">
        <v>442</v>
      </c>
      <c r="C105" s="34">
        <v>90</v>
      </c>
      <c r="D105" s="35">
        <f>'PDC répartie-Dimension gaine'!L78/'PDC répartie-Dimension gaine'!L83</f>
        <v>0.25</v>
      </c>
      <c r="E105" s="16">
        <f>'PDC répartie-Dimension gaine'!E78/'PDC répartie-Dimension gaine'!E82</f>
        <v>0.15945017182130583</v>
      </c>
      <c r="F105" s="34">
        <v>1</v>
      </c>
      <c r="G105" s="34">
        <v>-0.4</v>
      </c>
      <c r="H105" s="35">
        <f>'PDC répartie-Dimension gaine'!M83</f>
        <v>3.5387731481481484</v>
      </c>
      <c r="I105" s="35">
        <f>'PDC répartie-Dimension gaine'!M78</f>
        <v>2.6851851851851856</v>
      </c>
      <c r="J105" s="10">
        <v>1.2</v>
      </c>
      <c r="K105" s="35">
        <f t="shared" si="8"/>
        <v>7.5137492364326137</v>
      </c>
      <c r="L105" s="35">
        <f t="shared" si="9"/>
        <v>-1.7304526748971196</v>
      </c>
      <c r="M105" s="4">
        <f>K105+L105</f>
        <v>5.7832965615354937</v>
      </c>
      <c r="N105" s="183"/>
      <c r="O105" s="183"/>
    </row>
    <row r="106" spans="2:15">
      <c r="B106" s="37" t="s">
        <v>443</v>
      </c>
      <c r="C106" s="34">
        <v>90</v>
      </c>
      <c r="D106" s="35">
        <f>'PDC répartie-Dimension gaine'!L92/'PDC répartie-Dimension gaine'!L93</f>
        <v>0.3125</v>
      </c>
      <c r="E106" s="16">
        <f>'PDC répartie-Dimension gaine'!E92/'PDC répartie-Dimension gaine'!E91</f>
        <v>0.30067789197463374</v>
      </c>
      <c r="F106" s="34">
        <v>0.9</v>
      </c>
      <c r="G106" s="34">
        <v>0.4</v>
      </c>
      <c r="H106" s="35">
        <f>'PDC répartie-Dimension gaine'!M93</f>
        <v>2.7760416666666665</v>
      </c>
      <c r="I106" s="35">
        <f>'PDC répartie-Dimension gaine'!M92</f>
        <v>3.8194444444444451</v>
      </c>
      <c r="J106" s="10">
        <v>1.2</v>
      </c>
      <c r="K106" s="35">
        <f t="shared" si="8"/>
        <v>4.1614599609374991</v>
      </c>
      <c r="L106" s="35">
        <f t="shared" si="9"/>
        <v>3.5011574074074083</v>
      </c>
      <c r="M106" s="4">
        <f>K106+L106</f>
        <v>7.6626173683449075</v>
      </c>
      <c r="N106" s="183"/>
      <c r="O106" s="183"/>
    </row>
    <row r="107" spans="2:15">
      <c r="B107" s="37" t="s">
        <v>444</v>
      </c>
      <c r="C107" s="34">
        <v>90</v>
      </c>
      <c r="D107" s="35">
        <f>'PDC répartie-Dimension gaine'!L79/'PDC répartie-Dimension gaine'!L94</f>
        <v>0.5</v>
      </c>
      <c r="E107" s="16">
        <f>'PDC répartie-Dimension gaine'!E79/'PDC répartie-Dimension gaine'!E93</f>
        <v>0.36272670419011882</v>
      </c>
      <c r="F107" s="34">
        <v>0.7</v>
      </c>
      <c r="G107" s="34">
        <v>0.2</v>
      </c>
      <c r="H107" s="35">
        <f>'PDC répartie-Dimension gaine'!M94</f>
        <v>2.3587962962962967</v>
      </c>
      <c r="I107" s="35">
        <f>'PDC répartie-Dimension gaine'!M79</f>
        <v>2.6851851851851856</v>
      </c>
      <c r="J107" s="10">
        <v>1.2</v>
      </c>
      <c r="K107" s="35">
        <f t="shared" si="8"/>
        <v>2.3368463863168727</v>
      </c>
      <c r="L107" s="35">
        <f t="shared" si="9"/>
        <v>0.86522633744855981</v>
      </c>
      <c r="M107" s="4">
        <f>K107+L107</f>
        <v>3.2020727237654327</v>
      </c>
      <c r="N107" s="114"/>
      <c r="O107" s="114"/>
    </row>
    <row r="108" spans="2:15">
      <c r="B108" s="37" t="s">
        <v>445</v>
      </c>
      <c r="C108" s="34">
        <v>90</v>
      </c>
      <c r="D108" s="35">
        <f>'PDC répartie-Dimension gaine'!L96/'PDC répartie-Dimension gaine'!L80</f>
        <v>0.25663684449184437</v>
      </c>
      <c r="E108" s="16">
        <f>'PDC répartie-Dimension gaine'!E96/'PDC répartie-Dimension gaine'!E94</f>
        <v>5.2993130520117761E-2</v>
      </c>
      <c r="F108" s="34">
        <v>1</v>
      </c>
      <c r="G108" s="34">
        <v>-1.2</v>
      </c>
      <c r="H108" s="35">
        <f>'PDC répartie-Dimension gaine'!M80</f>
        <v>3.439646596314303</v>
      </c>
      <c r="I108" s="35">
        <f>'PDC répartie-Dimension gaine'!M96</f>
        <v>0.75</v>
      </c>
      <c r="J108" s="10">
        <v>1.2</v>
      </c>
      <c r="K108" s="35">
        <f t="shared" si="8"/>
        <v>7.0987012245219416</v>
      </c>
      <c r="L108" s="35">
        <f t="shared" si="9"/>
        <v>-0.40499999999999997</v>
      </c>
      <c r="M108" s="4">
        <f>K108+L108</f>
        <v>6.6937012245219414</v>
      </c>
    </row>
    <row r="109" spans="2:15">
      <c r="B109" s="37" t="s">
        <v>438</v>
      </c>
      <c r="C109" s="34">
        <v>90</v>
      </c>
      <c r="D109" s="35">
        <f>'PDC répartie-Dimension gaine'!L88/'PDC répartie-Dimension gaine'!L122</f>
        <v>1</v>
      </c>
      <c r="E109" s="16">
        <f>'PDC répartie-Dimension gaine'!E88/'PDC répartie-Dimension gaine'!E121</f>
        <v>0.38597231600270088</v>
      </c>
      <c r="F109" s="34">
        <v>0.2</v>
      </c>
      <c r="G109" s="34">
        <v>-0.1</v>
      </c>
      <c r="H109" s="35">
        <f>'PDC répartie-Dimension gaine'!M122</f>
        <v>3.3680555555555554</v>
      </c>
      <c r="I109" s="35">
        <f>'PDC répartie-Dimension gaine'!M88</f>
        <v>2.1171296296296296</v>
      </c>
      <c r="J109" s="10">
        <v>1.2</v>
      </c>
      <c r="K109" s="35">
        <f t="shared" ref="K109:K116" si="10">J109*H109^2*F109/2</f>
        <v>1.361255787037037</v>
      </c>
      <c r="L109" s="35">
        <f t="shared" ref="L109:L116" si="11">J109*I109^2*G109/2</f>
        <v>-0.26893427211934157</v>
      </c>
      <c r="M109" s="4">
        <f t="shared" ref="M109:M116" si="12">K109+L109</f>
        <v>1.0923215149176955</v>
      </c>
    </row>
    <row r="110" spans="2:15">
      <c r="B110" s="37" t="s">
        <v>241</v>
      </c>
      <c r="C110" s="34">
        <v>90</v>
      </c>
      <c r="D110" s="35">
        <f>'PDC répartie-Dimension gaine'!L113/'PDC répartie-Dimension gaine'!L114</f>
        <v>1.5</v>
      </c>
      <c r="E110" s="16">
        <f>'PDC répartie-Dimension gaine'!E113/'PDC répartie-Dimension gaine'!E112</f>
        <v>0.5283582089552239</v>
      </c>
      <c r="F110" s="34">
        <v>0</v>
      </c>
      <c r="G110" s="34">
        <v>0</v>
      </c>
      <c r="H110" s="35">
        <f>'PDC répartie-Dimension gaine'!M114</f>
        <v>3.6574074074074079</v>
      </c>
      <c r="I110" s="35">
        <f>'PDC répartie-Dimension gaine'!M113</f>
        <v>2.7314814814814818</v>
      </c>
      <c r="J110" s="10">
        <v>1.2</v>
      </c>
      <c r="K110" s="35">
        <f t="shared" si="10"/>
        <v>0</v>
      </c>
      <c r="L110" s="35">
        <f t="shared" si="11"/>
        <v>0</v>
      </c>
      <c r="M110" s="4">
        <f t="shared" si="12"/>
        <v>0</v>
      </c>
    </row>
    <row r="111" spans="2:15">
      <c r="B111" s="37" t="s">
        <v>446</v>
      </c>
      <c r="C111" s="34">
        <v>90</v>
      </c>
      <c r="D111" s="35">
        <f>'PDC répartie-Dimension gaine'!L118/'PDC répartie-Dimension gaine'!L119</f>
        <v>0.625</v>
      </c>
      <c r="E111" s="16">
        <f>'PDC répartie-Dimension gaine'!E118/'PDC répartie-Dimension gaine'!E117</f>
        <v>0.34637964774951074</v>
      </c>
      <c r="F111" s="34">
        <v>0.4</v>
      </c>
      <c r="G111" s="34">
        <v>0.1</v>
      </c>
      <c r="H111" s="35">
        <f>'PDC répartie-Dimension gaine'!M119</f>
        <v>3.8657407407407409</v>
      </c>
      <c r="I111" s="35">
        <f>'PDC répartie-Dimension gaine'!M118</f>
        <v>3.2777777777777777</v>
      </c>
      <c r="J111" s="10">
        <v>1.2</v>
      </c>
      <c r="K111" s="35">
        <f t="shared" si="10"/>
        <v>3.5865483539094649</v>
      </c>
      <c r="L111" s="35">
        <f t="shared" si="11"/>
        <v>0.64462962962962955</v>
      </c>
      <c r="M111" s="4">
        <f t="shared" si="12"/>
        <v>4.2311779835390944</v>
      </c>
    </row>
    <row r="112" spans="2:15">
      <c r="B112" s="37" t="s">
        <v>447</v>
      </c>
      <c r="C112" s="34">
        <v>90</v>
      </c>
      <c r="D112" s="35">
        <f>'PDC répartie-Dimension gaine'!L104/'PDC répartie-Dimension gaine'!L107</f>
        <v>0.15915494309189535</v>
      </c>
      <c r="E112" s="16">
        <f>'PDC répartie-Dimension gaine'!E103/'PDC répartie-Dimension gaine'!E120</f>
        <v>9.580838323353294E-2</v>
      </c>
      <c r="F112" s="34">
        <v>1</v>
      </c>
      <c r="G112" s="34">
        <v>-1.2</v>
      </c>
      <c r="H112" s="35">
        <f>'PDC répartie-Dimension gaine'!M107</f>
        <v>3.3378328342883608</v>
      </c>
      <c r="I112" s="35">
        <f>'PDC répartie-Dimension gaine'!M103</f>
        <v>2.2222222222222223</v>
      </c>
      <c r="J112" s="10">
        <v>1.2</v>
      </c>
      <c r="K112" s="35">
        <f t="shared" si="10"/>
        <v>6.6846768177920826</v>
      </c>
      <c r="L112" s="35">
        <f t="shared" si="11"/>
        <v>-3.5555555555555558</v>
      </c>
      <c r="M112" s="4">
        <f t="shared" si="12"/>
        <v>3.1291212622365268</v>
      </c>
    </row>
    <row r="113" spans="1:14">
      <c r="B113" s="37" t="s">
        <v>448</v>
      </c>
      <c r="C113" s="34">
        <v>90</v>
      </c>
      <c r="D113" s="35">
        <f>'PDC répartie-Dimension gaine'!L106/'PDC répartie-Dimension gaine'!L105</f>
        <v>1.5876000000000001</v>
      </c>
      <c r="E113" s="16">
        <f>'PDC répartie-Dimension gaine'!E106/'PDC répartie-Dimension gaine'!E107</f>
        <v>0.63576158940397354</v>
      </c>
      <c r="F113" s="34">
        <v>0</v>
      </c>
      <c r="G113" s="34">
        <v>0.2</v>
      </c>
      <c r="H113" s="35">
        <f>'PDC répartie-Dimension gaine'!M105</f>
        <v>3.1123633315748425</v>
      </c>
      <c r="I113" s="35">
        <f>'PDC répartie-Dimension gaine'!M106</f>
        <v>3.4218245932245916</v>
      </c>
      <c r="J113" s="10">
        <v>1.2</v>
      </c>
      <c r="K113" s="35">
        <f t="shared" si="10"/>
        <v>0</v>
      </c>
      <c r="L113" s="35">
        <f t="shared" si="11"/>
        <v>1.4050660256155971</v>
      </c>
      <c r="M113" s="4">
        <f t="shared" si="12"/>
        <v>1.4050660256155971</v>
      </c>
    </row>
    <row r="114" spans="1:14">
      <c r="B114" s="12" t="s">
        <v>449</v>
      </c>
      <c r="C114" s="10">
        <v>90</v>
      </c>
      <c r="D114" s="4">
        <f>'PDC répartie-Dimension gaine'!L101/'PDC répartie-Dimension gaine'!L100</f>
        <v>0.390625</v>
      </c>
      <c r="E114" s="16">
        <f>'PDC répartie-Dimension gaine'!E101/'PDC répartie-Dimension gaine'!E102</f>
        <v>0.22727272727272727</v>
      </c>
      <c r="F114" s="10">
        <v>1</v>
      </c>
      <c r="G114" s="10">
        <v>1.2</v>
      </c>
      <c r="H114" s="4">
        <f>'PDC répartie-Dimension gaine'!M100</f>
        <v>3.7578250452253061</v>
      </c>
      <c r="I114" s="4">
        <f>'PDC répartie-Dimension gaine'!M101</f>
        <v>2.8294212105225847</v>
      </c>
      <c r="J114" s="10">
        <v>1.2</v>
      </c>
      <c r="K114" s="4">
        <f t="shared" si="10"/>
        <v>8.4727494423135443</v>
      </c>
      <c r="L114" s="4">
        <f t="shared" si="11"/>
        <v>5.7640495583196625</v>
      </c>
      <c r="M114" s="4">
        <f t="shared" si="12"/>
        <v>14.236799000633207</v>
      </c>
    </row>
    <row r="115" spans="1:14">
      <c r="B115" s="12" t="s">
        <v>451</v>
      </c>
      <c r="C115" s="10">
        <v>90</v>
      </c>
      <c r="D115" s="4">
        <f>'PDC répartie-Dimension gaine'!L99/'PDC répartie-Dimension gaine'!L98</f>
        <v>2.56</v>
      </c>
      <c r="E115" s="16">
        <f>'PDC répartie-Dimension gaine'!E99/'PDC répartie-Dimension gaine'!E100</f>
        <v>0.70588235294117652</v>
      </c>
      <c r="F115" s="10">
        <v>0</v>
      </c>
      <c r="G115" s="10">
        <v>0.2</v>
      </c>
      <c r="H115" s="4">
        <f>'PDC répartie-Dimension gaine'!M98</f>
        <v>2.8294212105225847</v>
      </c>
      <c r="I115" s="4">
        <f>'PDC répartie-Dimension gaine'!M99</f>
        <v>2.6525823848649219</v>
      </c>
      <c r="J115" s="10">
        <v>1.2</v>
      </c>
      <c r="K115" s="4">
        <f t="shared" si="10"/>
        <v>0</v>
      </c>
      <c r="L115" s="4">
        <f t="shared" si="11"/>
        <v>0.84434319701948124</v>
      </c>
      <c r="M115" s="4">
        <f t="shared" si="12"/>
        <v>0.84434319701948124</v>
      </c>
    </row>
    <row r="116" spans="1:14">
      <c r="B116" s="12" t="s">
        <v>452</v>
      </c>
      <c r="C116" s="10">
        <v>90</v>
      </c>
      <c r="D116" s="4">
        <f>'PDC répartie-Dimension gaine'!L115/'PDC répartie-Dimension gaine'!L125</f>
        <v>1</v>
      </c>
      <c r="E116" s="16">
        <f>'PDC répartie-Dimension gaine'!E115/'PDC répartie-Dimension gaine'!E124</f>
        <v>0.50896414342629481</v>
      </c>
      <c r="F116" s="10">
        <v>0.1</v>
      </c>
      <c r="G116" s="10">
        <v>0</v>
      </c>
      <c r="H116" s="4">
        <f>'PDC répartie-Dimension gaine'!M125</f>
        <v>3.4236111111111116</v>
      </c>
      <c r="I116" s="4">
        <f>'PDC répartie-Dimension gaine'!M115</f>
        <v>3.5486111111111116</v>
      </c>
      <c r="J116" s="10">
        <v>1.2</v>
      </c>
      <c r="K116" s="4">
        <f t="shared" si="10"/>
        <v>0.7032667824074077</v>
      </c>
      <c r="L116" s="4">
        <f t="shared" si="11"/>
        <v>0</v>
      </c>
      <c r="M116" s="4">
        <f t="shared" si="12"/>
        <v>0.7032667824074077</v>
      </c>
    </row>
    <row r="120" spans="1:14">
      <c r="N120" s="30"/>
    </row>
    <row r="121" spans="1:14" ht="17.25">
      <c r="A121" s="192" t="s">
        <v>483</v>
      </c>
      <c r="B121" s="193"/>
      <c r="C121" s="18" t="s">
        <v>203</v>
      </c>
      <c r="D121" s="18" t="s">
        <v>226</v>
      </c>
      <c r="E121" s="18" t="s">
        <v>206</v>
      </c>
      <c r="F121" s="18" t="s">
        <v>207</v>
      </c>
      <c r="G121" s="18" t="s">
        <v>208</v>
      </c>
      <c r="H121" s="18" t="s">
        <v>209</v>
      </c>
      <c r="I121" s="18" t="s">
        <v>192</v>
      </c>
      <c r="J121" s="18" t="s">
        <v>210</v>
      </c>
      <c r="K121" s="18" t="s">
        <v>211</v>
      </c>
      <c r="L121" s="18" t="s">
        <v>212</v>
      </c>
    </row>
    <row r="122" spans="1:14">
      <c r="B122" s="12" t="s">
        <v>453</v>
      </c>
      <c r="C122" s="10">
        <v>90</v>
      </c>
      <c r="D122" s="32">
        <f>'PDC répartie-Dimension gaine'!E87/'PDC répartie-Dimension gaine'!E86</f>
        <v>0.50974930362116988</v>
      </c>
      <c r="E122" s="10">
        <v>1</v>
      </c>
      <c r="F122" s="10">
        <v>1</v>
      </c>
      <c r="G122" s="4">
        <f>'PDC répartie-Dimension gaine'!M117</f>
        <v>3.5486111111111116</v>
      </c>
      <c r="H122" s="4">
        <f>'PDC répartie-Dimension gaine'!M119</f>
        <v>3.8657407407407409</v>
      </c>
      <c r="I122" s="10">
        <v>1.2</v>
      </c>
      <c r="J122" s="4">
        <f>I122*G122^2*E122/2</f>
        <v>7.5555844907407419</v>
      </c>
      <c r="K122" s="4">
        <f>I122*H122^2*F122/2</f>
        <v>8.9663708847736618</v>
      </c>
      <c r="L122" s="4">
        <f>SUM(J122:K122)</f>
        <v>16.521955375514402</v>
      </c>
    </row>
    <row r="123" spans="1:14">
      <c r="B123" s="12" t="s">
        <v>454</v>
      </c>
      <c r="C123" s="10">
        <v>90</v>
      </c>
      <c r="D123" s="10">
        <f>'PDC répartie-Dimension gaine'!E111/'PDC répartie-Dimension gaine'!E110</f>
        <v>0.32048681541582152</v>
      </c>
      <c r="E123" s="10">
        <v>-0.3</v>
      </c>
      <c r="F123" s="10">
        <v>-0.3</v>
      </c>
      <c r="G123" s="4">
        <f>'PDC répartie-Dimension gaine'!M75</f>
        <v>3.3796296296296298</v>
      </c>
      <c r="H123" s="10">
        <f>'PDC répartie-Dimension gaine'!M74</f>
        <v>3.1123633315748425</v>
      </c>
      <c r="I123" s="10">
        <v>1.2</v>
      </c>
      <c r="J123" s="4">
        <f>I123*G123^2*E123/2</f>
        <v>-2.055941358024691</v>
      </c>
      <c r="K123" s="4">
        <f>I123*H123^2*F123/2</f>
        <v>-1.7436249913916972</v>
      </c>
      <c r="L123" s="4">
        <f>SUM(J123:K123)</f>
        <v>-3.7995663494163883</v>
      </c>
    </row>
    <row r="124" spans="1:14">
      <c r="B124" s="12" t="s">
        <v>455</v>
      </c>
      <c r="C124" s="10">
        <v>90</v>
      </c>
      <c r="D124" s="10">
        <f>'PDC répartie-Dimension gaine'!E124/'PDC répartie-Dimension gaine'!E127</f>
        <v>0.45869883040935672</v>
      </c>
      <c r="E124" s="10">
        <v>1</v>
      </c>
      <c r="F124" s="10">
        <v>1</v>
      </c>
      <c r="G124" s="4">
        <f>'PDC répartie-Dimension gaine'!M76</f>
        <v>3.0555555555555554</v>
      </c>
      <c r="H124" s="10">
        <f>'PDC répartie-Dimension gaine'!M75</f>
        <v>3.3796296296296298</v>
      </c>
      <c r="I124" s="10">
        <v>1.2</v>
      </c>
      <c r="J124" s="4">
        <f>I124*G124^2*E124/2</f>
        <v>5.6018518518518512</v>
      </c>
      <c r="K124" s="4">
        <f>I124*H124^2*F124/2</f>
        <v>6.8531378600823043</v>
      </c>
      <c r="L124" s="4">
        <f>SUM(J124:K124)</f>
        <v>12.454989711934155</v>
      </c>
    </row>
    <row r="130" spans="1:14">
      <c r="B130" s="194" t="s">
        <v>299</v>
      </c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6"/>
    </row>
    <row r="132" spans="1:14">
      <c r="A132" s="25" t="s">
        <v>175</v>
      </c>
    </row>
    <row r="133" spans="1:14" ht="17.25">
      <c r="B133" s="116" t="s">
        <v>176</v>
      </c>
      <c r="C133" s="18" t="s">
        <v>96</v>
      </c>
      <c r="D133" s="18" t="s">
        <v>177</v>
      </c>
      <c r="E133" s="18" t="s">
        <v>178</v>
      </c>
      <c r="F133" s="18" t="s">
        <v>179</v>
      </c>
      <c r="G133" s="18" t="s">
        <v>180</v>
      </c>
      <c r="H133" s="18" t="s">
        <v>181</v>
      </c>
      <c r="I133" s="184" t="s">
        <v>182</v>
      </c>
      <c r="J133" s="184"/>
    </row>
    <row r="134" spans="1:14">
      <c r="B134" s="9" t="s">
        <v>37</v>
      </c>
      <c r="C134" s="10" t="s">
        <v>489</v>
      </c>
      <c r="D134" s="5">
        <f>'PDC répartie-Dimension gaine'!E136</f>
        <v>250</v>
      </c>
      <c r="E134" s="10" t="str">
        <f>'PDC répartie-Dimension gaine'!J136</f>
        <v>150x200</v>
      </c>
      <c r="F134" s="19">
        <f>'PDC répartie-Dimension gaine'!L136</f>
        <v>2.3148148148148149</v>
      </c>
      <c r="G134" s="10">
        <v>5</v>
      </c>
      <c r="H134" s="10">
        <v>4</v>
      </c>
      <c r="I134" s="185" t="s">
        <v>308</v>
      </c>
      <c r="J134" s="185"/>
    </row>
    <row r="135" spans="1:14">
      <c r="B135" s="9" t="s">
        <v>37</v>
      </c>
      <c r="C135" s="10" t="s">
        <v>488</v>
      </c>
      <c r="D135" s="5">
        <f>'PDC répartie-Dimension gaine'!E137</f>
        <v>250</v>
      </c>
      <c r="E135" s="10" t="str">
        <f>'PDC répartie-Dimension gaine'!J137</f>
        <v>150x200</v>
      </c>
      <c r="F135" s="19">
        <f>'PDC répartie-Dimension gaine'!L137</f>
        <v>2.3148148148148149</v>
      </c>
      <c r="G135" s="10">
        <v>5</v>
      </c>
      <c r="H135" s="10">
        <v>4</v>
      </c>
      <c r="I135" s="185" t="s">
        <v>308</v>
      </c>
      <c r="J135" s="185"/>
    </row>
    <row r="138" spans="1:14">
      <c r="A138" s="25" t="s">
        <v>187</v>
      </c>
    </row>
    <row r="139" spans="1:14" ht="17.25">
      <c r="B139" s="117" t="s">
        <v>188</v>
      </c>
      <c r="C139" s="18" t="s">
        <v>189</v>
      </c>
      <c r="D139" s="18" t="s">
        <v>190</v>
      </c>
      <c r="E139" s="111" t="s">
        <v>191</v>
      </c>
      <c r="F139" s="18" t="s">
        <v>192</v>
      </c>
      <c r="G139" s="18" t="s">
        <v>193</v>
      </c>
    </row>
    <row r="140" spans="1:14">
      <c r="B140" s="13">
        <v>5</v>
      </c>
      <c r="C140" s="10">
        <v>90</v>
      </c>
      <c r="D140" s="10">
        <v>1.2</v>
      </c>
      <c r="E140" s="15">
        <f>'PDC répartie-Dimension gaine'!$L$136</f>
        <v>2.3148148148148149</v>
      </c>
      <c r="F140" s="10">
        <v>1.2</v>
      </c>
      <c r="G140" s="4">
        <f t="shared" ref="G140:G147" si="13">(D140*F140*E140^2)/2</f>
        <v>3.8580246913580249</v>
      </c>
    </row>
    <row r="141" spans="1:14">
      <c r="B141" s="13">
        <v>6</v>
      </c>
      <c r="C141" s="10">
        <v>90</v>
      </c>
      <c r="D141" s="10">
        <v>1.2</v>
      </c>
      <c r="E141" s="15">
        <f>'PDC répartie-Dimension gaine'!$L$138</f>
        <v>2.3148148148148149</v>
      </c>
      <c r="F141" s="10">
        <v>1.2</v>
      </c>
      <c r="G141" s="4">
        <f t="shared" si="13"/>
        <v>3.8580246913580249</v>
      </c>
    </row>
    <row r="142" spans="1:14">
      <c r="B142" s="13">
        <v>7</v>
      </c>
      <c r="C142" s="10">
        <v>90</v>
      </c>
      <c r="D142" s="10">
        <v>1.2</v>
      </c>
      <c r="E142" s="15">
        <f>'PDC répartie-Dimension gaine'!$L$139</f>
        <v>2.3148148148148149</v>
      </c>
      <c r="F142" s="10">
        <v>1.2</v>
      </c>
      <c r="G142" s="4">
        <f t="shared" si="13"/>
        <v>3.8580246913580249</v>
      </c>
    </row>
    <row r="143" spans="1:14">
      <c r="B143" s="13">
        <v>11</v>
      </c>
      <c r="C143" s="10">
        <v>90</v>
      </c>
      <c r="D143" s="10">
        <v>1.2</v>
      </c>
      <c r="E143" s="15">
        <f>'PDC répartie-Dimension gaine'!L143</f>
        <v>1.3888888888888888</v>
      </c>
      <c r="F143" s="10">
        <v>1.2</v>
      </c>
      <c r="G143" s="4">
        <f t="shared" si="13"/>
        <v>1.3888888888888888</v>
      </c>
    </row>
    <row r="144" spans="1:14">
      <c r="B144" s="13">
        <v>15</v>
      </c>
      <c r="C144" s="10">
        <v>90</v>
      </c>
      <c r="D144" s="10">
        <v>1.2</v>
      </c>
      <c r="E144" s="15">
        <f>'PDC répartie-Dimension gaine'!L147</f>
        <v>1.3888888888888888</v>
      </c>
      <c r="F144" s="10">
        <v>1.2</v>
      </c>
      <c r="G144" s="4">
        <f t="shared" si="13"/>
        <v>1.3888888888888888</v>
      </c>
    </row>
    <row r="145" spans="2:13">
      <c r="B145" s="13">
        <v>2</v>
      </c>
      <c r="C145" s="10">
        <v>90</v>
      </c>
      <c r="D145" s="10">
        <v>1.2</v>
      </c>
      <c r="E145" s="15">
        <f>'PDC répartie-Dimension gaine'!L149</f>
        <v>2.3148148148148149</v>
      </c>
      <c r="F145" s="10">
        <v>1.2</v>
      </c>
      <c r="G145" s="4">
        <f t="shared" si="13"/>
        <v>3.8580246913580249</v>
      </c>
    </row>
    <row r="146" spans="2:13">
      <c r="B146" s="13">
        <v>3</v>
      </c>
      <c r="C146" s="10">
        <v>90</v>
      </c>
      <c r="D146" s="10">
        <v>1.2</v>
      </c>
      <c r="E146" s="15">
        <f>'PDC répartie-Dimension gaine'!L150</f>
        <v>2.3148148148148149</v>
      </c>
      <c r="F146" s="10">
        <v>1.2</v>
      </c>
      <c r="G146" s="4">
        <f t="shared" si="13"/>
        <v>3.8580246913580249</v>
      </c>
    </row>
    <row r="147" spans="2:13">
      <c r="B147" s="13">
        <v>4</v>
      </c>
      <c r="C147" s="10">
        <v>90</v>
      </c>
      <c r="D147" s="10">
        <v>1.2</v>
      </c>
      <c r="E147" s="15">
        <f>'PDC répartie-Dimension gaine'!L148</f>
        <v>2.3148148148148149</v>
      </c>
      <c r="F147" s="10">
        <v>1.2</v>
      </c>
      <c r="G147" s="4">
        <f t="shared" si="13"/>
        <v>3.8580246913580249</v>
      </c>
    </row>
    <row r="149" spans="2:13" ht="17.25">
      <c r="B149" s="117" t="s">
        <v>314</v>
      </c>
      <c r="C149" s="18" t="s">
        <v>203</v>
      </c>
      <c r="D149" s="18" t="s">
        <v>485</v>
      </c>
      <c r="E149" s="18" t="s">
        <v>205</v>
      </c>
      <c r="F149" s="18" t="s">
        <v>206</v>
      </c>
      <c r="G149" s="18" t="s">
        <v>207</v>
      </c>
      <c r="H149" s="18" t="s">
        <v>208</v>
      </c>
      <c r="I149" s="18" t="s">
        <v>209</v>
      </c>
      <c r="J149" s="18" t="s">
        <v>192</v>
      </c>
      <c r="K149" s="18" t="s">
        <v>210</v>
      </c>
      <c r="L149" s="18" t="s">
        <v>211</v>
      </c>
      <c r="M149" s="18" t="s">
        <v>212</v>
      </c>
    </row>
    <row r="150" spans="2:13">
      <c r="B150" s="12">
        <v>8</v>
      </c>
      <c r="C150" s="10">
        <v>90</v>
      </c>
      <c r="D150" s="4">
        <f>'PDC répartie-Dimension gaine'!K142/'PDC répartie-Dimension gaine'!K140</f>
        <v>0.5</v>
      </c>
      <c r="E150" s="4">
        <f>'PDC répartie-Dimension gaine'!E142/'PDC répartie-Dimension gaine'!E139</f>
        <v>0.2</v>
      </c>
      <c r="F150" s="10">
        <v>1</v>
      </c>
      <c r="G150" s="10">
        <v>-0.2</v>
      </c>
      <c r="H150" s="4">
        <f>'PDC répartie-Dimension gaine'!L140</f>
        <v>2.7777777777777777</v>
      </c>
      <c r="I150" s="4">
        <f>'PDC répartie-Dimension gaine'!L142</f>
        <v>1.3888888888888888</v>
      </c>
      <c r="J150" s="10">
        <v>1.2</v>
      </c>
      <c r="K150" s="4">
        <f>J150*H150^2*F150/2</f>
        <v>4.6296296296296289</v>
      </c>
      <c r="L150" s="4">
        <f>J150*I150^2*G150/2</f>
        <v>-0.23148148148148145</v>
      </c>
      <c r="M150" s="4">
        <f>SUM(K150:L150)</f>
        <v>4.398148148148147</v>
      </c>
    </row>
    <row r="151" spans="2:13">
      <c r="B151" s="37">
        <v>10</v>
      </c>
      <c r="C151" s="34">
        <v>90</v>
      </c>
      <c r="D151" s="35">
        <f>'PDC répartie-Dimension gaine'!K143/'PDC répartie-Dimension gaine'!K141</f>
        <v>0.33333333333333331</v>
      </c>
      <c r="E151" s="35">
        <f>'PDC répartie-Dimension gaine'!E143/'PDC répartie-Dimension gaine'!E140</f>
        <v>0.25</v>
      </c>
      <c r="F151" s="34">
        <v>0.9</v>
      </c>
      <c r="G151" s="34">
        <v>0.4</v>
      </c>
      <c r="H151" s="35">
        <f>'PDC répartie-Dimension gaine'!L141</f>
        <v>1.3888888888888888</v>
      </c>
      <c r="I151" s="35">
        <f>'PDC répartie-Dimension gaine'!L143</f>
        <v>1.3888888888888888</v>
      </c>
      <c r="J151" s="34">
        <v>1.2</v>
      </c>
      <c r="K151" s="35">
        <f>J151*H151^2*F151/2</f>
        <v>1.0416666666666665</v>
      </c>
      <c r="L151" s="35">
        <f>J151*I151^2*G151/2</f>
        <v>0.46296296296296291</v>
      </c>
      <c r="M151" s="35">
        <f>SUM(K151:L151)</f>
        <v>1.5046296296296293</v>
      </c>
    </row>
    <row r="152" spans="2:13">
      <c r="B152" s="12">
        <v>13</v>
      </c>
      <c r="C152" s="10">
        <v>90</v>
      </c>
      <c r="D152" s="4">
        <f>'PDC répartie-Dimension gaine'!K145/'PDC répartie-Dimension gaine'!K146</f>
        <v>1.5</v>
      </c>
      <c r="E152" s="16">
        <f>'PDC répartie-Dimension gaine'!E145/'PDC répartie-Dimension gaine'!E141</f>
        <v>0.66666666666666663</v>
      </c>
      <c r="F152" s="10">
        <v>0</v>
      </c>
      <c r="G152" s="10">
        <v>0.3</v>
      </c>
      <c r="H152" s="4">
        <f>'PDC répartie-Dimension gaine'!L146</f>
        <v>1.3888888888888888</v>
      </c>
      <c r="I152" s="4">
        <f>'PDC répartie-Dimension gaine'!L145</f>
        <v>1.8518518518518519</v>
      </c>
      <c r="J152" s="10">
        <v>1.2</v>
      </c>
      <c r="K152" s="4">
        <f>J152*H152^2*F152/2</f>
        <v>0</v>
      </c>
      <c r="L152" s="4">
        <f>J152*I152^2*G152/2</f>
        <v>0.61728395061728392</v>
      </c>
      <c r="M152" s="4">
        <f>K152+L152</f>
        <v>0.61728395061728392</v>
      </c>
    </row>
  </sheetData>
  <mergeCells count="38">
    <mergeCell ref="B130:N130"/>
    <mergeCell ref="I133:J133"/>
    <mergeCell ref="I134:J134"/>
    <mergeCell ref="I135:J135"/>
    <mergeCell ref="I80:J82"/>
    <mergeCell ref="H88:K88"/>
    <mergeCell ref="N102:O106"/>
    <mergeCell ref="A121:B121"/>
    <mergeCell ref="I73:J73"/>
    <mergeCell ref="K73:N73"/>
    <mergeCell ref="I74:J74"/>
    <mergeCell ref="I75:J75"/>
    <mergeCell ref="I76:J76"/>
    <mergeCell ref="I69:J69"/>
    <mergeCell ref="I70:J70"/>
    <mergeCell ref="K70:N72"/>
    <mergeCell ref="I71:J71"/>
    <mergeCell ref="I72:J72"/>
    <mergeCell ref="B64:N64"/>
    <mergeCell ref="I67:J67"/>
    <mergeCell ref="I68:J68"/>
    <mergeCell ref="A52:B52"/>
    <mergeCell ref="H27:K27"/>
    <mergeCell ref="B3:N3"/>
    <mergeCell ref="I19:J21"/>
    <mergeCell ref="N33:O37"/>
    <mergeCell ref="K9:N11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K12:N12"/>
  </mergeCells>
  <phoneticPr fontId="11" type="noConversion"/>
  <hyperlinks>
    <hyperlink ref="K12" r:id="rId1" display="https://www.trox.be/clapets-coupe-feu/fka2-eu-886cff7efd0fd92a" xr:uid="{9AC406A9-43D3-4C30-9818-5D832C067731}"/>
    <hyperlink ref="K73" r:id="rId2" display="https://www.trox.be/clapets-coupe-feu/fka2-eu-886cff7efd0fd92a" xr:uid="{637DCB33-93E4-40CD-944A-924FD77A6D67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E55B-62A5-40C6-88C5-F07C42F7FFD1}">
  <dimension ref="A1:AW233"/>
  <sheetViews>
    <sheetView topLeftCell="A196" zoomScale="57" zoomScaleNormal="40" workbookViewId="0">
      <selection activeCell="G16" sqref="G16"/>
    </sheetView>
  </sheetViews>
  <sheetFormatPr baseColWidth="10" defaultColWidth="10.5703125" defaultRowHeight="15"/>
  <cols>
    <col min="5" max="5" width="15.5703125" customWidth="1"/>
    <col min="10" max="10" width="12.140625" customWidth="1"/>
  </cols>
  <sheetData>
    <row r="1" spans="1:25">
      <c r="A1" s="25" t="s">
        <v>250</v>
      </c>
      <c r="B1" s="211" t="s">
        <v>56</v>
      </c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5"/>
    </row>
    <row r="2" spans="1:25">
      <c r="L2" s="11"/>
    </row>
    <row r="3" spans="1:25">
      <c r="B3" s="116" t="s">
        <v>330</v>
      </c>
      <c r="G3" s="116" t="s">
        <v>334</v>
      </c>
      <c r="L3" s="116" t="s">
        <v>335</v>
      </c>
      <c r="Q3" s="116" t="s">
        <v>346</v>
      </c>
      <c r="V3" s="116" t="s">
        <v>336</v>
      </c>
    </row>
    <row r="4" spans="1:25" ht="60">
      <c r="B4" s="18" t="s">
        <v>251</v>
      </c>
      <c r="C4" s="26" t="s">
        <v>104</v>
      </c>
      <c r="D4" s="26" t="s">
        <v>252</v>
      </c>
      <c r="E4" s="26" t="s">
        <v>253</v>
      </c>
      <c r="G4" s="18" t="s">
        <v>251</v>
      </c>
      <c r="H4" s="26" t="s">
        <v>104</v>
      </c>
      <c r="I4" s="26" t="s">
        <v>252</v>
      </c>
      <c r="J4" s="26" t="s">
        <v>253</v>
      </c>
      <c r="L4" s="18" t="s">
        <v>251</v>
      </c>
      <c r="M4" s="26" t="s">
        <v>104</v>
      </c>
      <c r="N4" s="26" t="s">
        <v>252</v>
      </c>
      <c r="O4" s="26" t="s">
        <v>253</v>
      </c>
      <c r="Q4" s="18" t="s">
        <v>251</v>
      </c>
      <c r="R4" s="26" t="s">
        <v>104</v>
      </c>
      <c r="S4" s="26" t="s">
        <v>252</v>
      </c>
      <c r="T4" s="26" t="s">
        <v>253</v>
      </c>
      <c r="V4" s="18" t="s">
        <v>251</v>
      </c>
      <c r="W4" s="26" t="s">
        <v>104</v>
      </c>
      <c r="X4" s="26" t="s">
        <v>252</v>
      </c>
      <c r="Y4" s="26" t="s">
        <v>253</v>
      </c>
    </row>
    <row r="5" spans="1:25">
      <c r="B5" s="18" t="s">
        <v>331</v>
      </c>
      <c r="C5" s="19">
        <f>'PDC répartie-Dimension gaine'!J65</f>
        <v>0.31</v>
      </c>
      <c r="D5" s="10"/>
      <c r="E5" s="19">
        <f>'PDC singuliere-Clapet'!G30</f>
        <v>28.879999999999995</v>
      </c>
      <c r="G5" s="18" t="str">
        <f t="shared" ref="G5:J7" si="0">B5</f>
        <v>C''-B''</v>
      </c>
      <c r="H5" s="19">
        <f t="shared" si="0"/>
        <v>0.31</v>
      </c>
      <c r="I5" s="10">
        <f t="shared" si="0"/>
        <v>0</v>
      </c>
      <c r="J5" s="4">
        <f t="shared" si="0"/>
        <v>28.879999999999995</v>
      </c>
      <c r="L5" s="18" t="str">
        <f t="shared" ref="L5:O7" si="1">B5</f>
        <v>C''-B''</v>
      </c>
      <c r="M5" s="19">
        <f t="shared" si="1"/>
        <v>0.31</v>
      </c>
      <c r="N5" s="10">
        <f t="shared" si="1"/>
        <v>0</v>
      </c>
      <c r="O5" s="4">
        <f t="shared" si="1"/>
        <v>28.879999999999995</v>
      </c>
      <c r="Q5" s="18" t="str">
        <f t="shared" ref="Q5:T7" si="2">G5</f>
        <v>C''-B''</v>
      </c>
      <c r="R5" s="19">
        <f t="shared" si="2"/>
        <v>0.31</v>
      </c>
      <c r="S5" s="10">
        <f t="shared" si="2"/>
        <v>0</v>
      </c>
      <c r="T5" s="4">
        <f t="shared" si="2"/>
        <v>28.879999999999995</v>
      </c>
      <c r="V5" s="18" t="str">
        <f t="shared" ref="V5:Y7" si="3">B5</f>
        <v>C''-B''</v>
      </c>
      <c r="W5" s="19">
        <f t="shared" si="3"/>
        <v>0.31</v>
      </c>
      <c r="X5" s="10">
        <f t="shared" si="3"/>
        <v>0</v>
      </c>
      <c r="Y5" s="4">
        <f t="shared" si="3"/>
        <v>28.879999999999995</v>
      </c>
    </row>
    <row r="6" spans="1:25">
      <c r="B6" s="18" t="s">
        <v>332</v>
      </c>
      <c r="C6" s="19">
        <f>'PDC répartie-Dimension gaine'!J64</f>
        <v>1.8599999999999999</v>
      </c>
      <c r="D6" s="10">
        <f>'PDC singuliere-Clapet'!$H$15</f>
        <v>9</v>
      </c>
      <c r="E6" s="4">
        <f>'PDC singuliere-Clapet'!G29</f>
        <v>28.879999999999995</v>
      </c>
      <c r="G6" s="18" t="str">
        <f t="shared" si="0"/>
        <v>B''-A''</v>
      </c>
      <c r="H6" s="19">
        <f t="shared" si="0"/>
        <v>1.8599999999999999</v>
      </c>
      <c r="I6" s="10">
        <f t="shared" si="0"/>
        <v>9</v>
      </c>
      <c r="J6" s="4">
        <f t="shared" si="0"/>
        <v>28.879999999999995</v>
      </c>
      <c r="L6" s="18" t="str">
        <f t="shared" si="1"/>
        <v>B''-A''</v>
      </c>
      <c r="M6" s="19">
        <f t="shared" si="1"/>
        <v>1.8599999999999999</v>
      </c>
      <c r="N6" s="10">
        <f t="shared" si="1"/>
        <v>9</v>
      </c>
      <c r="O6" s="4">
        <f t="shared" si="1"/>
        <v>28.879999999999995</v>
      </c>
      <c r="Q6" s="18" t="str">
        <f t="shared" si="2"/>
        <v>B''-A''</v>
      </c>
      <c r="R6" s="19">
        <f t="shared" si="2"/>
        <v>1.8599999999999999</v>
      </c>
      <c r="S6" s="10">
        <f t="shared" si="2"/>
        <v>9</v>
      </c>
      <c r="T6" s="4">
        <f t="shared" si="2"/>
        <v>28.879999999999995</v>
      </c>
      <c r="V6" s="18" t="str">
        <f t="shared" si="3"/>
        <v>B''-A''</v>
      </c>
      <c r="W6" s="19">
        <f t="shared" si="3"/>
        <v>1.8599999999999999</v>
      </c>
      <c r="X6" s="10">
        <f t="shared" si="3"/>
        <v>9</v>
      </c>
      <c r="Y6" s="4">
        <f t="shared" si="3"/>
        <v>28.879999999999995</v>
      </c>
    </row>
    <row r="7" spans="1:25">
      <c r="B7" s="18" t="s">
        <v>333</v>
      </c>
      <c r="C7" s="19">
        <f>'PDC répartie-Dimension gaine'!J63</f>
        <v>4.6748000000000003</v>
      </c>
      <c r="D7" s="10"/>
      <c r="E7" s="4">
        <f>'PDC singuliere-Clapet'!M55</f>
        <v>24.909979423868311</v>
      </c>
      <c r="G7" s="18" t="str">
        <f t="shared" si="0"/>
        <v>A"-A</v>
      </c>
      <c r="H7" s="19">
        <f t="shared" si="0"/>
        <v>4.6748000000000003</v>
      </c>
      <c r="I7" s="10">
        <f t="shared" si="0"/>
        <v>0</v>
      </c>
      <c r="J7" s="4">
        <f t="shared" si="0"/>
        <v>24.909979423868311</v>
      </c>
      <c r="L7" s="18" t="str">
        <f t="shared" si="1"/>
        <v>A"-A</v>
      </c>
      <c r="M7" s="19">
        <f t="shared" si="1"/>
        <v>4.6748000000000003</v>
      </c>
      <c r="N7" s="10">
        <f t="shared" si="1"/>
        <v>0</v>
      </c>
      <c r="O7" s="10">
        <f t="shared" si="1"/>
        <v>24.909979423868311</v>
      </c>
      <c r="Q7" s="18" t="str">
        <f t="shared" si="2"/>
        <v>A"-A</v>
      </c>
      <c r="R7" s="19">
        <f t="shared" si="2"/>
        <v>4.6748000000000003</v>
      </c>
      <c r="S7" s="10">
        <f t="shared" si="2"/>
        <v>0</v>
      </c>
      <c r="T7" s="10">
        <f t="shared" si="2"/>
        <v>24.909979423868311</v>
      </c>
      <c r="V7" s="18" t="str">
        <f t="shared" si="3"/>
        <v>A"-A</v>
      </c>
      <c r="W7" s="19">
        <f t="shared" si="3"/>
        <v>4.6748000000000003</v>
      </c>
      <c r="X7" s="10">
        <f t="shared" si="3"/>
        <v>0</v>
      </c>
      <c r="Y7" s="4">
        <f t="shared" si="3"/>
        <v>24.909979423868311</v>
      </c>
    </row>
    <row r="8" spans="1:25">
      <c r="B8" s="18" t="s">
        <v>172</v>
      </c>
      <c r="C8" s="19">
        <f>'PDC répartie-Dimension gaine'!$J$62</f>
        <v>0.67159999999999997</v>
      </c>
      <c r="D8" s="10"/>
      <c r="E8" s="4">
        <f>'PDC singuliere-Clapet'!$M$33</f>
        <v>7.0900220267650473</v>
      </c>
      <c r="G8" s="18" t="s">
        <v>172</v>
      </c>
      <c r="H8" s="19">
        <f>'PDC répartie-Dimension gaine'!$J$62</f>
        <v>0.67159999999999997</v>
      </c>
      <c r="I8" s="10"/>
      <c r="J8" s="4">
        <f>'PDC singuliere-Clapet'!$M$33</f>
        <v>7.0900220267650473</v>
      </c>
      <c r="L8" s="18" t="s">
        <v>172</v>
      </c>
      <c r="M8" s="19">
        <f>'PDC répartie-Dimension gaine'!$J$62</f>
        <v>0.67159999999999997</v>
      </c>
      <c r="N8" s="10"/>
      <c r="O8" s="4">
        <f>'PDC singuliere-Clapet'!$M$33</f>
        <v>7.0900220267650473</v>
      </c>
      <c r="Q8" s="18" t="s">
        <v>172</v>
      </c>
      <c r="R8" s="19">
        <f>'PDC répartie-Dimension gaine'!$J$62</f>
        <v>0.67159999999999997</v>
      </c>
      <c r="S8" s="10"/>
      <c r="T8" s="4">
        <f>'PDC singuliere-Clapet'!$M$33</f>
        <v>7.0900220267650473</v>
      </c>
      <c r="V8" s="18" t="s">
        <v>172</v>
      </c>
      <c r="W8" s="19">
        <f>'PDC répartie-Dimension gaine'!$J$62</f>
        <v>0.67159999999999997</v>
      </c>
      <c r="X8" s="10"/>
      <c r="Y8" s="4">
        <f>'PDC singuliere-Clapet'!$M$33</f>
        <v>7.0900220267650473</v>
      </c>
    </row>
    <row r="9" spans="1:25">
      <c r="B9" s="18" t="s">
        <v>133</v>
      </c>
      <c r="C9" s="19">
        <f>'PDC répartie-Dimension gaine'!J29</f>
        <v>0.63000000000000012</v>
      </c>
      <c r="D9" s="10">
        <f>'PDC singuliere-Clapet'!$H$12</f>
        <v>4</v>
      </c>
      <c r="E9" s="4">
        <f>'PDC singuliere-Clapet'!$G$22</f>
        <v>11.34566460503472</v>
      </c>
      <c r="G9" s="18" t="s">
        <v>133</v>
      </c>
      <c r="H9" s="19">
        <f>'PDC répartie-Dimension gaine'!J29</f>
        <v>0.63000000000000012</v>
      </c>
      <c r="I9" s="10">
        <f>'PDC singuliere-Clapet'!$H$12</f>
        <v>4</v>
      </c>
      <c r="J9" s="4">
        <f>'PDC singuliere-Clapet'!$G$22</f>
        <v>11.34566460503472</v>
      </c>
      <c r="L9" s="18" t="s">
        <v>133</v>
      </c>
      <c r="M9" s="19">
        <f>'PDC répartie-Dimension gaine'!J29</f>
        <v>0.63000000000000012</v>
      </c>
      <c r="N9" s="10">
        <f>'PDC singuliere-Clapet'!$H$12</f>
        <v>4</v>
      </c>
      <c r="O9" s="4">
        <f>'PDC singuliere-Clapet'!$G$22</f>
        <v>11.34566460503472</v>
      </c>
      <c r="Q9" s="18" t="s">
        <v>133</v>
      </c>
      <c r="R9" s="19">
        <f>'PDC répartie-Dimension gaine'!J29</f>
        <v>0.63000000000000012</v>
      </c>
      <c r="S9" s="10">
        <f>'PDC singuliere-Clapet'!$H$12</f>
        <v>4</v>
      </c>
      <c r="T9" s="4">
        <f>'PDC singuliere-Clapet'!$G$22</f>
        <v>11.34566460503472</v>
      </c>
      <c r="V9" s="18" t="s">
        <v>132</v>
      </c>
      <c r="W9" s="19">
        <f>'PDC répartie-Dimension gaine'!J28</f>
        <v>0.65100000000000013</v>
      </c>
      <c r="X9" s="10">
        <f>'PDC singuliere-Clapet'!$H$11</f>
        <v>2</v>
      </c>
      <c r="Y9" s="4">
        <f>'PDC singuliere-Clapet'!$G$21</f>
        <v>8.1675347222222214</v>
      </c>
    </row>
    <row r="10" spans="1:25">
      <c r="B10" s="18" t="s">
        <v>135</v>
      </c>
      <c r="C10" s="19">
        <f>'PDC répartie-Dimension gaine'!J30</f>
        <v>0.42000000000000004</v>
      </c>
      <c r="D10" s="10"/>
      <c r="E10" s="4">
        <f>'PDC singuliere-Clapet'!$M$34</f>
        <v>3.5011574074074083</v>
      </c>
      <c r="G10" s="18" t="s">
        <v>135</v>
      </c>
      <c r="H10" s="19">
        <f>'PDC répartie-Dimension gaine'!J30</f>
        <v>0.42000000000000004</v>
      </c>
      <c r="I10" s="10"/>
      <c r="J10" s="4">
        <f>'PDC singuliere-Clapet'!$M$34</f>
        <v>3.5011574074074083</v>
      </c>
      <c r="L10" s="18" t="s">
        <v>135</v>
      </c>
      <c r="M10" s="19">
        <f>'PDC répartie-Dimension gaine'!J30</f>
        <v>0.42000000000000004</v>
      </c>
      <c r="N10" s="10"/>
      <c r="O10" s="4">
        <f>'PDC singuliere-Clapet'!$M$34</f>
        <v>3.5011574074074083</v>
      </c>
      <c r="Q10" s="18" t="s">
        <v>135</v>
      </c>
      <c r="R10" s="19">
        <f>'PDC répartie-Dimension gaine'!J30</f>
        <v>0.42000000000000004</v>
      </c>
      <c r="S10" s="10"/>
      <c r="T10" s="4">
        <f>'PDC singuliere-Clapet'!$M$34</f>
        <v>3.5011574074074083</v>
      </c>
      <c r="V10" s="18" t="s">
        <v>229</v>
      </c>
      <c r="W10" s="19">
        <f>'PDC répartie-Dimension gaine'!J27</f>
        <v>0.21000000000000002</v>
      </c>
      <c r="X10" s="10"/>
      <c r="Y10" s="4">
        <f>'PDC singuliere-Clapet'!$M$37</f>
        <v>1.9150511188271606</v>
      </c>
    </row>
    <row r="11" spans="1:25">
      <c r="B11" s="18" t="s">
        <v>137</v>
      </c>
      <c r="C11" s="19">
        <f>'PDC répartie-Dimension gaine'!J32</f>
        <v>0.44999999999999996</v>
      </c>
      <c r="D11" s="10"/>
      <c r="E11" s="4">
        <f>'PDC singuliere-Clapet'!$M$35</f>
        <v>1.9262744743441358</v>
      </c>
      <c r="G11" s="18" t="s">
        <v>137</v>
      </c>
      <c r="H11" s="19">
        <f>'PDC répartie-Dimension gaine'!J32</f>
        <v>0.44999999999999996</v>
      </c>
      <c r="I11" s="10"/>
      <c r="J11" s="4">
        <f>'PDC singuliere-Clapet'!$M$35</f>
        <v>1.9262744743441358</v>
      </c>
      <c r="L11" s="18" t="s">
        <v>137</v>
      </c>
      <c r="M11" s="19">
        <f>'PDC répartie-Dimension gaine'!J32</f>
        <v>0.44999999999999996</v>
      </c>
      <c r="N11" s="10"/>
      <c r="O11" s="4">
        <f>'PDC singuliere-Clapet'!$M$35</f>
        <v>1.9262744743441358</v>
      </c>
      <c r="Q11" s="18" t="s">
        <v>345</v>
      </c>
      <c r="R11" s="19">
        <f>'PDC répartie-Dimension gaine'!J31</f>
        <v>0.16875000000000001</v>
      </c>
      <c r="S11" s="10">
        <f>'Bouche GP-GE '!I17/2</f>
        <v>14.5</v>
      </c>
      <c r="T11" s="4"/>
      <c r="V11" s="18" t="s">
        <v>116</v>
      </c>
      <c r="W11" s="19">
        <f>'PDC répartie-Dimension gaine'!J18</f>
        <v>1.9524999999999999</v>
      </c>
      <c r="X11" s="4">
        <f>'Bouche GP-GE '!H14</f>
        <v>20</v>
      </c>
      <c r="Y11" s="4"/>
    </row>
    <row r="12" spans="1:25" ht="16.5">
      <c r="B12" s="18" t="s">
        <v>138</v>
      </c>
      <c r="C12" s="19">
        <f>'PDC répartie-Dimension gaine'!J33</f>
        <v>0.32400000000000001</v>
      </c>
      <c r="D12" s="10"/>
      <c r="E12" s="19">
        <f>'PDC singuliere-Clapet'!$M$36</f>
        <v>1.3353407921810705</v>
      </c>
      <c r="G12" s="18" t="s">
        <v>138</v>
      </c>
      <c r="H12" s="19">
        <f>'PDC répartie-Dimension gaine'!J33</f>
        <v>0.32400000000000001</v>
      </c>
      <c r="I12" s="10"/>
      <c r="J12" s="19">
        <f>'PDC singuliere-Clapet'!$M$36</f>
        <v>1.3353407921810705</v>
      </c>
      <c r="L12" s="18" t="s">
        <v>118</v>
      </c>
      <c r="M12" s="19">
        <f>'PDC répartie-Dimension gaine'!J19</f>
        <v>1.9524999999999999</v>
      </c>
      <c r="N12" s="4">
        <f>'Bouche GP-GE '!H15</f>
        <v>20</v>
      </c>
      <c r="O12" s="4"/>
      <c r="Q12" s="216" t="s">
        <v>254</v>
      </c>
      <c r="R12" s="217"/>
      <c r="S12" s="218"/>
      <c r="T12" s="118">
        <f>MROUND(SUM(R5:T11),5)</f>
        <v>140</v>
      </c>
      <c r="V12" s="216" t="s">
        <v>254</v>
      </c>
      <c r="W12" s="217"/>
      <c r="X12" s="218"/>
      <c r="Y12" s="118">
        <f>MROUND(SUM(W5:Y11),5)</f>
        <v>140</v>
      </c>
    </row>
    <row r="13" spans="1:25" ht="16.5">
      <c r="B13" s="18" t="s">
        <v>139</v>
      </c>
      <c r="C13" s="19">
        <f>'PDC répartie-Dimension gaine'!J34</f>
        <v>0.53625</v>
      </c>
      <c r="D13" s="10"/>
      <c r="E13" s="4"/>
      <c r="G13" s="18" t="s">
        <v>140</v>
      </c>
      <c r="H13" s="19">
        <f>'PDC répartie-Dimension gaine'!J35</f>
        <v>0.37625000000000003</v>
      </c>
      <c r="I13" s="4">
        <f>'PDC singuliere-Clapet'!$H$8+'Bouche GP-GE '!H18</f>
        <v>6</v>
      </c>
      <c r="J13" s="4"/>
      <c r="L13" s="216" t="s">
        <v>254</v>
      </c>
      <c r="M13" s="217"/>
      <c r="N13" s="218"/>
      <c r="O13" s="118">
        <f>MROUND(SUM(M5:O12),5)</f>
        <v>150</v>
      </c>
    </row>
    <row r="14" spans="1:25" ht="16.5">
      <c r="B14" s="18" t="s">
        <v>120</v>
      </c>
      <c r="C14" s="19">
        <f>'PDC répartie-Dimension gaine'!J21</f>
        <v>0.7056</v>
      </c>
      <c r="D14" s="10"/>
      <c r="E14" s="4">
        <f>'PDC singuliere-Clapet'!$G$23</f>
        <v>8.51844146942633</v>
      </c>
      <c r="G14" s="216" t="s">
        <v>254</v>
      </c>
      <c r="H14" s="217"/>
      <c r="I14" s="218"/>
      <c r="J14" s="118">
        <f>MROUND(SUM(H5:J13),5)</f>
        <v>135</v>
      </c>
      <c r="L14" s="11"/>
    </row>
    <row r="15" spans="1:25">
      <c r="B15" s="46" t="s">
        <v>119</v>
      </c>
      <c r="C15" s="19">
        <f>'PDC répartie-Dimension gaine'!J20</f>
        <v>1.6739999999999999</v>
      </c>
      <c r="D15" s="4">
        <f>'Bouche GP-GE '!H16</f>
        <v>16</v>
      </c>
      <c r="E15" s="10"/>
      <c r="G15" s="30"/>
      <c r="L15" s="11"/>
    </row>
    <row r="16" spans="1:25" ht="16.5">
      <c r="B16" s="216" t="s">
        <v>254</v>
      </c>
      <c r="C16" s="217"/>
      <c r="D16" s="218"/>
      <c r="E16" s="118">
        <f>MROUND(SUM(C5:E15),5)</f>
        <v>160</v>
      </c>
      <c r="G16" s="30"/>
      <c r="L16" s="11"/>
    </row>
    <row r="18" spans="2:25">
      <c r="B18" s="116" t="s">
        <v>347</v>
      </c>
      <c r="G18" s="116" t="s">
        <v>337</v>
      </c>
      <c r="L18" s="116" t="s">
        <v>338</v>
      </c>
      <c r="Q18" s="116" t="s">
        <v>339</v>
      </c>
      <c r="V18" s="116" t="s">
        <v>340</v>
      </c>
    </row>
    <row r="19" spans="2:25" ht="60">
      <c r="B19" s="18" t="s">
        <v>251</v>
      </c>
      <c r="C19" s="26" t="s">
        <v>104</v>
      </c>
      <c r="D19" s="26" t="s">
        <v>252</v>
      </c>
      <c r="E19" s="26" t="s">
        <v>253</v>
      </c>
      <c r="G19" s="18" t="s">
        <v>251</v>
      </c>
      <c r="H19" s="26" t="s">
        <v>104</v>
      </c>
      <c r="I19" s="26" t="s">
        <v>252</v>
      </c>
      <c r="J19" s="26" t="s">
        <v>253</v>
      </c>
      <c r="L19" s="18" t="s">
        <v>251</v>
      </c>
      <c r="M19" s="26" t="s">
        <v>104</v>
      </c>
      <c r="N19" s="26" t="s">
        <v>252</v>
      </c>
      <c r="O19" s="26" t="s">
        <v>253</v>
      </c>
      <c r="Q19" s="18" t="s">
        <v>251</v>
      </c>
      <c r="R19" s="26" t="s">
        <v>104</v>
      </c>
      <c r="S19" s="26" t="s">
        <v>252</v>
      </c>
      <c r="T19" s="26" t="s">
        <v>253</v>
      </c>
      <c r="V19" s="18" t="s">
        <v>251</v>
      </c>
      <c r="W19" s="26" t="s">
        <v>104</v>
      </c>
      <c r="X19" s="26" t="s">
        <v>252</v>
      </c>
      <c r="Y19" s="26" t="s">
        <v>253</v>
      </c>
    </row>
    <row r="20" spans="2:25">
      <c r="B20" s="18" t="str">
        <f t="shared" ref="B20:E22" si="4">B5</f>
        <v>C''-B''</v>
      </c>
      <c r="C20" s="19">
        <f t="shared" si="4"/>
        <v>0.31</v>
      </c>
      <c r="D20" s="10">
        <f t="shared" si="4"/>
        <v>0</v>
      </c>
      <c r="E20" s="19">
        <f t="shared" si="4"/>
        <v>28.879999999999995</v>
      </c>
      <c r="G20" s="18" t="str">
        <f t="shared" ref="G20:J22" si="5">B5</f>
        <v>C''-B''</v>
      </c>
      <c r="H20" s="19">
        <f t="shared" si="5"/>
        <v>0.31</v>
      </c>
      <c r="I20" s="10">
        <f t="shared" si="5"/>
        <v>0</v>
      </c>
      <c r="J20" s="19">
        <f t="shared" si="5"/>
        <v>28.879999999999995</v>
      </c>
      <c r="L20" s="18" t="str">
        <f t="shared" ref="L20:O22" si="6">G5</f>
        <v>C''-B''</v>
      </c>
      <c r="M20" s="19">
        <f t="shared" si="6"/>
        <v>0.31</v>
      </c>
      <c r="N20" s="10">
        <f t="shared" si="6"/>
        <v>0</v>
      </c>
      <c r="O20" s="19">
        <f t="shared" si="6"/>
        <v>28.879999999999995</v>
      </c>
      <c r="Q20" s="18" t="str">
        <f t="shared" ref="Q20:T22" si="7">B5</f>
        <v>C''-B''</v>
      </c>
      <c r="R20" s="19">
        <f t="shared" si="7"/>
        <v>0.31</v>
      </c>
      <c r="S20" s="10">
        <f t="shared" si="7"/>
        <v>0</v>
      </c>
      <c r="T20" s="19">
        <f t="shared" si="7"/>
        <v>28.879999999999995</v>
      </c>
      <c r="V20" s="18" t="str">
        <f t="shared" ref="V20:Y22" si="8">B5</f>
        <v>C''-B''</v>
      </c>
      <c r="W20" s="19">
        <f t="shared" si="8"/>
        <v>0.31</v>
      </c>
      <c r="X20" s="10">
        <f t="shared" si="8"/>
        <v>0</v>
      </c>
      <c r="Y20" s="19">
        <f>E5</f>
        <v>28.879999999999995</v>
      </c>
    </row>
    <row r="21" spans="2:25">
      <c r="B21" s="18" t="str">
        <f t="shared" si="4"/>
        <v>B''-A''</v>
      </c>
      <c r="C21" s="19">
        <f t="shared" si="4"/>
        <v>1.8599999999999999</v>
      </c>
      <c r="D21" s="10">
        <f t="shared" si="4"/>
        <v>9</v>
      </c>
      <c r="E21" s="4">
        <f t="shared" si="4"/>
        <v>28.879999999999995</v>
      </c>
      <c r="G21" s="18" t="str">
        <f t="shared" si="5"/>
        <v>B''-A''</v>
      </c>
      <c r="H21" s="19">
        <f t="shared" si="5"/>
        <v>1.8599999999999999</v>
      </c>
      <c r="I21" s="10">
        <f t="shared" si="5"/>
        <v>9</v>
      </c>
      <c r="J21" s="4">
        <f t="shared" si="5"/>
        <v>28.879999999999995</v>
      </c>
      <c r="L21" s="18" t="str">
        <f t="shared" si="6"/>
        <v>B''-A''</v>
      </c>
      <c r="M21" s="19">
        <f t="shared" si="6"/>
        <v>1.8599999999999999</v>
      </c>
      <c r="N21" s="10">
        <f t="shared" si="6"/>
        <v>9</v>
      </c>
      <c r="O21" s="4">
        <f t="shared" si="6"/>
        <v>28.879999999999995</v>
      </c>
      <c r="Q21" s="18" t="str">
        <f t="shared" si="7"/>
        <v>B''-A''</v>
      </c>
      <c r="R21" s="19">
        <f t="shared" si="7"/>
        <v>1.8599999999999999</v>
      </c>
      <c r="S21" s="10">
        <f t="shared" si="7"/>
        <v>9</v>
      </c>
      <c r="T21" s="4">
        <f t="shared" si="7"/>
        <v>28.879999999999995</v>
      </c>
      <c r="V21" s="18" t="str">
        <f t="shared" si="8"/>
        <v>B''-A''</v>
      </c>
      <c r="W21" s="19">
        <f t="shared" si="8"/>
        <v>1.8599999999999999</v>
      </c>
      <c r="X21" s="10">
        <f t="shared" si="8"/>
        <v>9</v>
      </c>
      <c r="Y21" s="4">
        <f t="shared" si="8"/>
        <v>28.879999999999995</v>
      </c>
    </row>
    <row r="22" spans="2:25">
      <c r="B22" s="18" t="str">
        <f t="shared" si="4"/>
        <v>A"-A</v>
      </c>
      <c r="C22" s="19">
        <f t="shared" si="4"/>
        <v>4.6748000000000003</v>
      </c>
      <c r="D22" s="10">
        <f t="shared" si="4"/>
        <v>0</v>
      </c>
      <c r="E22" s="4">
        <f t="shared" si="4"/>
        <v>24.909979423868311</v>
      </c>
      <c r="G22" s="18" t="str">
        <f t="shared" si="5"/>
        <v>A"-A</v>
      </c>
      <c r="H22" s="19">
        <f t="shared" si="5"/>
        <v>4.6748000000000003</v>
      </c>
      <c r="I22" s="10">
        <f t="shared" si="5"/>
        <v>0</v>
      </c>
      <c r="J22" s="4">
        <f t="shared" si="5"/>
        <v>24.909979423868311</v>
      </c>
      <c r="L22" s="18" t="str">
        <f t="shared" si="6"/>
        <v>A"-A</v>
      </c>
      <c r="M22" s="19">
        <f t="shared" si="6"/>
        <v>4.6748000000000003</v>
      </c>
      <c r="N22" s="10">
        <f t="shared" si="6"/>
        <v>0</v>
      </c>
      <c r="O22" s="4">
        <f t="shared" si="6"/>
        <v>24.909979423868311</v>
      </c>
      <c r="Q22" s="18" t="str">
        <f t="shared" si="7"/>
        <v>A"-A</v>
      </c>
      <c r="R22" s="19">
        <f t="shared" si="7"/>
        <v>4.6748000000000003</v>
      </c>
      <c r="S22" s="10">
        <f t="shared" si="7"/>
        <v>0</v>
      </c>
      <c r="T22" s="4">
        <f t="shared" si="7"/>
        <v>24.909979423868311</v>
      </c>
      <c r="V22" s="18" t="str">
        <f t="shared" si="8"/>
        <v>A"-A</v>
      </c>
      <c r="W22" s="19">
        <f t="shared" si="8"/>
        <v>4.6748000000000003</v>
      </c>
      <c r="X22" s="10">
        <f t="shared" si="8"/>
        <v>0</v>
      </c>
      <c r="Y22" s="4">
        <f t="shared" si="8"/>
        <v>24.909979423868311</v>
      </c>
    </row>
    <row r="23" spans="2:25">
      <c r="B23" s="18" t="s">
        <v>172</v>
      </c>
      <c r="C23" s="19">
        <f>'PDC répartie-Dimension gaine'!$J$62</f>
        <v>0.67159999999999997</v>
      </c>
      <c r="D23" s="10"/>
      <c r="E23" s="4">
        <f>'PDC singuliere-Clapet'!$M$33</f>
        <v>7.0900220267650473</v>
      </c>
      <c r="G23" s="18" t="s">
        <v>172</v>
      </c>
      <c r="H23" s="19">
        <f>'PDC répartie-Dimension gaine'!$J$62</f>
        <v>0.67159999999999997</v>
      </c>
      <c r="I23" s="10"/>
      <c r="J23" s="4">
        <f>'PDC singuliere-Clapet'!$M$33</f>
        <v>7.0900220267650473</v>
      </c>
      <c r="L23" s="18" t="s">
        <v>172</v>
      </c>
      <c r="M23" s="19">
        <f>'PDC répartie-Dimension gaine'!$J$62</f>
        <v>0.67159999999999997</v>
      </c>
      <c r="N23" s="10"/>
      <c r="O23" s="4">
        <f>'PDC singuliere-Clapet'!$M$33</f>
        <v>7.0900220267650473</v>
      </c>
      <c r="Q23" s="18" t="s">
        <v>172</v>
      </c>
      <c r="R23" s="19">
        <f>'PDC répartie-Dimension gaine'!$J$62</f>
        <v>0.67159999999999997</v>
      </c>
      <c r="S23" s="10"/>
      <c r="T23" s="4">
        <f>'PDC singuliere-Clapet'!$M$33</f>
        <v>7.0900220267650473</v>
      </c>
      <c r="V23" s="18" t="s">
        <v>172</v>
      </c>
      <c r="W23" s="19">
        <f>'PDC répartie-Dimension gaine'!$J$62</f>
        <v>0.67159999999999997</v>
      </c>
      <c r="X23" s="10"/>
      <c r="Y23" s="4">
        <f>'PDC singuliere-Clapet'!$M$33</f>
        <v>7.0900220267650473</v>
      </c>
    </row>
    <row r="24" spans="2:25">
      <c r="B24" s="18" t="s">
        <v>132</v>
      </c>
      <c r="C24" s="19">
        <f>'PDC répartie-Dimension gaine'!J28</f>
        <v>0.65100000000000013</v>
      </c>
      <c r="D24" s="10">
        <f>X9</f>
        <v>2</v>
      </c>
      <c r="E24" s="4">
        <f>Y9</f>
        <v>8.1675347222222214</v>
      </c>
      <c r="G24" s="18" t="s">
        <v>132</v>
      </c>
      <c r="H24" s="19">
        <f>'PDC répartie-Dimension gaine'!J28</f>
        <v>0.65100000000000013</v>
      </c>
      <c r="I24" s="10">
        <f>X9</f>
        <v>2</v>
      </c>
      <c r="J24" s="4">
        <f>Y9</f>
        <v>8.1675347222222214</v>
      </c>
      <c r="L24" s="18" t="s">
        <v>132</v>
      </c>
      <c r="M24" s="19">
        <f>'PDC répartie-Dimension gaine'!J28</f>
        <v>0.65100000000000013</v>
      </c>
      <c r="N24" s="10">
        <f>X9</f>
        <v>2</v>
      </c>
      <c r="O24" s="4">
        <f>Y9</f>
        <v>8.1675347222222214</v>
      </c>
      <c r="Q24" s="18" t="s">
        <v>132</v>
      </c>
      <c r="R24" s="19">
        <f>'PDC répartie-Dimension gaine'!J28</f>
        <v>0.65100000000000013</v>
      </c>
      <c r="S24" s="10">
        <f>X9</f>
        <v>2</v>
      </c>
      <c r="T24" s="4">
        <f>Y9</f>
        <v>8.1675347222222214</v>
      </c>
      <c r="V24" s="18" t="s">
        <v>132</v>
      </c>
      <c r="W24" s="19">
        <f>'PDC répartie-Dimension gaine'!J28</f>
        <v>0.65100000000000013</v>
      </c>
      <c r="X24" s="10">
        <f>X9</f>
        <v>2</v>
      </c>
      <c r="Y24" s="4">
        <f>Y9</f>
        <v>8.1675347222222214</v>
      </c>
    </row>
    <row r="25" spans="2:25">
      <c r="B25" s="18" t="s">
        <v>229</v>
      </c>
      <c r="C25" s="19">
        <f>'PDC répartie-Dimension gaine'!J27</f>
        <v>0.21000000000000002</v>
      </c>
      <c r="D25" s="10"/>
      <c r="E25" s="4">
        <f>Y10</f>
        <v>1.9150511188271606</v>
      </c>
      <c r="G25" s="18" t="s">
        <v>229</v>
      </c>
      <c r="H25" s="19">
        <f>'PDC répartie-Dimension gaine'!J27</f>
        <v>0.21000000000000002</v>
      </c>
      <c r="I25" s="10"/>
      <c r="J25" s="4">
        <f>Y10</f>
        <v>1.9150511188271606</v>
      </c>
      <c r="L25" s="18" t="s">
        <v>229</v>
      </c>
      <c r="M25" s="19">
        <f>'PDC répartie-Dimension gaine'!J27</f>
        <v>0.21000000000000002</v>
      </c>
      <c r="N25" s="10"/>
      <c r="O25" s="4">
        <f>Y10</f>
        <v>1.9150511188271606</v>
      </c>
      <c r="Q25" s="18" t="s">
        <v>229</v>
      </c>
      <c r="R25" s="19">
        <f>'PDC répartie-Dimension gaine'!J27</f>
        <v>0.21000000000000002</v>
      </c>
      <c r="S25" s="10"/>
      <c r="T25" s="4">
        <f>Y10</f>
        <v>1.9150511188271606</v>
      </c>
      <c r="V25" s="18" t="s">
        <v>229</v>
      </c>
      <c r="W25" s="19">
        <f>'PDC répartie-Dimension gaine'!J27</f>
        <v>0.21000000000000002</v>
      </c>
      <c r="X25" s="10"/>
      <c r="Y25" s="4">
        <f>Y10</f>
        <v>1.9150511188271606</v>
      </c>
    </row>
    <row r="26" spans="2:25">
      <c r="B26" s="18" t="s">
        <v>341</v>
      </c>
      <c r="C26" s="19">
        <f>'PDC répartie-Dimension gaine'!J26</f>
        <v>1.9599999999999997</v>
      </c>
      <c r="D26" s="10"/>
      <c r="E26" s="4">
        <f>'PDC singuliere-Clapet'!$M$38</f>
        <v>4.5003611874678509</v>
      </c>
      <c r="G26" s="18" t="s">
        <v>341</v>
      </c>
      <c r="H26" s="19">
        <f>'PDC répartie-Dimension gaine'!J26</f>
        <v>1.9599999999999997</v>
      </c>
      <c r="I26" s="10"/>
      <c r="J26" s="4">
        <f>E26</f>
        <v>4.5003611874678509</v>
      </c>
      <c r="L26" s="18" t="s">
        <v>341</v>
      </c>
      <c r="M26" s="19">
        <f>'PDC répartie-Dimension gaine'!J26</f>
        <v>1.9599999999999997</v>
      </c>
      <c r="N26" s="10"/>
      <c r="O26" s="4">
        <f>E26</f>
        <v>4.5003611874678509</v>
      </c>
      <c r="Q26" s="18" t="s">
        <v>341</v>
      </c>
      <c r="R26" s="19">
        <f>'PDC répartie-Dimension gaine'!J26</f>
        <v>1.9599999999999997</v>
      </c>
      <c r="S26" s="10"/>
      <c r="T26" s="4">
        <f>E26</f>
        <v>4.5003611874678509</v>
      </c>
      <c r="V26" s="18" t="s">
        <v>341</v>
      </c>
      <c r="W26" s="19">
        <f>'PDC répartie-Dimension gaine'!J26</f>
        <v>1.9599999999999997</v>
      </c>
      <c r="X26" s="10"/>
      <c r="Y26" s="4">
        <f>E26</f>
        <v>4.5003611874678509</v>
      </c>
    </row>
    <row r="27" spans="2:25">
      <c r="B27" s="18" t="s">
        <v>125</v>
      </c>
      <c r="C27" s="19">
        <f>'PDC répartie-Dimension gaine'!J24</f>
        <v>0.16875000000000001</v>
      </c>
      <c r="D27" s="10">
        <f>'Bouche GP-GE '!I17/2</f>
        <v>14.5</v>
      </c>
      <c r="E27" s="10"/>
      <c r="G27" s="18" t="s">
        <v>123</v>
      </c>
      <c r="H27" s="19">
        <f>'PDC répartie-Dimension gaine'!J23</f>
        <v>0.57750000000000001</v>
      </c>
      <c r="I27" s="10"/>
      <c r="J27" s="19">
        <f>'PDC singuliere-Clapet'!$M$39</f>
        <v>1.3233346193415634</v>
      </c>
      <c r="L27" s="18" t="s">
        <v>123</v>
      </c>
      <c r="M27" s="19">
        <f>'PDC répartie-Dimension gaine'!J23</f>
        <v>0.57750000000000001</v>
      </c>
      <c r="N27" s="10"/>
      <c r="O27" s="19">
        <f>'PDC total-Equilibrage'!J27</f>
        <v>1.3233346193415634</v>
      </c>
      <c r="Q27" s="18" t="s">
        <v>123</v>
      </c>
      <c r="R27" s="19">
        <f>'PDC répartie-Dimension gaine'!J23</f>
        <v>0.57750000000000001</v>
      </c>
      <c r="S27" s="10"/>
      <c r="T27" s="19">
        <f>J27</f>
        <v>1.3233346193415634</v>
      </c>
      <c r="V27" s="18" t="s">
        <v>123</v>
      </c>
      <c r="W27" s="19">
        <f>'PDC répartie-Dimension gaine'!J23</f>
        <v>0.57750000000000001</v>
      </c>
      <c r="X27" s="10"/>
      <c r="Y27" s="19">
        <f>J27</f>
        <v>1.3233346193415634</v>
      </c>
    </row>
    <row r="28" spans="2:25" ht="16.5">
      <c r="B28" s="216" t="s">
        <v>254</v>
      </c>
      <c r="C28" s="217"/>
      <c r="D28" s="218"/>
      <c r="E28" s="118">
        <f>MROUND(SUM(C20:E27),5)</f>
        <v>140</v>
      </c>
      <c r="G28" s="18" t="s">
        <v>114</v>
      </c>
      <c r="H28" s="19">
        <f>'PDC répartie-Dimension gaine'!J17</f>
        <v>1.9524999999999999</v>
      </c>
      <c r="I28" s="4">
        <f>'Bouche GP-GE '!H13</f>
        <v>19</v>
      </c>
      <c r="J28" s="10"/>
      <c r="L28" s="18" t="s">
        <v>342</v>
      </c>
      <c r="M28" s="19">
        <f>'PDC répartie-Dimension gaine'!J25</f>
        <v>0.6875</v>
      </c>
      <c r="N28" s="10"/>
      <c r="O28" s="4">
        <f>'PDC singuliere-Clapet'!$M$40</f>
        <v>5.8500486111111112</v>
      </c>
      <c r="Q28" s="18" t="s">
        <v>342</v>
      </c>
      <c r="R28" s="19">
        <f>'PDC répartie-Dimension gaine'!J25</f>
        <v>0.6875</v>
      </c>
      <c r="S28" s="10"/>
      <c r="T28" s="4">
        <f>O28</f>
        <v>5.8500486111111112</v>
      </c>
      <c r="V28" s="18" t="s">
        <v>342</v>
      </c>
      <c r="W28" s="19">
        <f>'PDC répartie-Dimension gaine'!J25</f>
        <v>0.6875</v>
      </c>
      <c r="X28" s="10"/>
      <c r="Y28" s="4">
        <f>O28</f>
        <v>5.8500486111111112</v>
      </c>
    </row>
    <row r="29" spans="2:25" ht="16.5">
      <c r="G29" s="216" t="s">
        <v>254</v>
      </c>
      <c r="H29" s="217"/>
      <c r="I29" s="218"/>
      <c r="J29" s="118">
        <f>MROUND(SUM(H20:J28),5)</f>
        <v>150</v>
      </c>
      <c r="L29" s="46" t="s">
        <v>112</v>
      </c>
      <c r="M29" s="19">
        <f>'PDC répartie-Dimension gaine'!J15</f>
        <v>0.73199999999999998</v>
      </c>
      <c r="N29" s="10"/>
      <c r="O29" s="4">
        <f>'PDC singuliere-Clapet'!$G$20</f>
        <v>6.7222222222222214</v>
      </c>
      <c r="Q29" s="18" t="s">
        <v>121</v>
      </c>
      <c r="R29" s="19">
        <f>'PDC répartie-Dimension gaine'!J22</f>
        <v>1.440625</v>
      </c>
      <c r="S29" s="10"/>
      <c r="T29" s="4">
        <f>'PDC singuliere-Clapet'!$M$54</f>
        <v>69.658716405967127</v>
      </c>
      <c r="V29" s="18" t="s">
        <v>121</v>
      </c>
      <c r="W29" s="19">
        <f>'PDC répartie-Dimension gaine'!J22</f>
        <v>1.440625</v>
      </c>
      <c r="X29" s="10"/>
      <c r="Y29" s="4">
        <f>T29</f>
        <v>69.658716405967127</v>
      </c>
    </row>
    <row r="30" spans="2:25">
      <c r="L30" s="18" t="s">
        <v>343</v>
      </c>
      <c r="M30" s="19">
        <f>'PDC répartie-Dimension gaine'!J16</f>
        <v>1.92</v>
      </c>
      <c r="N30" s="4">
        <f>'Bouche GP-GE '!H12</f>
        <v>12.5</v>
      </c>
      <c r="O30" s="10"/>
      <c r="Q30" s="46" t="s">
        <v>110</v>
      </c>
      <c r="R30" s="19">
        <f>'PDC répartie-Dimension gaine'!J14</f>
        <v>3.0249999999999999</v>
      </c>
      <c r="S30" s="4">
        <f>'Bouche GP-GE '!H10</f>
        <v>20</v>
      </c>
      <c r="T30" s="10"/>
      <c r="V30" s="46" t="s">
        <v>108</v>
      </c>
      <c r="W30" s="19">
        <f>'PDC répartie-Dimension gaine'!J13</f>
        <v>1.3068</v>
      </c>
      <c r="X30" s="4">
        <f>'Bouche GP-GE '!H9+'PDC singuliere-Clapet'!$H$7</f>
        <v>26</v>
      </c>
      <c r="Y30" s="10"/>
    </row>
    <row r="31" spans="2:25" ht="16.5">
      <c r="L31" s="216" t="s">
        <v>254</v>
      </c>
      <c r="M31" s="217"/>
      <c r="N31" s="218"/>
      <c r="O31" s="118">
        <f>MROUND(SUM(M20:O30),5)</f>
        <v>155</v>
      </c>
      <c r="Q31" s="216" t="s">
        <v>254</v>
      </c>
      <c r="R31" s="217"/>
      <c r="S31" s="218"/>
      <c r="T31" s="118">
        <f>MROUND(SUM(R20:T30),5)</f>
        <v>230</v>
      </c>
      <c r="V31" s="216" t="s">
        <v>254</v>
      </c>
      <c r="W31" s="217"/>
      <c r="X31" s="218"/>
      <c r="Y31" s="118">
        <f>MROUND(SUM(W20:Y30),5)</f>
        <v>235</v>
      </c>
    </row>
    <row r="32" spans="2:25">
      <c r="U32" t="s">
        <v>514</v>
      </c>
      <c r="W32">
        <f>(SUM(W20:W30)/Y31)*100</f>
        <v>6.106308510638299</v>
      </c>
      <c r="X32">
        <f>(SUM(X20:X30)/Y31)*100</f>
        <v>15.74468085106383</v>
      </c>
      <c r="Y32">
        <f>(SUM(Y20:Y30)/Y31)*100</f>
        <v>77.09576515556185</v>
      </c>
    </row>
    <row r="33" spans="2:25">
      <c r="L33" s="11"/>
    </row>
    <row r="34" spans="2:25">
      <c r="B34" s="116" t="s">
        <v>344</v>
      </c>
      <c r="G34" s="116" t="s">
        <v>352</v>
      </c>
      <c r="L34" s="116" t="s">
        <v>350</v>
      </c>
      <c r="Q34" s="116" t="s">
        <v>351</v>
      </c>
      <c r="V34" s="116" t="s">
        <v>353</v>
      </c>
    </row>
    <row r="35" spans="2:25" ht="60">
      <c r="B35" s="18" t="s">
        <v>251</v>
      </c>
      <c r="C35" s="26" t="s">
        <v>104</v>
      </c>
      <c r="D35" s="26" t="s">
        <v>252</v>
      </c>
      <c r="E35" s="26" t="s">
        <v>253</v>
      </c>
      <c r="G35" s="18" t="s">
        <v>251</v>
      </c>
      <c r="H35" s="26" t="s">
        <v>104</v>
      </c>
      <c r="I35" s="26" t="s">
        <v>252</v>
      </c>
      <c r="J35" s="26" t="s">
        <v>253</v>
      </c>
      <c r="L35" s="18" t="s">
        <v>251</v>
      </c>
      <c r="M35" s="26" t="s">
        <v>104</v>
      </c>
      <c r="N35" s="26" t="s">
        <v>252</v>
      </c>
      <c r="O35" s="26" t="s">
        <v>253</v>
      </c>
      <c r="Q35" s="18" t="s">
        <v>251</v>
      </c>
      <c r="R35" s="26" t="s">
        <v>104</v>
      </c>
      <c r="S35" s="26" t="s">
        <v>252</v>
      </c>
      <c r="T35" s="26" t="s">
        <v>253</v>
      </c>
      <c r="V35" s="18" t="s">
        <v>251</v>
      </c>
      <c r="W35" s="26" t="s">
        <v>104</v>
      </c>
      <c r="X35" s="26" t="s">
        <v>252</v>
      </c>
      <c r="Y35" s="26" t="s">
        <v>253</v>
      </c>
    </row>
    <row r="36" spans="2:25">
      <c r="B36" s="18" t="s">
        <v>331</v>
      </c>
      <c r="C36" s="19">
        <f>'PDC répartie-Dimension gaine'!J65</f>
        <v>0.31</v>
      </c>
      <c r="D36" s="10"/>
      <c r="E36" s="19">
        <f>'PDC singuliere-Clapet'!G30</f>
        <v>28.879999999999995</v>
      </c>
      <c r="G36" s="18" t="s">
        <v>331</v>
      </c>
      <c r="H36" s="19">
        <f t="shared" ref="H36:J38" si="9">C36</f>
        <v>0.31</v>
      </c>
      <c r="I36" s="19">
        <f t="shared" si="9"/>
        <v>0</v>
      </c>
      <c r="J36" s="19">
        <f t="shared" si="9"/>
        <v>28.879999999999995</v>
      </c>
      <c r="L36" s="18" t="s">
        <v>331</v>
      </c>
      <c r="M36" s="19">
        <f t="shared" ref="M36:O38" si="10">C36</f>
        <v>0.31</v>
      </c>
      <c r="N36" s="19">
        <f t="shared" si="10"/>
        <v>0</v>
      </c>
      <c r="O36" s="19">
        <f t="shared" si="10"/>
        <v>28.879999999999995</v>
      </c>
      <c r="Q36" s="18" t="s">
        <v>331</v>
      </c>
      <c r="R36" s="19">
        <f t="shared" ref="R36:T38" si="11">C36</f>
        <v>0.31</v>
      </c>
      <c r="S36" s="19">
        <f t="shared" si="11"/>
        <v>0</v>
      </c>
      <c r="T36" s="19">
        <f t="shared" si="11"/>
        <v>28.879999999999995</v>
      </c>
      <c r="V36" s="18" t="s">
        <v>331</v>
      </c>
      <c r="W36" s="19">
        <f t="shared" ref="W36:Y38" si="12">C36</f>
        <v>0.31</v>
      </c>
      <c r="X36" s="19">
        <f t="shared" si="12"/>
        <v>0</v>
      </c>
      <c r="Y36" s="19">
        <f t="shared" si="12"/>
        <v>28.879999999999995</v>
      </c>
    </row>
    <row r="37" spans="2:25">
      <c r="B37" s="18" t="s">
        <v>332</v>
      </c>
      <c r="C37" s="19">
        <f>'PDC répartie-Dimension gaine'!J64</f>
        <v>1.8599999999999999</v>
      </c>
      <c r="D37" s="10">
        <f>D6</f>
        <v>9</v>
      </c>
      <c r="E37" s="4">
        <f>'PDC singuliere-Clapet'!G29</f>
        <v>28.879999999999995</v>
      </c>
      <c r="G37" s="18" t="s">
        <v>332</v>
      </c>
      <c r="H37" s="19">
        <f t="shared" si="9"/>
        <v>1.8599999999999999</v>
      </c>
      <c r="I37" s="19">
        <f t="shared" si="9"/>
        <v>9</v>
      </c>
      <c r="J37" s="4">
        <f t="shared" si="9"/>
        <v>28.879999999999995</v>
      </c>
      <c r="L37" s="18" t="s">
        <v>332</v>
      </c>
      <c r="M37" s="19">
        <f t="shared" si="10"/>
        <v>1.8599999999999999</v>
      </c>
      <c r="N37" s="19">
        <f t="shared" si="10"/>
        <v>9</v>
      </c>
      <c r="O37" s="4">
        <f t="shared" si="10"/>
        <v>28.879999999999995</v>
      </c>
      <c r="Q37" s="18" t="s">
        <v>332</v>
      </c>
      <c r="R37" s="19">
        <f t="shared" si="11"/>
        <v>1.8599999999999999</v>
      </c>
      <c r="S37" s="19">
        <f t="shared" si="11"/>
        <v>9</v>
      </c>
      <c r="T37" s="4">
        <f t="shared" si="11"/>
        <v>28.879999999999995</v>
      </c>
      <c r="V37" s="18" t="s">
        <v>332</v>
      </c>
      <c r="W37" s="19">
        <f t="shared" si="12"/>
        <v>1.8599999999999999</v>
      </c>
      <c r="X37" s="19">
        <f t="shared" si="12"/>
        <v>9</v>
      </c>
      <c r="Y37" s="4">
        <f t="shared" si="12"/>
        <v>28.879999999999995</v>
      </c>
    </row>
    <row r="38" spans="2:25">
      <c r="B38" s="18" t="s">
        <v>333</v>
      </c>
      <c r="C38" s="19">
        <f>'PDC répartie-Dimension gaine'!J63</f>
        <v>4.6748000000000003</v>
      </c>
      <c r="D38" s="10"/>
      <c r="E38" s="4">
        <f>'PDC singuliere-Clapet'!M55</f>
        <v>24.909979423868311</v>
      </c>
      <c r="G38" s="18" t="s">
        <v>333</v>
      </c>
      <c r="H38" s="19">
        <f t="shared" si="9"/>
        <v>4.6748000000000003</v>
      </c>
      <c r="I38" s="19">
        <f t="shared" si="9"/>
        <v>0</v>
      </c>
      <c r="J38" s="4">
        <f t="shared" si="9"/>
        <v>24.909979423868311</v>
      </c>
      <c r="L38" s="18" t="s">
        <v>333</v>
      </c>
      <c r="M38" s="19">
        <f t="shared" si="10"/>
        <v>4.6748000000000003</v>
      </c>
      <c r="N38" s="19">
        <f t="shared" si="10"/>
        <v>0</v>
      </c>
      <c r="O38" s="4">
        <f t="shared" si="10"/>
        <v>24.909979423868311</v>
      </c>
      <c r="Q38" s="18" t="s">
        <v>333</v>
      </c>
      <c r="R38" s="19">
        <f t="shared" si="11"/>
        <v>4.6748000000000003</v>
      </c>
      <c r="S38" s="19">
        <f t="shared" si="11"/>
        <v>0</v>
      </c>
      <c r="T38" s="4">
        <f t="shared" si="11"/>
        <v>24.909979423868311</v>
      </c>
      <c r="V38" s="18" t="s">
        <v>333</v>
      </c>
      <c r="W38" s="19">
        <f t="shared" si="12"/>
        <v>4.6748000000000003</v>
      </c>
      <c r="X38" s="19">
        <f t="shared" si="12"/>
        <v>0</v>
      </c>
      <c r="Y38" s="4">
        <f t="shared" si="12"/>
        <v>24.909979423868311</v>
      </c>
    </row>
    <row r="39" spans="2:25">
      <c r="B39" s="18" t="s">
        <v>319</v>
      </c>
      <c r="C39" s="19">
        <f>'PDC répartie-Dimension gaine'!J61</f>
        <v>0.71539999999999992</v>
      </c>
      <c r="D39" s="10"/>
      <c r="E39" s="4">
        <f>'PDC singuliere-Clapet'!$M$41</f>
        <v>6.0603620113168724</v>
      </c>
      <c r="G39" s="18" t="s">
        <v>319</v>
      </c>
      <c r="H39" s="19">
        <f>'PDC répartie-Dimension gaine'!J61</f>
        <v>0.71539999999999992</v>
      </c>
      <c r="I39" s="10"/>
      <c r="J39" s="4">
        <f>E39</f>
        <v>6.0603620113168724</v>
      </c>
      <c r="L39" s="18" t="s">
        <v>319</v>
      </c>
      <c r="M39" s="19">
        <f>'PDC répartie-Dimension gaine'!J61</f>
        <v>0.71539999999999992</v>
      </c>
      <c r="N39" s="10"/>
      <c r="O39" s="4">
        <f>E39</f>
        <v>6.0603620113168724</v>
      </c>
      <c r="Q39" s="18" t="s">
        <v>319</v>
      </c>
      <c r="R39" s="19">
        <f>'PDC répartie-Dimension gaine'!J61</f>
        <v>0.71539999999999992</v>
      </c>
      <c r="S39" s="10"/>
      <c r="T39" s="4">
        <f>E39</f>
        <v>6.0603620113168724</v>
      </c>
      <c r="V39" s="18" t="s">
        <v>319</v>
      </c>
      <c r="W39" s="19">
        <f>'PDC répartie-Dimension gaine'!J61</f>
        <v>0.71539999999999992</v>
      </c>
      <c r="X39" s="10"/>
      <c r="Y39" s="4">
        <f>J39</f>
        <v>6.0603620113168724</v>
      </c>
    </row>
    <row r="40" spans="2:25">
      <c r="B40" s="18" t="s">
        <v>168</v>
      </c>
      <c r="C40" s="19">
        <f>'PDC répartie-Dimension gaine'!J57</f>
        <v>0.68399999999999994</v>
      </c>
      <c r="D40" s="10">
        <f>'PDC singuliere-Clapet'!$H$14</f>
        <v>4</v>
      </c>
      <c r="E40" s="4">
        <f>'PDC singuliere-Clapet'!$G$24</f>
        <v>4.0060223765432106</v>
      </c>
      <c r="G40" s="18" t="s">
        <v>168</v>
      </c>
      <c r="H40" s="19">
        <f>'PDC répartie-Dimension gaine'!J57</f>
        <v>0.68399999999999994</v>
      </c>
      <c r="I40" s="10">
        <f>D40</f>
        <v>4</v>
      </c>
      <c r="J40" s="4">
        <f>E40</f>
        <v>4.0060223765432106</v>
      </c>
      <c r="L40" s="18" t="s">
        <v>168</v>
      </c>
      <c r="M40" s="19">
        <f>'PDC répartie-Dimension gaine'!J57</f>
        <v>0.68399999999999994</v>
      </c>
      <c r="N40" s="10">
        <f>D40</f>
        <v>4</v>
      </c>
      <c r="O40" s="4">
        <f>E39</f>
        <v>6.0603620113168724</v>
      </c>
      <c r="Q40" s="18" t="s">
        <v>168</v>
      </c>
      <c r="R40" s="19">
        <f>'PDC répartie-Dimension gaine'!J57</f>
        <v>0.68399999999999994</v>
      </c>
      <c r="S40" s="10">
        <f>D40</f>
        <v>4</v>
      </c>
      <c r="T40" s="4">
        <f>E40</f>
        <v>4.0060223765432106</v>
      </c>
      <c r="V40" s="18" t="s">
        <v>168</v>
      </c>
      <c r="W40" s="19">
        <f>'PDC répartie-Dimension gaine'!J57</f>
        <v>0.68399999999999994</v>
      </c>
      <c r="X40" s="10">
        <f>D40</f>
        <v>4</v>
      </c>
      <c r="Y40" s="4">
        <f>E40</f>
        <v>4.0060223765432106</v>
      </c>
    </row>
    <row r="41" spans="2:25">
      <c r="B41" s="18" t="s">
        <v>169</v>
      </c>
      <c r="C41" s="19">
        <f>'PDC répartie-Dimension gaine'!J58</f>
        <v>2.8079999999999998</v>
      </c>
      <c r="D41" s="10"/>
      <c r="E41" s="4">
        <f>'PDC singuliere-Clapet'!$G$25</f>
        <v>10.759645061728396</v>
      </c>
      <c r="G41" s="18" t="s">
        <v>169</v>
      </c>
      <c r="H41" s="19">
        <f>'PDC répartie-Dimension gaine'!J58</f>
        <v>2.8079999999999998</v>
      </c>
      <c r="I41" s="10"/>
      <c r="J41" s="4">
        <f>E41</f>
        <v>10.759645061728396</v>
      </c>
      <c r="L41" s="18" t="s">
        <v>169</v>
      </c>
      <c r="M41" s="19">
        <f>'PDC répartie-Dimension gaine'!J58</f>
        <v>2.8079999999999998</v>
      </c>
      <c r="N41" s="10"/>
      <c r="O41" s="4">
        <f>E41</f>
        <v>10.759645061728396</v>
      </c>
      <c r="Q41" s="18" t="s">
        <v>169</v>
      </c>
      <c r="R41" s="19">
        <f>'PDC répartie-Dimension gaine'!J58</f>
        <v>2.8079999999999998</v>
      </c>
      <c r="S41" s="10"/>
      <c r="T41" s="4">
        <f>E41</f>
        <v>10.759645061728396</v>
      </c>
      <c r="V41" s="18" t="s">
        <v>169</v>
      </c>
      <c r="W41" s="19">
        <f>'PDC répartie-Dimension gaine'!J58</f>
        <v>2.8079999999999998</v>
      </c>
      <c r="X41" s="10"/>
      <c r="Y41" s="4">
        <f>E41</f>
        <v>10.759645061728396</v>
      </c>
    </row>
    <row r="42" spans="2:25">
      <c r="B42" s="18" t="s">
        <v>170</v>
      </c>
      <c r="C42" s="19">
        <f>'PDC répartie-Dimension gaine'!J59</f>
        <v>0.72960000000000003</v>
      </c>
      <c r="D42" s="10"/>
      <c r="E42" s="19">
        <f>'PDC singuliere-Clapet'!$M$44</f>
        <v>2.074074074074074</v>
      </c>
      <c r="G42" s="18" t="s">
        <v>170</v>
      </c>
      <c r="H42" s="19">
        <f>'PDC répartie-Dimension gaine'!J59</f>
        <v>0.72960000000000003</v>
      </c>
      <c r="I42" s="10"/>
      <c r="J42" s="19">
        <f>E42</f>
        <v>2.074074074074074</v>
      </c>
      <c r="L42" s="18" t="s">
        <v>170</v>
      </c>
      <c r="M42" s="19">
        <f>'PDC répartie-Dimension gaine'!J59</f>
        <v>0.72960000000000003</v>
      </c>
      <c r="N42" s="10"/>
      <c r="O42" s="19">
        <f>E42</f>
        <v>2.074074074074074</v>
      </c>
      <c r="Q42" s="18" t="s">
        <v>170</v>
      </c>
      <c r="R42" s="19">
        <f>'PDC répartie-Dimension gaine'!J59</f>
        <v>0.72960000000000003</v>
      </c>
      <c r="S42" s="10"/>
      <c r="T42" s="19">
        <f>E42</f>
        <v>2.074074074074074</v>
      </c>
      <c r="V42" s="18" t="s">
        <v>170</v>
      </c>
      <c r="W42" s="19">
        <f>'PDC répartie-Dimension gaine'!J59</f>
        <v>0.72960000000000003</v>
      </c>
      <c r="X42" s="10"/>
      <c r="Y42" s="19">
        <f>E42</f>
        <v>2.074074074074074</v>
      </c>
    </row>
    <row r="43" spans="2:25">
      <c r="B43" s="18" t="s">
        <v>171</v>
      </c>
      <c r="C43" s="19">
        <f>'PDC répartie-Dimension gaine'!J60</f>
        <v>0.55000000000000004</v>
      </c>
      <c r="D43" s="10"/>
      <c r="E43" s="10"/>
      <c r="G43" s="18" t="s">
        <v>171</v>
      </c>
      <c r="H43" s="19">
        <f>'PDC répartie-Dimension gaine'!J60</f>
        <v>0.55000000000000004</v>
      </c>
      <c r="I43" s="10"/>
      <c r="J43" s="10"/>
      <c r="L43" s="18" t="s">
        <v>171</v>
      </c>
      <c r="M43" s="19">
        <f>'PDC répartie-Dimension gaine'!J60</f>
        <v>0.55000000000000004</v>
      </c>
      <c r="N43" s="10"/>
      <c r="O43" s="10"/>
      <c r="Q43" s="18" t="s">
        <v>171</v>
      </c>
      <c r="R43" s="19">
        <f>'PDC répartie-Dimension gaine'!J60</f>
        <v>0.55000000000000004</v>
      </c>
      <c r="S43" s="10"/>
      <c r="T43" s="10"/>
      <c r="V43" s="18" t="s">
        <v>151</v>
      </c>
      <c r="W43" s="19">
        <f>'PDC répartie-Dimension gaine'!J44</f>
        <v>1.1850000000000001</v>
      </c>
      <c r="X43" s="4">
        <f>'Bouche GP-GE '!H22+'PDC singuliere-Clapet'!$H$10</f>
        <v>24</v>
      </c>
      <c r="Y43" s="10"/>
    </row>
    <row r="44" spans="2:25" ht="16.5">
      <c r="B44" s="18" t="s">
        <v>152</v>
      </c>
      <c r="C44" s="19">
        <f>'PDC répartie-Dimension gaine'!J45</f>
        <v>0.62</v>
      </c>
      <c r="D44" s="10"/>
      <c r="E44" s="4">
        <f>'PDC singuliere-Clapet'!$M$45</f>
        <v>5.4499374473194369</v>
      </c>
      <c r="G44" s="18" t="s">
        <v>152</v>
      </c>
      <c r="H44" s="19">
        <f>'PDC répartie-Dimension gaine'!J45</f>
        <v>0.62</v>
      </c>
      <c r="I44" s="10"/>
      <c r="J44" s="4">
        <f>E44</f>
        <v>5.4499374473194369</v>
      </c>
      <c r="L44" s="18" t="s">
        <v>152</v>
      </c>
      <c r="M44" s="19">
        <f>'PDC répartie-Dimension gaine'!J45</f>
        <v>0.62</v>
      </c>
      <c r="N44" s="10"/>
      <c r="O44" s="4">
        <f>E44</f>
        <v>5.4499374473194369</v>
      </c>
      <c r="Q44" s="18" t="s">
        <v>152</v>
      </c>
      <c r="R44" s="19">
        <f>'PDC répartie-Dimension gaine'!J45</f>
        <v>0.62</v>
      </c>
      <c r="S44" s="10"/>
      <c r="T44" s="4">
        <f>E44</f>
        <v>5.4499374473194369</v>
      </c>
      <c r="V44" s="216" t="s">
        <v>254</v>
      </c>
      <c r="W44" s="217"/>
      <c r="X44" s="218"/>
      <c r="Y44" s="118">
        <f>MROUND(SUM(W36:Y43),5)</f>
        <v>155</v>
      </c>
    </row>
    <row r="45" spans="2:25">
      <c r="B45" s="18" t="s">
        <v>155</v>
      </c>
      <c r="C45" s="19">
        <f>'PDC répartie-Dimension gaine'!J47</f>
        <v>0.54449999999999998</v>
      </c>
      <c r="D45" s="10"/>
      <c r="E45" s="4">
        <f>'PDC singuliere-Clapet'!$G$26</f>
        <v>6.974499965566789</v>
      </c>
      <c r="G45" s="18" t="s">
        <v>155</v>
      </c>
      <c r="H45" s="19">
        <f>'PDC répartie-Dimension gaine'!J47</f>
        <v>0.54449999999999998</v>
      </c>
      <c r="I45" s="10"/>
      <c r="J45" s="4">
        <f>E45</f>
        <v>6.974499965566789</v>
      </c>
      <c r="L45" s="18" t="s">
        <v>155</v>
      </c>
      <c r="M45" s="19">
        <f>'PDC répartie-Dimension gaine'!J47</f>
        <v>0.54449999999999998</v>
      </c>
      <c r="N45" s="10"/>
      <c r="O45" s="4">
        <f>E45</f>
        <v>6.974499965566789</v>
      </c>
      <c r="Q45" s="18" t="s">
        <v>154</v>
      </c>
      <c r="R45" s="19">
        <f>'PDC répartie-Dimension gaine'!J46</f>
        <v>1.296</v>
      </c>
      <c r="S45" s="4">
        <f>'Bouche GP-GE '!H23</f>
        <v>12.5</v>
      </c>
      <c r="T45" s="10"/>
    </row>
    <row r="46" spans="2:25" ht="16.5">
      <c r="B46" s="18" t="s">
        <v>156</v>
      </c>
      <c r="C46" s="19">
        <f>'PDC répartie-Dimension gaine'!J48</f>
        <v>0.66</v>
      </c>
      <c r="D46" s="10"/>
      <c r="E46" s="10"/>
      <c r="G46" s="18" t="s">
        <v>156</v>
      </c>
      <c r="H46" s="19">
        <f>'PDC répartie-Dimension gaine'!J48</f>
        <v>0.66</v>
      </c>
      <c r="I46" s="10"/>
      <c r="J46" s="10"/>
      <c r="L46" s="18" t="s">
        <v>156</v>
      </c>
      <c r="M46" s="19">
        <f>'PDC répartie-Dimension gaine'!J48</f>
        <v>0.66</v>
      </c>
      <c r="N46" s="10"/>
      <c r="O46" s="10"/>
      <c r="Q46" s="216" t="s">
        <v>254</v>
      </c>
      <c r="R46" s="217"/>
      <c r="S46" s="218"/>
      <c r="T46" s="118">
        <f>MROUND(SUM(R36:T45),5)</f>
        <v>150</v>
      </c>
    </row>
    <row r="47" spans="2:25">
      <c r="B47" s="18" t="s">
        <v>149</v>
      </c>
      <c r="C47" s="19">
        <f>'PDC répartie-Dimension gaine'!J42</f>
        <v>0.11000000000000001</v>
      </c>
      <c r="D47" s="10">
        <f>'PDC singuliere-Clapet'!H9</f>
        <v>5</v>
      </c>
      <c r="E47" s="4">
        <f>'PDC singuliere-Clapet'!$M$46</f>
        <v>1.8204789855026271</v>
      </c>
      <c r="G47" s="18" t="s">
        <v>149</v>
      </c>
      <c r="H47" s="19">
        <f>'PDC répartie-Dimension gaine'!J43</f>
        <v>1.125</v>
      </c>
      <c r="I47" s="10">
        <f>D47</f>
        <v>5</v>
      </c>
      <c r="J47" s="4">
        <f>E47</f>
        <v>1.8204789855026271</v>
      </c>
      <c r="L47" s="18" t="s">
        <v>149</v>
      </c>
      <c r="M47" s="19">
        <f>'PDC répartie-Dimension gaine'!J43</f>
        <v>1.125</v>
      </c>
      <c r="N47" s="10">
        <f>D47</f>
        <v>5</v>
      </c>
      <c r="O47" s="4">
        <f>E47</f>
        <v>1.8204789855026271</v>
      </c>
    </row>
    <row r="48" spans="2:25">
      <c r="B48" s="18" t="s">
        <v>150</v>
      </c>
      <c r="C48" s="19">
        <f>'PDC répartie-Dimension gaine'!J43</f>
        <v>1.125</v>
      </c>
      <c r="D48" s="10"/>
      <c r="E48" s="10"/>
      <c r="G48" s="18" t="s">
        <v>150</v>
      </c>
      <c r="H48" s="19">
        <f>'PDC répartie-Dimension gaine'!J43</f>
        <v>1.125</v>
      </c>
      <c r="I48" s="10"/>
      <c r="J48" s="10"/>
      <c r="L48" s="18" t="s">
        <v>148</v>
      </c>
      <c r="M48" s="19">
        <f>'PDC répartie-Dimension gaine'!J41</f>
        <v>0.82800000000000007</v>
      </c>
      <c r="N48" s="4">
        <f>'Bouche GP-GE '!H21+'PDC singuliere-Clapet'!$H$9</f>
        <v>17.5</v>
      </c>
      <c r="O48" s="10"/>
    </row>
    <row r="49" spans="2:20" ht="16.5">
      <c r="B49" s="18" t="s">
        <v>147</v>
      </c>
      <c r="C49" s="19">
        <f>'PDC répartie-Dimension gaine'!J40</f>
        <v>0.7</v>
      </c>
      <c r="D49" s="10"/>
      <c r="E49" s="4">
        <f>'PDC singuliere-Clapet'!$M$47</f>
        <v>5.5028895166859941</v>
      </c>
      <c r="G49" s="18" t="s">
        <v>147</v>
      </c>
      <c r="H49" s="19">
        <f>'PDC répartie-Dimension gaine'!J40</f>
        <v>0.7</v>
      </c>
      <c r="I49" s="10"/>
      <c r="J49" s="4">
        <f>E49</f>
        <v>5.5028895166859941</v>
      </c>
      <c r="L49" s="216" t="s">
        <v>254</v>
      </c>
      <c r="M49" s="217"/>
      <c r="N49" s="218"/>
      <c r="O49" s="118">
        <f>MROUND(SUM(M36:O48),5)</f>
        <v>175</v>
      </c>
    </row>
    <row r="50" spans="2:20">
      <c r="B50" s="18" t="s">
        <v>146</v>
      </c>
      <c r="C50" s="19">
        <f>'PDC répartie-Dimension gaine'!J39</f>
        <v>3.33</v>
      </c>
      <c r="D50" s="10"/>
      <c r="E50" s="10"/>
      <c r="G50" s="18" t="s">
        <v>143</v>
      </c>
      <c r="H50" s="19">
        <f>'PDC répartie-Dimension gaine'!J38</f>
        <v>0.10800000000000001</v>
      </c>
      <c r="I50" s="4">
        <f>'Bouche GP-GE '!H20</f>
        <v>22.5</v>
      </c>
      <c r="J50" s="10"/>
    </row>
    <row r="51" spans="2:20" ht="16.5">
      <c r="B51" s="18" t="s">
        <v>142</v>
      </c>
      <c r="C51" s="19">
        <f>'PDC répartie-Dimension gaine'!J37</f>
        <v>0.18000000000000002</v>
      </c>
      <c r="D51" s="10"/>
      <c r="E51" s="4">
        <f>'PDC singuliere-Clapet'!$G$28</f>
        <v>5.7640495583196625</v>
      </c>
      <c r="G51" s="216" t="s">
        <v>254</v>
      </c>
      <c r="H51" s="217"/>
      <c r="I51" s="218"/>
      <c r="J51" s="118">
        <f>MROUND(SUM(H36:J50),5)</f>
        <v>185</v>
      </c>
    </row>
    <row r="52" spans="2:20">
      <c r="B52" s="18" t="s">
        <v>141</v>
      </c>
      <c r="C52" s="19">
        <f>'PDC répartie-Dimension gaine'!J36</f>
        <v>0.81</v>
      </c>
      <c r="D52" s="4">
        <f>'Bouche GP-GE '!H19</f>
        <v>12.5</v>
      </c>
      <c r="E52" s="10"/>
    </row>
    <row r="53" spans="2:20" ht="16.5">
      <c r="B53" s="216" t="s">
        <v>254</v>
      </c>
      <c r="C53" s="217"/>
      <c r="D53" s="218"/>
      <c r="E53" s="118">
        <f>MROUND(SUM(C36:E52),5)</f>
        <v>180</v>
      </c>
    </row>
    <row r="55" spans="2:20">
      <c r="B55" s="116" t="s">
        <v>354</v>
      </c>
      <c r="G55" s="116" t="s">
        <v>355</v>
      </c>
      <c r="L55" s="116" t="s">
        <v>356</v>
      </c>
      <c r="Q55" s="116" t="s">
        <v>357</v>
      </c>
    </row>
    <row r="56" spans="2:20" ht="60">
      <c r="B56" s="18" t="s">
        <v>251</v>
      </c>
      <c r="C56" s="26" t="s">
        <v>104</v>
      </c>
      <c r="D56" s="26" t="s">
        <v>252</v>
      </c>
      <c r="E56" s="26" t="s">
        <v>253</v>
      </c>
      <c r="G56" s="18" t="s">
        <v>251</v>
      </c>
      <c r="H56" s="26" t="s">
        <v>104</v>
      </c>
      <c r="I56" s="26" t="s">
        <v>252</v>
      </c>
      <c r="J56" s="26" t="s">
        <v>253</v>
      </c>
      <c r="L56" s="18" t="s">
        <v>251</v>
      </c>
      <c r="M56" s="26" t="s">
        <v>104</v>
      </c>
      <c r="N56" s="26" t="s">
        <v>252</v>
      </c>
      <c r="O56" s="26" t="s">
        <v>253</v>
      </c>
      <c r="Q56" s="18" t="s">
        <v>251</v>
      </c>
      <c r="R56" s="26" t="s">
        <v>104</v>
      </c>
      <c r="S56" s="26" t="s">
        <v>252</v>
      </c>
      <c r="T56" s="26" t="s">
        <v>253</v>
      </c>
    </row>
    <row r="57" spans="2:20">
      <c r="B57" s="18" t="s">
        <v>331</v>
      </c>
      <c r="C57" s="19">
        <f t="shared" ref="C57:E59" si="13">C36</f>
        <v>0.31</v>
      </c>
      <c r="D57" s="19">
        <f t="shared" si="13"/>
        <v>0</v>
      </c>
      <c r="E57" s="19">
        <f t="shared" si="13"/>
        <v>28.879999999999995</v>
      </c>
      <c r="G57" s="18" t="s">
        <v>331</v>
      </c>
      <c r="H57" s="19">
        <f t="shared" ref="H57:J59" si="14">C36</f>
        <v>0.31</v>
      </c>
      <c r="I57" s="19">
        <f t="shared" si="14"/>
        <v>0</v>
      </c>
      <c r="J57" s="19">
        <f t="shared" si="14"/>
        <v>28.879999999999995</v>
      </c>
      <c r="L57" s="18" t="s">
        <v>331</v>
      </c>
      <c r="M57" s="19">
        <f t="shared" ref="M57:O59" si="15">C36</f>
        <v>0.31</v>
      </c>
      <c r="N57" s="19">
        <f t="shared" si="15"/>
        <v>0</v>
      </c>
      <c r="O57" s="19">
        <f t="shared" si="15"/>
        <v>28.879999999999995</v>
      </c>
      <c r="Q57" s="18" t="s">
        <v>331</v>
      </c>
      <c r="R57" s="19">
        <f t="shared" ref="R57:T59" si="16">C36</f>
        <v>0.31</v>
      </c>
      <c r="S57" s="19">
        <f t="shared" si="16"/>
        <v>0</v>
      </c>
      <c r="T57" s="19">
        <f t="shared" si="16"/>
        <v>28.879999999999995</v>
      </c>
    </row>
    <row r="58" spans="2:20">
      <c r="B58" s="18" t="s">
        <v>332</v>
      </c>
      <c r="C58" s="19">
        <f t="shared" si="13"/>
        <v>1.8599999999999999</v>
      </c>
      <c r="D58" s="19">
        <f t="shared" si="13"/>
        <v>9</v>
      </c>
      <c r="E58" s="4">
        <f t="shared" si="13"/>
        <v>28.879999999999995</v>
      </c>
      <c r="G58" s="18" t="s">
        <v>332</v>
      </c>
      <c r="H58" s="19">
        <f t="shared" si="14"/>
        <v>1.8599999999999999</v>
      </c>
      <c r="I58" s="19">
        <f t="shared" si="14"/>
        <v>9</v>
      </c>
      <c r="J58" s="4">
        <f t="shared" si="14"/>
        <v>28.879999999999995</v>
      </c>
      <c r="L58" s="18" t="s">
        <v>332</v>
      </c>
      <c r="M58" s="19">
        <f t="shared" si="15"/>
        <v>1.8599999999999999</v>
      </c>
      <c r="N58" s="19">
        <f t="shared" si="15"/>
        <v>9</v>
      </c>
      <c r="O58" s="4">
        <f t="shared" si="15"/>
        <v>28.879999999999995</v>
      </c>
      <c r="Q58" s="18" t="s">
        <v>332</v>
      </c>
      <c r="R58" s="19">
        <f t="shared" si="16"/>
        <v>1.8599999999999999</v>
      </c>
      <c r="S58" s="19">
        <f t="shared" si="16"/>
        <v>9</v>
      </c>
      <c r="T58" s="4">
        <f t="shared" si="16"/>
        <v>28.879999999999995</v>
      </c>
    </row>
    <row r="59" spans="2:20">
      <c r="B59" s="18" t="s">
        <v>333</v>
      </c>
      <c r="C59" s="19">
        <f t="shared" si="13"/>
        <v>4.6748000000000003</v>
      </c>
      <c r="D59" s="19">
        <f t="shared" si="13"/>
        <v>0</v>
      </c>
      <c r="E59" s="4">
        <f t="shared" si="13"/>
        <v>24.909979423868311</v>
      </c>
      <c r="G59" s="18" t="s">
        <v>333</v>
      </c>
      <c r="H59" s="19">
        <f t="shared" si="14"/>
        <v>4.6748000000000003</v>
      </c>
      <c r="I59" s="19">
        <f t="shared" si="14"/>
        <v>0</v>
      </c>
      <c r="J59" s="4">
        <f t="shared" si="14"/>
        <v>24.909979423868311</v>
      </c>
      <c r="L59" s="18" t="s">
        <v>333</v>
      </c>
      <c r="M59" s="19">
        <f t="shared" si="15"/>
        <v>4.6748000000000003</v>
      </c>
      <c r="N59" s="19">
        <f t="shared" si="15"/>
        <v>0</v>
      </c>
      <c r="O59" s="4">
        <f t="shared" si="15"/>
        <v>24.909979423868311</v>
      </c>
      <c r="Q59" s="18" t="s">
        <v>333</v>
      </c>
      <c r="R59" s="19">
        <f t="shared" si="16"/>
        <v>4.6748000000000003</v>
      </c>
      <c r="S59" s="19">
        <f t="shared" si="16"/>
        <v>0</v>
      </c>
      <c r="T59" s="4">
        <f t="shared" si="16"/>
        <v>24.909979423868311</v>
      </c>
    </row>
    <row r="60" spans="2:20">
      <c r="B60" s="18" t="s">
        <v>319</v>
      </c>
      <c r="C60" s="19">
        <f>'PDC répartie-Dimension gaine'!J61</f>
        <v>0.71539999999999992</v>
      </c>
      <c r="D60" s="10"/>
      <c r="E60" s="4">
        <f>E39</f>
        <v>6.0603620113168724</v>
      </c>
      <c r="G60" s="18" t="s">
        <v>319</v>
      </c>
      <c r="H60" s="19">
        <f>'PDC répartie-Dimension gaine'!J61</f>
        <v>0.71539999999999992</v>
      </c>
      <c r="I60" s="10"/>
      <c r="J60" s="4">
        <f>E39</f>
        <v>6.0603620113168724</v>
      </c>
      <c r="L60" s="18" t="s">
        <v>319</v>
      </c>
      <c r="M60" s="19">
        <f>'PDC répartie-Dimension gaine'!J61</f>
        <v>0.71539999999999992</v>
      </c>
      <c r="N60" s="10"/>
      <c r="O60" s="4">
        <f>E39</f>
        <v>6.0603620113168724</v>
      </c>
      <c r="Q60" s="18" t="s">
        <v>319</v>
      </c>
      <c r="R60" s="19">
        <f>'PDC répartie-Dimension gaine'!J61</f>
        <v>0.71539999999999992</v>
      </c>
      <c r="S60" s="10"/>
      <c r="T60" s="4">
        <f>E39</f>
        <v>6.0603620113168724</v>
      </c>
    </row>
    <row r="61" spans="2:20">
      <c r="B61" s="18" t="s">
        <v>160</v>
      </c>
      <c r="C61" s="19">
        <f>'PDC répartie-Dimension gaine'!J51</f>
        <v>1.1060000000000001</v>
      </c>
      <c r="D61" s="10">
        <f>'PDC singuliere-Clapet'!$H$13</f>
        <v>2</v>
      </c>
      <c r="E61" s="4">
        <f>'PDC singuliere-Clapet'!$M$42</f>
        <v>1.7906378600823052</v>
      </c>
      <c r="G61" s="18" t="s">
        <v>160</v>
      </c>
      <c r="H61" s="19">
        <f>'PDC répartie-Dimension gaine'!J51</f>
        <v>1.1060000000000001</v>
      </c>
      <c r="I61" s="10">
        <f>D61</f>
        <v>2</v>
      </c>
      <c r="J61" s="4">
        <f>E61</f>
        <v>1.7906378600823052</v>
      </c>
      <c r="L61" s="18" t="s">
        <v>160</v>
      </c>
      <c r="M61" s="19">
        <f>'PDC répartie-Dimension gaine'!J51</f>
        <v>1.1060000000000001</v>
      </c>
      <c r="N61" s="10">
        <f>D61</f>
        <v>2</v>
      </c>
      <c r="O61" s="4">
        <f>E61</f>
        <v>1.7906378600823052</v>
      </c>
      <c r="Q61" s="18" t="s">
        <v>160</v>
      </c>
      <c r="R61" s="19">
        <f>'PDC répartie-Dimension gaine'!J51</f>
        <v>1.1060000000000001</v>
      </c>
      <c r="S61" s="10">
        <f>D61</f>
        <v>2</v>
      </c>
      <c r="T61" s="4">
        <f>E61</f>
        <v>1.7906378600823052</v>
      </c>
    </row>
    <row r="62" spans="2:20">
      <c r="B62" s="18" t="s">
        <v>348</v>
      </c>
      <c r="C62" s="19">
        <f>'PDC répartie-Dimension gaine'!J53</f>
        <v>1.5389999999999999</v>
      </c>
      <c r="D62" s="10"/>
      <c r="E62" s="4">
        <f>'PDC singuliere-Clapet'!$M$53</f>
        <v>27.491981481481481</v>
      </c>
      <c r="G62" s="18" t="s">
        <v>348</v>
      </c>
      <c r="H62" s="19">
        <f>'PDC répartie-Dimension gaine'!J53</f>
        <v>1.5389999999999999</v>
      </c>
      <c r="I62" s="10"/>
      <c r="J62" s="4">
        <f>E62</f>
        <v>27.491981481481481</v>
      </c>
      <c r="L62" s="18" t="s">
        <v>348</v>
      </c>
      <c r="M62" s="19">
        <f>'PDC répartie-Dimension gaine'!J53</f>
        <v>1.5389999999999999</v>
      </c>
      <c r="N62" s="10"/>
      <c r="O62" s="4">
        <f>E62</f>
        <v>27.491981481481481</v>
      </c>
      <c r="Q62" s="18" t="s">
        <v>161</v>
      </c>
      <c r="R62" s="19">
        <f>'PDC répartie-Dimension gaine'!J52</f>
        <v>0.23400000000000001</v>
      </c>
      <c r="S62" s="10">
        <f>'Bouche GP-GE '!H25/2</f>
        <v>32</v>
      </c>
      <c r="T62" s="4"/>
    </row>
    <row r="63" spans="2:20" ht="16.5">
      <c r="B63" s="18" t="s">
        <v>165</v>
      </c>
      <c r="C63" s="19">
        <f>'PDC répartie-Dimension gaine'!J54</f>
        <v>1.2839999999999998</v>
      </c>
      <c r="D63" s="10"/>
      <c r="E63" s="19">
        <f>'PDC singuliere-Clapet'!$M$43</f>
        <v>5.2201814814814824</v>
      </c>
      <c r="G63" s="18" t="s">
        <v>165</v>
      </c>
      <c r="H63" s="19">
        <f>'PDC répartie-Dimension gaine'!J54</f>
        <v>1.2839999999999998</v>
      </c>
      <c r="I63" s="10"/>
      <c r="J63" s="19">
        <f>E63</f>
        <v>5.2201814814814824</v>
      </c>
      <c r="L63" s="18" t="s">
        <v>167</v>
      </c>
      <c r="M63" s="19">
        <f>'PDC répartie-Dimension gaine'!J56</f>
        <v>0.90100000000000002</v>
      </c>
      <c r="N63" s="10"/>
      <c r="O63" s="19">
        <f>'PDC singuliere-Clapet'!$G$27</f>
        <v>8.8760888888888889</v>
      </c>
      <c r="Q63" s="216" t="s">
        <v>254</v>
      </c>
      <c r="R63" s="217"/>
      <c r="S63" s="218"/>
      <c r="T63" s="118">
        <f>MROUND(SUM(R57:T62),5)</f>
        <v>140</v>
      </c>
    </row>
    <row r="64" spans="2:20">
      <c r="B64" s="18" t="s">
        <v>349</v>
      </c>
      <c r="C64" s="19">
        <f>'PDC répartie-Dimension gaine'!J55</f>
        <v>2.2959999999999998</v>
      </c>
      <c r="D64" s="10">
        <f>'Bouche GP-GE '!I25/2</f>
        <v>17</v>
      </c>
      <c r="E64" s="10"/>
      <c r="G64" s="18" t="s">
        <v>159</v>
      </c>
      <c r="H64" s="19">
        <f>'PDC répartie-Dimension gaine'!J50</f>
        <v>2.9920000000000004</v>
      </c>
      <c r="I64" s="10">
        <f>'Bouche GP-GE '!I24/2</f>
        <v>16.5</v>
      </c>
      <c r="J64" s="10"/>
      <c r="L64" s="18" t="s">
        <v>157</v>
      </c>
      <c r="M64" s="19">
        <f>'PDC répartie-Dimension gaine'!J49</f>
        <v>2.9920000000000004</v>
      </c>
      <c r="N64" s="10">
        <f>'Bouche GP-GE '!I24/2</f>
        <v>16.5</v>
      </c>
      <c r="O64" s="10"/>
    </row>
    <row r="65" spans="2:32" ht="16.5">
      <c r="B65" s="216" t="s">
        <v>254</v>
      </c>
      <c r="C65" s="217"/>
      <c r="D65" s="218"/>
      <c r="E65" s="118">
        <f>MROUND(SUM(C57:E64),5)</f>
        <v>165</v>
      </c>
      <c r="G65" s="216" t="s">
        <v>254</v>
      </c>
      <c r="H65" s="217"/>
      <c r="I65" s="218"/>
      <c r="J65" s="118">
        <f>MROUND(SUM(H57:J64),5)</f>
        <v>165</v>
      </c>
      <c r="L65" s="216" t="s">
        <v>254</v>
      </c>
      <c r="M65" s="217"/>
      <c r="N65" s="218"/>
      <c r="O65" s="118">
        <f>MROUND(SUM(M57:O64),5)</f>
        <v>170</v>
      </c>
    </row>
    <row r="68" spans="2:32">
      <c r="B68" s="25" t="s">
        <v>255</v>
      </c>
      <c r="C68" s="180" t="s">
        <v>56</v>
      </c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2"/>
    </row>
    <row r="69" spans="2:32">
      <c r="M69" s="11"/>
    </row>
    <row r="70" spans="2:32">
      <c r="M70" s="11"/>
    </row>
    <row r="71" spans="2:32">
      <c r="M71" s="11"/>
    </row>
    <row r="72" spans="2:32" ht="16.5">
      <c r="C72" s="219" t="s">
        <v>256</v>
      </c>
      <c r="D72" s="219"/>
      <c r="E72" s="62">
        <f>MROUND(MAX(E16,J14,O13,T12,Y12,E28,J29,O31,T31,Y31,E53,J51,O49,T46,Y44,E65,J65,O65,T63),5)</f>
        <v>235</v>
      </c>
      <c r="M72" s="11"/>
    </row>
    <row r="73" spans="2:32">
      <c r="C73" s="11"/>
      <c r="D73" s="11"/>
      <c r="E73" s="11"/>
      <c r="F73" s="11"/>
      <c r="M73" s="11"/>
    </row>
    <row r="74" spans="2:32" ht="45">
      <c r="B74" s="184" t="s">
        <v>257</v>
      </c>
      <c r="C74" s="184"/>
      <c r="D74" s="121" t="s">
        <v>258</v>
      </c>
      <c r="E74" s="36" t="s">
        <v>96</v>
      </c>
      <c r="F74" s="119" t="s">
        <v>259</v>
      </c>
      <c r="G74" s="40" t="s">
        <v>107</v>
      </c>
      <c r="H74" s="120" t="s">
        <v>260</v>
      </c>
      <c r="I74" s="18" t="s">
        <v>261</v>
      </c>
      <c r="M74" s="11"/>
      <c r="Z74" t="s">
        <v>523</v>
      </c>
      <c r="AA74" t="s">
        <v>524</v>
      </c>
      <c r="AB74" t="s">
        <v>525</v>
      </c>
      <c r="AC74" t="s">
        <v>526</v>
      </c>
      <c r="AD74" t="s">
        <v>530</v>
      </c>
      <c r="AE74" t="s">
        <v>527</v>
      </c>
      <c r="AF74" t="s">
        <v>528</v>
      </c>
    </row>
    <row r="75" spans="2:32">
      <c r="B75" s="220" t="s">
        <v>330</v>
      </c>
      <c r="C75" s="220"/>
      <c r="D75" s="15">
        <f>MROUND(MAX(E72-E16),5)</f>
        <v>75</v>
      </c>
      <c r="E75" s="15" t="str">
        <f>'PDC répartie-Dimension gaine'!B20</f>
        <v>M-N</v>
      </c>
      <c r="F75" s="44" t="str">
        <f>'PDC répartie-Dimension gaine'!G20</f>
        <v>cercle</v>
      </c>
      <c r="G75" s="15">
        <f>'PDC répartie-Dimension gaine'!M20</f>
        <v>3.439646596314303</v>
      </c>
      <c r="H75" s="15" t="s">
        <v>262</v>
      </c>
      <c r="I75" s="10">
        <v>45</v>
      </c>
      <c r="J75" t="s">
        <v>480</v>
      </c>
      <c r="M75" s="11"/>
    </row>
    <row r="76" spans="2:32">
      <c r="B76" s="220" t="s">
        <v>334</v>
      </c>
      <c r="C76" s="220"/>
      <c r="D76" s="15">
        <f>MROUND(MAX(E72-J14),5)</f>
        <v>100</v>
      </c>
      <c r="E76" s="15" t="str">
        <f>'PDC répartie-Dimension gaine'!B35</f>
        <v>I-K</v>
      </c>
      <c r="F76" s="45" t="str">
        <f>'PDC répartie-Dimension gaine'!G35</f>
        <v>rectangle</v>
      </c>
      <c r="G76" s="15">
        <f>'PDC répartie-Dimension gaine'!M35</f>
        <v>0.75</v>
      </c>
      <c r="H76" s="15" t="s">
        <v>263</v>
      </c>
      <c r="I76" s="10">
        <v>65</v>
      </c>
      <c r="M76" s="11"/>
    </row>
    <row r="77" spans="2:32">
      <c r="B77" s="220" t="s">
        <v>335</v>
      </c>
      <c r="C77" s="220"/>
      <c r="D77" s="15">
        <f>MROUND(MAX(E$72-O13),5)</f>
        <v>85</v>
      </c>
      <c r="E77" s="15" t="str">
        <f>'PDC répartie-Dimension gaine'!B19</f>
        <v>E-G</v>
      </c>
      <c r="F77" s="45" t="str">
        <f>'PDC répartie-Dimension gaine'!G19</f>
        <v>rectangle</v>
      </c>
      <c r="G77" s="15">
        <f>'PDC répartie-Dimension gaine'!M19</f>
        <v>2.6851851851851856</v>
      </c>
      <c r="H77" s="15" t="s">
        <v>263</v>
      </c>
      <c r="I77" s="10">
        <v>44</v>
      </c>
      <c r="M77" s="11"/>
    </row>
    <row r="78" spans="2:32">
      <c r="B78" s="220" t="s">
        <v>346</v>
      </c>
      <c r="C78" s="220"/>
      <c r="D78" s="15">
        <f>MROUND(MAX(E$72-T12),5)</f>
        <v>95</v>
      </c>
      <c r="E78" s="15" t="str">
        <f>'PDC répartie-Dimension gaine'!B31</f>
        <v>S-V</v>
      </c>
      <c r="F78" s="45" t="str">
        <f>'PDC répartie-Dimension gaine'!G31</f>
        <v>rectangle</v>
      </c>
      <c r="G78" s="15">
        <f>'PDC répartie-Dimension gaine'!M31</f>
        <v>3.8194444444444451</v>
      </c>
      <c r="H78" s="15" t="s">
        <v>263</v>
      </c>
      <c r="I78" s="10">
        <v>40</v>
      </c>
      <c r="M78" s="11"/>
      <c r="AF78" t="s">
        <v>529</v>
      </c>
    </row>
    <row r="79" spans="2:32">
      <c r="B79" s="220" t="s">
        <v>336</v>
      </c>
      <c r="C79" s="220"/>
      <c r="D79" s="15">
        <f>MROUND(MAX(E$72-Y12),5)</f>
        <v>95</v>
      </c>
      <c r="E79" s="15" t="str">
        <f>'PDC répartie-Dimension gaine'!B18</f>
        <v>C-D</v>
      </c>
      <c r="F79" s="45" t="str">
        <f>'PDC répartie-Dimension gaine'!G18</f>
        <v>rectangle</v>
      </c>
      <c r="G79" s="15">
        <f>'PDC répartie-Dimension gaine'!M18</f>
        <v>2.6851851851851856</v>
      </c>
      <c r="H79" s="15" t="s">
        <v>263</v>
      </c>
      <c r="I79" s="10">
        <v>47</v>
      </c>
    </row>
    <row r="80" spans="2:32">
      <c r="B80" s="220" t="s">
        <v>347</v>
      </c>
      <c r="C80" s="220"/>
      <c r="D80" s="15">
        <f>MROUND(MAX(E$72-E28),5)</f>
        <v>95</v>
      </c>
      <c r="E80" s="15" t="str">
        <f>'PDC répartie-Dimension gaine'!B24</f>
        <v>P-U</v>
      </c>
      <c r="F80" s="45" t="str">
        <f>'PDC répartie-Dimension gaine'!G24</f>
        <v>rectangle</v>
      </c>
      <c r="G80" s="15">
        <f>'PDC répartie-Dimension gaine'!M24</f>
        <v>3.8194444444444451</v>
      </c>
      <c r="H80" s="15" t="s">
        <v>263</v>
      </c>
      <c r="I80" s="10">
        <v>40</v>
      </c>
    </row>
    <row r="81" spans="1:14">
      <c r="B81" s="220" t="s">
        <v>337</v>
      </c>
      <c r="C81" s="220"/>
      <c r="D81" s="15">
        <f>MROUND(MAX(E$72-J29),5)</f>
        <v>85</v>
      </c>
      <c r="E81" s="15" t="str">
        <f>'PDC répartie-Dimension gaine'!B17</f>
        <v>O-Q</v>
      </c>
      <c r="F81" s="45" t="str">
        <f>'PDC répartie-Dimension gaine'!G17</f>
        <v>rectangle</v>
      </c>
      <c r="G81" s="15">
        <f>'PDC répartie-Dimension gaine'!M17</f>
        <v>2.6620370370370372</v>
      </c>
      <c r="H81" s="15" t="s">
        <v>263</v>
      </c>
      <c r="I81" s="10">
        <v>44</v>
      </c>
    </row>
    <row r="82" spans="1:14" ht="45">
      <c r="B82" s="220" t="s">
        <v>338</v>
      </c>
      <c r="C82" s="220"/>
      <c r="D82" s="15">
        <f>MROUND(MAX(E$72-O31),5)</f>
        <v>80</v>
      </c>
      <c r="E82" s="15" t="str">
        <f>'PDC répartie-Dimension gaine'!B16</f>
        <v>T-T''</v>
      </c>
      <c r="F82" s="45" t="str">
        <f>'PDC répartie-Dimension gaine'!G16</f>
        <v>rectangle</v>
      </c>
      <c r="G82" s="15">
        <f>'PDC répartie-Dimension gaine'!M16</f>
        <v>3.0555555555555554</v>
      </c>
      <c r="H82" s="15" t="s">
        <v>263</v>
      </c>
      <c r="I82" s="10">
        <v>42</v>
      </c>
      <c r="L82" s="121" t="s">
        <v>565</v>
      </c>
      <c r="M82" s="121" t="s">
        <v>564</v>
      </c>
      <c r="N82" s="18" t="s">
        <v>261</v>
      </c>
    </row>
    <row r="83" spans="1:14">
      <c r="B83" s="220" t="s">
        <v>339</v>
      </c>
      <c r="C83" s="220"/>
      <c r="D83" s="15">
        <f>MROUND(MAX(E$72-T31),5)</f>
        <v>5</v>
      </c>
      <c r="E83" s="15" t="str">
        <f>'PDC répartie-Dimension gaine'!B14</f>
        <v>W-Z</v>
      </c>
      <c r="F83" s="15" t="s">
        <v>78</v>
      </c>
      <c r="G83" s="15" t="s">
        <v>78</v>
      </c>
      <c r="H83" s="10" t="s">
        <v>78</v>
      </c>
      <c r="I83" s="10" t="s">
        <v>78</v>
      </c>
      <c r="L83" s="69">
        <f>'Bouche GP-GE '!H10</f>
        <v>20</v>
      </c>
      <c r="M83" s="69">
        <f>L83+D83</f>
        <v>25</v>
      </c>
      <c r="N83" s="69">
        <f>((M83-(1*L83))/((1.5*L83)-(1*L83)))*(45-0)+0</f>
        <v>22.5</v>
      </c>
    </row>
    <row r="84" spans="1:14">
      <c r="B84" s="220" t="s">
        <v>340</v>
      </c>
      <c r="C84" s="220"/>
      <c r="D84" s="15">
        <f>MROUND(MAX(E$72-Y31),5)</f>
        <v>0</v>
      </c>
      <c r="E84" s="15" t="s">
        <v>78</v>
      </c>
      <c r="F84" s="15" t="s">
        <v>78</v>
      </c>
      <c r="G84" s="15" t="s">
        <v>78</v>
      </c>
      <c r="H84" s="10" t="s">
        <v>78</v>
      </c>
      <c r="I84" s="10" t="s">
        <v>78</v>
      </c>
    </row>
    <row r="85" spans="1:14">
      <c r="B85" s="221" t="s">
        <v>344</v>
      </c>
      <c r="C85" s="221"/>
      <c r="D85" s="15">
        <f>MROUND(MAX(E$72-E53),5)</f>
        <v>55</v>
      </c>
      <c r="E85" s="15" t="str">
        <f>'PDC répartie-Dimension gaine'!B36</f>
        <v>W'-X'</v>
      </c>
      <c r="F85" s="45" t="str">
        <f>'PDC répartie-Dimension gaine'!G36</f>
        <v>cercle</v>
      </c>
      <c r="G85" s="15">
        <f>'PDC répartie-Dimension gaine'!M36</f>
        <v>2.8294212105225847</v>
      </c>
      <c r="H85" s="15" t="s">
        <v>262</v>
      </c>
      <c r="I85" s="10">
        <v>48</v>
      </c>
      <c r="J85" t="s">
        <v>362</v>
      </c>
    </row>
    <row r="86" spans="1:14">
      <c r="B86" s="221" t="s">
        <v>352</v>
      </c>
      <c r="C86" s="221"/>
      <c r="D86" s="15">
        <f>MROUND(MAX(E$72-J51),5)</f>
        <v>50</v>
      </c>
      <c r="E86" s="15" t="str">
        <f>'PDC répartie-Dimension gaine'!B38</f>
        <v>T'-U'</v>
      </c>
      <c r="F86" s="45" t="str">
        <f>'PDC répartie-Dimension gaine'!G38</f>
        <v>cercle</v>
      </c>
      <c r="G86" s="15">
        <f>'PDC répartie-Dimension gaine'!M38</f>
        <v>2.6525823848649219</v>
      </c>
      <c r="H86" s="15" t="s">
        <v>262</v>
      </c>
      <c r="I86" s="10">
        <v>48</v>
      </c>
      <c r="J86" t="s">
        <v>361</v>
      </c>
    </row>
    <row r="87" spans="1:14">
      <c r="B87" s="221" t="s">
        <v>350</v>
      </c>
      <c r="C87" s="221"/>
      <c r="D87" s="15">
        <f>MROUND(MAX(E$72-O49),5)</f>
        <v>60</v>
      </c>
      <c r="E87" s="15" t="str">
        <f>'PDC répartie-Dimension gaine'!B41</f>
        <v>Q'-R'</v>
      </c>
      <c r="F87" s="45" t="str">
        <f>'PDC répartie-Dimension gaine'!G41</f>
        <v>cercle</v>
      </c>
      <c r="G87" s="15">
        <f>'PDC répartie-Dimension gaine'!M41</f>
        <v>2.8294212105225847</v>
      </c>
      <c r="H87" s="15" t="s">
        <v>262</v>
      </c>
      <c r="I87" s="10">
        <v>49</v>
      </c>
      <c r="J87" t="s">
        <v>362</v>
      </c>
    </row>
    <row r="88" spans="1:14">
      <c r="B88" s="220" t="s">
        <v>351</v>
      </c>
      <c r="C88" s="220"/>
      <c r="D88" s="15">
        <f>MROUND(MAX(E$72-T46),5)</f>
        <v>85</v>
      </c>
      <c r="E88" s="15" t="str">
        <f>'PDC répartie-Dimension gaine'!B46</f>
        <v>L'-M'</v>
      </c>
      <c r="F88" s="45" t="str">
        <f>'PDC répartie-Dimension gaine'!G46</f>
        <v>cercle</v>
      </c>
      <c r="G88" s="15">
        <f>'PDC répartie-Dimension gaine'!M46</f>
        <v>3.4218245932245916</v>
      </c>
      <c r="H88" s="15" t="s">
        <v>262</v>
      </c>
      <c r="I88" s="10">
        <v>46</v>
      </c>
      <c r="J88" t="s">
        <v>360</v>
      </c>
    </row>
    <row r="89" spans="1:14">
      <c r="B89" s="220" t="s">
        <v>353</v>
      </c>
      <c r="C89" s="220"/>
      <c r="D89" s="15">
        <f>MROUND(MAX(E$72-Y44),5)</f>
        <v>80</v>
      </c>
      <c r="E89" s="15" t="str">
        <f>'PDC répartie-Dimension gaine'!B44</f>
        <v>H'-J'</v>
      </c>
      <c r="F89" s="45" t="str">
        <f>'PDC répartie-Dimension gaine'!G44</f>
        <v>rectangle</v>
      </c>
      <c r="G89" s="15">
        <f>'PDC répartie-Dimension gaine'!M44</f>
        <v>2.2222222222222223</v>
      </c>
      <c r="H89" s="15" t="s">
        <v>263</v>
      </c>
      <c r="I89" s="10">
        <v>48</v>
      </c>
    </row>
    <row r="90" spans="1:14">
      <c r="B90" s="220" t="s">
        <v>354</v>
      </c>
      <c r="C90" s="220"/>
      <c r="D90" s="15">
        <f>MROUND(MAX(E$72-E65),5)</f>
        <v>70</v>
      </c>
      <c r="E90" s="15" t="str">
        <f>'PDC répartie-Dimension gaine'!B55</f>
        <v>Y'-N''</v>
      </c>
      <c r="F90" s="45" t="str">
        <f>'PDC répartie-Dimension gaine'!G55</f>
        <v>rectangle</v>
      </c>
      <c r="G90" s="15">
        <f>'PDC répartie-Dimension gaine'!M55</f>
        <v>3.2777777777777777</v>
      </c>
      <c r="H90" s="15" t="s">
        <v>263</v>
      </c>
      <c r="I90" s="10">
        <v>40</v>
      </c>
    </row>
    <row r="91" spans="1:14">
      <c r="B91" s="220" t="s">
        <v>355</v>
      </c>
      <c r="C91" s="220"/>
      <c r="D91" s="15">
        <f>MROUND(MAX(E$72-J65),5)</f>
        <v>70</v>
      </c>
      <c r="E91" s="15" t="str">
        <f>'PDC répartie-Dimension gaine'!B50</f>
        <v>Y'-Z'</v>
      </c>
      <c r="F91" s="45" t="str">
        <f>'PDC répartie-Dimension gaine'!G50</f>
        <v>rectangle</v>
      </c>
      <c r="G91" s="15">
        <f>'PDC répartie-Dimension gaine'!M50</f>
        <v>3.5111111111111111</v>
      </c>
      <c r="H91" s="15" t="s">
        <v>263</v>
      </c>
      <c r="I91" s="10">
        <v>38</v>
      </c>
    </row>
    <row r="92" spans="1:14">
      <c r="B92" s="220" t="s">
        <v>356</v>
      </c>
      <c r="C92" s="220"/>
      <c r="D92" s="15">
        <f>MROUND(MAX(E$72-O65),5)</f>
        <v>65</v>
      </c>
      <c r="E92" s="15" t="str">
        <f>'PDC répartie-Dimension gaine'!B49</f>
        <v>F'-G'</v>
      </c>
      <c r="F92" s="45" t="str">
        <f>'PDC répartie-Dimension gaine'!G49</f>
        <v>rectangle</v>
      </c>
      <c r="G92" s="15">
        <f>'PDC répartie-Dimension gaine'!M49</f>
        <v>3.5111111111111111</v>
      </c>
      <c r="H92" s="15" t="s">
        <v>263</v>
      </c>
      <c r="I92" s="10">
        <v>37</v>
      </c>
    </row>
    <row r="93" spans="1:14">
      <c r="B93" s="220" t="s">
        <v>357</v>
      </c>
      <c r="C93" s="220"/>
      <c r="D93" s="15">
        <f>MROUND(MAX(E$72-T63),5)</f>
        <v>95</v>
      </c>
      <c r="E93" s="15" t="str">
        <f>'PDC répartie-Dimension gaine'!B52</f>
        <v>B'-C'</v>
      </c>
      <c r="F93" s="45" t="str">
        <f>'PDC répartie-Dimension gaine'!G52</f>
        <v>rectangle</v>
      </c>
      <c r="G93" s="15">
        <f>'PDC répartie-Dimension gaine'!M52</f>
        <v>2.7314814814814818</v>
      </c>
      <c r="H93" s="15" t="s">
        <v>263</v>
      </c>
      <c r="I93" s="10">
        <v>47</v>
      </c>
    </row>
    <row r="94" spans="1:14">
      <c r="G94" s="69"/>
    </row>
    <row r="96" spans="1:14">
      <c r="A96" s="25" t="s">
        <v>250</v>
      </c>
      <c r="B96" s="189" t="s">
        <v>91</v>
      </c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1"/>
    </row>
    <row r="97" spans="2:25">
      <c r="L97" s="11"/>
    </row>
    <row r="98" spans="2:25">
      <c r="B98" s="116" t="s">
        <v>456</v>
      </c>
      <c r="G98" s="116" t="s">
        <v>457</v>
      </c>
      <c r="L98" s="116" t="s">
        <v>458</v>
      </c>
      <c r="Q98" s="116" t="s">
        <v>459</v>
      </c>
      <c r="V98" s="116" t="s">
        <v>460</v>
      </c>
    </row>
    <row r="99" spans="2:25" ht="60">
      <c r="B99" s="18" t="s">
        <v>251</v>
      </c>
      <c r="C99" s="26" t="s">
        <v>104</v>
      </c>
      <c r="D99" s="26" t="s">
        <v>252</v>
      </c>
      <c r="E99" s="26" t="s">
        <v>253</v>
      </c>
      <c r="G99" s="18" t="s">
        <v>251</v>
      </c>
      <c r="H99" s="26" t="s">
        <v>104</v>
      </c>
      <c r="I99" s="26" t="s">
        <v>252</v>
      </c>
      <c r="J99" s="26" t="s">
        <v>253</v>
      </c>
      <c r="L99" s="18" t="s">
        <v>251</v>
      </c>
      <c r="M99" s="26" t="s">
        <v>104</v>
      </c>
      <c r="N99" s="26" t="s">
        <v>252</v>
      </c>
      <c r="O99" s="26" t="s">
        <v>253</v>
      </c>
      <c r="Q99" s="18" t="s">
        <v>251</v>
      </c>
      <c r="R99" s="26" t="s">
        <v>104</v>
      </c>
      <c r="S99" s="26" t="s">
        <v>252</v>
      </c>
      <c r="T99" s="26" t="s">
        <v>253</v>
      </c>
      <c r="V99" s="18" t="s">
        <v>251</v>
      </c>
      <c r="W99" s="26" t="s">
        <v>104</v>
      </c>
      <c r="X99" s="26" t="s">
        <v>252</v>
      </c>
      <c r="Y99" s="26" t="s">
        <v>253</v>
      </c>
    </row>
    <row r="100" spans="2:25">
      <c r="B100" s="18" t="s">
        <v>231</v>
      </c>
      <c r="C100" s="19">
        <f>'PDC répartie-Dimension gaine'!J129</f>
        <v>0.496</v>
      </c>
      <c r="D100" s="10"/>
      <c r="E100" s="19">
        <v>0</v>
      </c>
      <c r="G100" s="18" t="s">
        <v>231</v>
      </c>
      <c r="H100" s="4">
        <f>C100</f>
        <v>0.496</v>
      </c>
      <c r="I100" s="4"/>
      <c r="J100" s="4">
        <f t="shared" ref="I100:J109" si="17">E100</f>
        <v>0</v>
      </c>
      <c r="L100" s="18" t="s">
        <v>231</v>
      </c>
      <c r="M100" s="4">
        <f>C100</f>
        <v>0.496</v>
      </c>
      <c r="N100" s="4"/>
      <c r="O100" s="4">
        <f t="shared" ref="N100:O108" si="18">E100</f>
        <v>0</v>
      </c>
      <c r="Q100" s="18" t="s">
        <v>231</v>
      </c>
      <c r="R100" s="4">
        <f>C100</f>
        <v>0.496</v>
      </c>
      <c r="S100" s="4"/>
      <c r="T100" s="4">
        <f t="shared" ref="S100:T107" si="19">E100</f>
        <v>0</v>
      </c>
      <c r="V100" s="18" t="s">
        <v>231</v>
      </c>
      <c r="W100" s="4">
        <f>'PDC répartie-Dimension gaine'!J129</f>
        <v>0.496</v>
      </c>
      <c r="X100" s="4"/>
      <c r="Y100" s="4">
        <f>E100</f>
        <v>0</v>
      </c>
    </row>
    <row r="101" spans="2:25">
      <c r="B101" s="18" t="s">
        <v>407</v>
      </c>
      <c r="C101" s="19">
        <f>'PDC répartie-Dimension gaine'!J128</f>
        <v>1.8599999999999999</v>
      </c>
      <c r="D101" s="10">
        <f>'PDC singuliere-Clapet'!H76</f>
        <v>9</v>
      </c>
      <c r="E101" s="4">
        <f>'PDC singuliere-Clapet'!G99</f>
        <v>28.879999999999995</v>
      </c>
      <c r="G101" s="18" t="s">
        <v>407</v>
      </c>
      <c r="H101" s="4">
        <f t="shared" ref="H101:H109" si="20">C101</f>
        <v>1.8599999999999999</v>
      </c>
      <c r="I101" s="4">
        <f t="shared" si="17"/>
        <v>9</v>
      </c>
      <c r="J101" s="4">
        <f t="shared" si="17"/>
        <v>28.879999999999995</v>
      </c>
      <c r="L101" s="18" t="s">
        <v>407</v>
      </c>
      <c r="M101" s="4">
        <f t="shared" ref="M101:M108" si="21">C101</f>
        <v>1.8599999999999999</v>
      </c>
      <c r="N101" s="4">
        <f t="shared" si="18"/>
        <v>9</v>
      </c>
      <c r="O101" s="4">
        <f t="shared" si="18"/>
        <v>28.879999999999995</v>
      </c>
      <c r="Q101" s="18" t="s">
        <v>407</v>
      </c>
      <c r="R101" s="4">
        <f t="shared" ref="R101:R107" si="22">C101</f>
        <v>1.8599999999999999</v>
      </c>
      <c r="S101" s="4">
        <f t="shared" si="19"/>
        <v>9</v>
      </c>
      <c r="T101" s="4">
        <f t="shared" si="19"/>
        <v>28.879999999999995</v>
      </c>
      <c r="V101" s="18" t="s">
        <v>407</v>
      </c>
      <c r="W101" s="4">
        <f>'PDC répartie-Dimension gaine'!J128</f>
        <v>1.8599999999999999</v>
      </c>
      <c r="X101" s="4">
        <f>D101</f>
        <v>9</v>
      </c>
      <c r="Y101" s="4">
        <f t="shared" ref="Y101:Y103" si="23">E101</f>
        <v>28.879999999999995</v>
      </c>
    </row>
    <row r="102" spans="2:25">
      <c r="B102" s="18" t="s">
        <v>406</v>
      </c>
      <c r="C102" s="19">
        <f>'PDC répartie-Dimension gaine'!J127</f>
        <v>4.34</v>
      </c>
      <c r="D102" s="10"/>
      <c r="E102" s="4">
        <f>'PDC singuliere-Clapet'!L124</f>
        <v>12.454989711934155</v>
      </c>
      <c r="G102" s="18" t="s">
        <v>406</v>
      </c>
      <c r="H102" s="4">
        <f t="shared" si="20"/>
        <v>4.34</v>
      </c>
      <c r="I102" s="4"/>
      <c r="J102" s="4">
        <f t="shared" si="17"/>
        <v>12.454989711934155</v>
      </c>
      <c r="L102" s="18" t="s">
        <v>406</v>
      </c>
      <c r="M102" s="4">
        <f t="shared" si="21"/>
        <v>4.34</v>
      </c>
      <c r="N102" s="4"/>
      <c r="O102" s="4">
        <f t="shared" si="18"/>
        <v>12.454989711934155</v>
      </c>
      <c r="Q102" s="18" t="s">
        <v>406</v>
      </c>
      <c r="R102" s="4">
        <f t="shared" si="22"/>
        <v>4.34</v>
      </c>
      <c r="S102" s="4"/>
      <c r="T102" s="4">
        <f t="shared" si="19"/>
        <v>12.454989711934155</v>
      </c>
      <c r="V102" s="18" t="s">
        <v>406</v>
      </c>
      <c r="W102" s="4">
        <f>'PDC répartie-Dimension gaine'!J127</f>
        <v>4.34</v>
      </c>
      <c r="X102" s="4"/>
      <c r="Y102" s="4">
        <f t="shared" si="23"/>
        <v>12.454989711934155</v>
      </c>
    </row>
    <row r="103" spans="2:25">
      <c r="B103" s="18" t="s">
        <v>410</v>
      </c>
      <c r="C103" s="19">
        <f>'PDC répartie-Dimension gaine'!J121</f>
        <v>0.36800000000000005</v>
      </c>
      <c r="D103" s="10"/>
      <c r="E103" s="4">
        <f>'PDC singuliere-Clapet'!M109</f>
        <v>1.0923215149176955</v>
      </c>
      <c r="G103" s="18" t="s">
        <v>410</v>
      </c>
      <c r="H103" s="4">
        <f t="shared" si="20"/>
        <v>0.36800000000000005</v>
      </c>
      <c r="I103" s="4"/>
      <c r="J103" s="4">
        <f t="shared" si="17"/>
        <v>1.0923215149176955</v>
      </c>
      <c r="L103" s="18" t="s">
        <v>410</v>
      </c>
      <c r="M103" s="4">
        <f t="shared" si="21"/>
        <v>0.36800000000000005</v>
      </c>
      <c r="N103" s="4"/>
      <c r="O103" s="4">
        <f t="shared" si="18"/>
        <v>1.0923215149176955</v>
      </c>
      <c r="Q103" s="18" t="s">
        <v>410</v>
      </c>
      <c r="R103" s="4">
        <f t="shared" si="22"/>
        <v>0.36800000000000005</v>
      </c>
      <c r="S103" s="4"/>
      <c r="T103" s="4">
        <f t="shared" si="19"/>
        <v>1.0923215149176955</v>
      </c>
      <c r="V103" s="18" t="s">
        <v>410</v>
      </c>
      <c r="W103" s="4">
        <f>'PDC répartie-Dimension gaine'!J121</f>
        <v>0.36800000000000005</v>
      </c>
      <c r="X103" s="4"/>
      <c r="Y103" s="4">
        <f t="shared" si="23"/>
        <v>1.0923215149176955</v>
      </c>
    </row>
    <row r="104" spans="2:25">
      <c r="B104" s="18" t="s">
        <v>413</v>
      </c>
      <c r="C104" s="19">
        <f>'PDC répartie-Dimension gaine'!J88</f>
        <v>2.7474999999999996</v>
      </c>
      <c r="D104" s="10">
        <f>'PDC singuliere-Clapet'!$H$12</f>
        <v>4</v>
      </c>
      <c r="E104" s="4">
        <f>'PDC singuliere-Clapet'!G84</f>
        <v>3.2272112654320986</v>
      </c>
      <c r="G104" s="18" t="s">
        <v>413</v>
      </c>
      <c r="H104" s="4">
        <f t="shared" si="20"/>
        <v>2.7474999999999996</v>
      </c>
      <c r="I104" s="4">
        <f t="shared" si="17"/>
        <v>4</v>
      </c>
      <c r="J104" s="4">
        <f t="shared" si="17"/>
        <v>3.2272112654320986</v>
      </c>
      <c r="L104" s="18" t="s">
        <v>413</v>
      </c>
      <c r="M104" s="4">
        <f t="shared" si="21"/>
        <v>2.7474999999999996</v>
      </c>
      <c r="N104" s="4">
        <f t="shared" si="18"/>
        <v>4</v>
      </c>
      <c r="O104" s="4">
        <f t="shared" si="18"/>
        <v>3.2272112654320986</v>
      </c>
      <c r="Q104" s="18" t="s">
        <v>413</v>
      </c>
      <c r="R104" s="4">
        <f t="shared" si="22"/>
        <v>2.7474999999999996</v>
      </c>
      <c r="S104" s="4">
        <f t="shared" si="19"/>
        <v>4</v>
      </c>
      <c r="T104" s="4">
        <f t="shared" si="19"/>
        <v>3.2272112654320986</v>
      </c>
      <c r="V104" s="18" t="s">
        <v>412</v>
      </c>
      <c r="W104" s="4">
        <f>'PDC répartie-Dimension gaine'!J122</f>
        <v>0.14000000000000001</v>
      </c>
      <c r="X104" s="4"/>
      <c r="Y104" s="4">
        <f>'PDC singuliere-Clapet'!G83</f>
        <v>8.1675347222222214</v>
      </c>
    </row>
    <row r="105" spans="2:25">
      <c r="B105" s="18" t="s">
        <v>418</v>
      </c>
      <c r="C105" s="19">
        <f>'PDC répartie-Dimension gaine'!J89</f>
        <v>0.35</v>
      </c>
      <c r="D105" s="10"/>
      <c r="E105" s="4">
        <f>'PDC singuliere-Clapet'!G85</f>
        <v>3.2272112654320986</v>
      </c>
      <c r="G105" s="18" t="s">
        <v>418</v>
      </c>
      <c r="H105" s="4">
        <f t="shared" si="20"/>
        <v>0.35</v>
      </c>
      <c r="I105" s="4"/>
      <c r="J105" s="4">
        <f t="shared" si="17"/>
        <v>3.2272112654320986</v>
      </c>
      <c r="L105" s="18" t="s">
        <v>418</v>
      </c>
      <c r="M105" s="4">
        <f t="shared" si="21"/>
        <v>0.35</v>
      </c>
      <c r="N105" s="4"/>
      <c r="O105" s="4">
        <f t="shared" si="18"/>
        <v>3.2272112654320986</v>
      </c>
      <c r="Q105" s="18" t="s">
        <v>418</v>
      </c>
      <c r="R105" s="4">
        <f t="shared" si="22"/>
        <v>0.35</v>
      </c>
      <c r="S105" s="4"/>
      <c r="T105" s="4">
        <f t="shared" si="19"/>
        <v>3.2272112654320986</v>
      </c>
      <c r="V105" s="18" t="s">
        <v>417</v>
      </c>
      <c r="W105" s="4">
        <f>'PDC répartie-Dimension gaine'!J123</f>
        <v>0.14000000000000001</v>
      </c>
      <c r="X105" s="4"/>
      <c r="Y105" s="4">
        <f>'PDC singuliere-Clapet'!G82</f>
        <v>8.1675347222222214</v>
      </c>
    </row>
    <row r="106" spans="2:25">
      <c r="B106" s="18" t="s">
        <v>377</v>
      </c>
      <c r="C106" s="19">
        <f>'PDC répartie-Dimension gaine'!J90</f>
        <v>1.89</v>
      </c>
      <c r="D106" s="10"/>
      <c r="E106" s="4">
        <f>'PDC singuliere-Clapet'!G86</f>
        <v>3.2272112654320986</v>
      </c>
      <c r="G106" s="18" t="s">
        <v>377</v>
      </c>
      <c r="H106" s="4">
        <f t="shared" si="20"/>
        <v>1.89</v>
      </c>
      <c r="I106" s="4"/>
      <c r="J106" s="4">
        <f t="shared" si="17"/>
        <v>3.2272112654320986</v>
      </c>
      <c r="L106" s="18" t="s">
        <v>377</v>
      </c>
      <c r="M106" s="4">
        <f t="shared" si="21"/>
        <v>1.89</v>
      </c>
      <c r="N106" s="4"/>
      <c r="O106" s="4">
        <f t="shared" si="18"/>
        <v>3.2272112654320986</v>
      </c>
      <c r="Q106" s="18" t="s">
        <v>377</v>
      </c>
      <c r="R106" s="4">
        <f t="shared" si="22"/>
        <v>1.89</v>
      </c>
      <c r="S106" s="4"/>
      <c r="T106" s="4">
        <f t="shared" si="19"/>
        <v>3.2272112654320986</v>
      </c>
      <c r="V106" s="18" t="s">
        <v>370</v>
      </c>
      <c r="W106" s="4">
        <f>'PDC répartie-Dimension gaine'!J81</f>
        <v>0.39200000000000002</v>
      </c>
      <c r="X106" s="4">
        <f>'PDC singuliere-Clapet'!H72</f>
        <v>2</v>
      </c>
      <c r="Y106" s="4">
        <f>'PDC singuliere-Clapet'!G81</f>
        <v>8.1675347222222214</v>
      </c>
    </row>
    <row r="107" spans="2:25">
      <c r="B107" s="18" t="s">
        <v>378</v>
      </c>
      <c r="C107" s="19">
        <f>'PDC répartie-Dimension gaine'!J91</f>
        <v>0.21</v>
      </c>
      <c r="D107" s="10"/>
      <c r="E107" s="19">
        <f>'PDC singuliere-Clapet'!M106</f>
        <v>7.6626173683449075</v>
      </c>
      <c r="G107" s="18" t="s">
        <v>378</v>
      </c>
      <c r="H107" s="4">
        <f t="shared" si="20"/>
        <v>0.21</v>
      </c>
      <c r="I107" s="4"/>
      <c r="J107" s="4">
        <f t="shared" si="17"/>
        <v>7.6626173683449075</v>
      </c>
      <c r="L107" s="18" t="s">
        <v>378</v>
      </c>
      <c r="M107" s="4">
        <f t="shared" si="21"/>
        <v>0.21</v>
      </c>
      <c r="N107" s="4"/>
      <c r="O107" s="4">
        <f t="shared" si="18"/>
        <v>7.6626173683449075</v>
      </c>
      <c r="Q107" s="18" t="s">
        <v>378</v>
      </c>
      <c r="R107" s="4">
        <f t="shared" si="22"/>
        <v>0.21</v>
      </c>
      <c r="S107" s="4"/>
      <c r="T107" s="4">
        <f t="shared" si="19"/>
        <v>7.6626173683449075</v>
      </c>
      <c r="V107" s="18" t="s">
        <v>371</v>
      </c>
      <c r="W107" s="4">
        <f>'PDC répartie-Dimension gaine'!AD128</f>
        <v>0</v>
      </c>
      <c r="X107" s="4"/>
      <c r="Y107" s="4">
        <f>'PDC singuliere-Clapet'!M105</f>
        <v>5.7832965615354937</v>
      </c>
    </row>
    <row r="108" spans="2:25">
      <c r="B108" s="18" t="s">
        <v>380</v>
      </c>
      <c r="C108" s="19">
        <f>'PDC répartie-Dimension gaine'!J93</f>
        <v>0.15</v>
      </c>
      <c r="D108" s="10"/>
      <c r="E108" s="4">
        <f>'PDC singuliere-Clapet'!M107</f>
        <v>3.2020727237654327</v>
      </c>
      <c r="G108" s="18" t="s">
        <v>380</v>
      </c>
      <c r="H108" s="4">
        <f t="shared" si="20"/>
        <v>0.15</v>
      </c>
      <c r="I108" s="4"/>
      <c r="J108" s="4">
        <f t="shared" si="17"/>
        <v>3.2020727237654327</v>
      </c>
      <c r="L108" s="18" t="s">
        <v>380</v>
      </c>
      <c r="M108" s="4">
        <f t="shared" si="21"/>
        <v>0.15</v>
      </c>
      <c r="N108" s="4"/>
      <c r="O108" s="4">
        <f t="shared" si="18"/>
        <v>3.2020727237654327</v>
      </c>
      <c r="Q108" s="18" t="s">
        <v>379</v>
      </c>
      <c r="R108" s="4">
        <f>'PDC répartie-Dimension gaine'!J92</f>
        <v>0.45</v>
      </c>
      <c r="S108" s="4">
        <f>'Bouche GP-GE '!H50/2</f>
        <v>12.5</v>
      </c>
      <c r="T108" s="4"/>
      <c r="V108" s="18" t="s">
        <v>367</v>
      </c>
      <c r="W108" s="4">
        <f>'PDC répartie-Dimension gaine'!J78</f>
        <v>1.21</v>
      </c>
      <c r="X108" s="4">
        <f>'Bouche GP-GE '!H47</f>
        <v>7.8</v>
      </c>
      <c r="Y108" s="4"/>
    </row>
    <row r="109" spans="2:25" ht="16.5">
      <c r="B109" s="18" t="s">
        <v>381</v>
      </c>
      <c r="C109" s="19">
        <f>'PDC répartie-Dimension gaine'!J94</f>
        <v>7.1999999999999995E-2</v>
      </c>
      <c r="D109" s="10"/>
      <c r="E109" s="4">
        <f>'PDC singuliere-Clapet'!M108</f>
        <v>6.6937012245219414</v>
      </c>
      <c r="G109" s="18" t="s">
        <v>381</v>
      </c>
      <c r="H109" s="4">
        <f t="shared" si="20"/>
        <v>7.1999999999999995E-2</v>
      </c>
      <c r="I109" s="4"/>
      <c r="J109" s="4">
        <f t="shared" si="17"/>
        <v>6.6937012245219414</v>
      </c>
      <c r="L109" s="18" t="s">
        <v>368</v>
      </c>
      <c r="M109" s="4">
        <f>'PDC répartie-Dimension gaine'!J79</f>
        <v>1.21</v>
      </c>
      <c r="N109" s="4">
        <f>'Bouche GP-GE '!H48</f>
        <v>7.8</v>
      </c>
      <c r="O109" s="4"/>
      <c r="Q109" s="216" t="s">
        <v>254</v>
      </c>
      <c r="R109" s="217"/>
      <c r="S109" s="218"/>
      <c r="T109" s="118">
        <f>MROUND(SUM(R100:T108),5)</f>
        <v>100</v>
      </c>
      <c r="V109" s="216" t="s">
        <v>254</v>
      </c>
      <c r="W109" s="217"/>
      <c r="X109" s="218"/>
      <c r="Y109" s="118">
        <f>MROUND(SUM(W100:Y108),5)</f>
        <v>100</v>
      </c>
    </row>
    <row r="110" spans="2:25" ht="16.5">
      <c r="B110" s="46" t="s">
        <v>369</v>
      </c>
      <c r="C110" s="19">
        <f>'PDC répartie-Dimension gaine'!J80</f>
        <v>0.96</v>
      </c>
      <c r="D110" s="4">
        <f>'Bouche GP-GE '!H49</f>
        <v>5.5</v>
      </c>
      <c r="E110" s="10"/>
      <c r="G110" s="46" t="s">
        <v>382</v>
      </c>
      <c r="H110" s="35">
        <f>'PDC répartie-Dimension gaine'!J95</f>
        <v>0.2772</v>
      </c>
      <c r="I110" s="35"/>
      <c r="J110" s="35">
        <f>'PDC singuliere-Clapet'!G87</f>
        <v>0.40499999999999997</v>
      </c>
      <c r="L110" s="216" t="s">
        <v>254</v>
      </c>
      <c r="M110" s="217"/>
      <c r="N110" s="218"/>
      <c r="O110" s="118">
        <f>MROUND(SUM(M100:O109),5)</f>
        <v>95</v>
      </c>
    </row>
    <row r="111" spans="2:25" ht="16.5">
      <c r="B111" s="216" t="s">
        <v>254</v>
      </c>
      <c r="C111" s="217"/>
      <c r="D111" s="218"/>
      <c r="E111" s="118">
        <f>MROUND(SUM(C100:E110),5)</f>
        <v>100</v>
      </c>
      <c r="G111" s="18" t="s">
        <v>383</v>
      </c>
      <c r="H111" s="4">
        <f>'PDC répartie-Dimension gaine'!J96</f>
        <v>0.28000000000000003</v>
      </c>
      <c r="I111" s="4">
        <f>'Bouche GP-GE '!H51+'PDC singuliere-Clapet'!H69</f>
        <v>7</v>
      </c>
      <c r="J111" s="4"/>
    </row>
    <row r="112" spans="2:25" ht="16.5">
      <c r="G112" s="216" t="s">
        <v>254</v>
      </c>
      <c r="H112" s="217"/>
      <c r="I112" s="218"/>
      <c r="J112" s="118">
        <f>MROUND(SUM(H100:J111),5)</f>
        <v>105</v>
      </c>
    </row>
    <row r="114" spans="2:25">
      <c r="B114" s="116" t="s">
        <v>461</v>
      </c>
      <c r="G114" s="116" t="s">
        <v>462</v>
      </c>
      <c r="L114" s="116" t="s">
        <v>463</v>
      </c>
      <c r="Q114" s="116" t="s">
        <v>464</v>
      </c>
      <c r="V114" s="116" t="s">
        <v>465</v>
      </c>
    </row>
    <row r="115" spans="2:25" ht="60">
      <c r="B115" s="18" t="s">
        <v>251</v>
      </c>
      <c r="C115" s="26" t="s">
        <v>104</v>
      </c>
      <c r="D115" s="26" t="s">
        <v>252</v>
      </c>
      <c r="E115" s="26" t="s">
        <v>253</v>
      </c>
      <c r="G115" s="18" t="s">
        <v>251</v>
      </c>
      <c r="H115" s="26" t="s">
        <v>104</v>
      </c>
      <c r="I115" s="26" t="s">
        <v>252</v>
      </c>
      <c r="J115" s="26" t="s">
        <v>253</v>
      </c>
      <c r="L115" s="18" t="s">
        <v>251</v>
      </c>
      <c r="M115" s="26" t="s">
        <v>104</v>
      </c>
      <c r="N115" s="26" t="s">
        <v>252</v>
      </c>
      <c r="O115" s="26" t="s">
        <v>253</v>
      </c>
      <c r="Q115" s="18" t="s">
        <v>251</v>
      </c>
      <c r="R115" s="26" t="s">
        <v>104</v>
      </c>
      <c r="S115" s="26" t="s">
        <v>252</v>
      </c>
      <c r="T115" s="26" t="s">
        <v>253</v>
      </c>
      <c r="V115" s="18" t="s">
        <v>251</v>
      </c>
      <c r="W115" s="26" t="s">
        <v>104</v>
      </c>
      <c r="X115" s="26" t="s">
        <v>252</v>
      </c>
      <c r="Y115" s="26" t="s">
        <v>253</v>
      </c>
    </row>
    <row r="116" spans="2:25">
      <c r="B116" s="18" t="s">
        <v>231</v>
      </c>
      <c r="C116" s="4">
        <f>W100</f>
        <v>0.496</v>
      </c>
      <c r="D116" s="4"/>
      <c r="E116" s="4">
        <f t="shared" ref="D116:E123" si="24">Y100</f>
        <v>0</v>
      </c>
      <c r="G116" s="18" t="s">
        <v>231</v>
      </c>
      <c r="H116" s="4">
        <f>C116</f>
        <v>0.496</v>
      </c>
      <c r="I116" s="4"/>
      <c r="J116" s="4">
        <f t="shared" ref="I116:J124" si="25">E116</f>
        <v>0</v>
      </c>
      <c r="L116" s="18" t="s">
        <v>231</v>
      </c>
      <c r="M116" s="19">
        <f>H116</f>
        <v>0.496</v>
      </c>
      <c r="N116" s="19"/>
      <c r="O116" s="19">
        <f t="shared" ref="N116:O125" si="26">J116</f>
        <v>0</v>
      </c>
      <c r="Q116" s="18" t="s">
        <v>231</v>
      </c>
      <c r="R116" s="19">
        <f>M116</f>
        <v>0.496</v>
      </c>
      <c r="S116" s="19"/>
      <c r="T116" s="19">
        <f t="shared" ref="S116:T126" si="27">O116</f>
        <v>0</v>
      </c>
      <c r="V116" s="18" t="s">
        <v>231</v>
      </c>
      <c r="W116" s="19">
        <f>R116</f>
        <v>0.496</v>
      </c>
      <c r="X116" s="19"/>
      <c r="Y116" s="19">
        <f t="shared" ref="X116:Y127" si="28">T116</f>
        <v>0</v>
      </c>
    </row>
    <row r="117" spans="2:25">
      <c r="B117" s="18" t="s">
        <v>407</v>
      </c>
      <c r="C117" s="4">
        <f t="shared" ref="C117:C123" si="29">W101</f>
        <v>1.8599999999999999</v>
      </c>
      <c r="D117" s="4">
        <f t="shared" si="24"/>
        <v>9</v>
      </c>
      <c r="E117" s="4">
        <f t="shared" si="24"/>
        <v>28.879999999999995</v>
      </c>
      <c r="G117" s="18" t="s">
        <v>407</v>
      </c>
      <c r="H117" s="4">
        <f t="shared" ref="H117:H124" si="30">C117</f>
        <v>1.8599999999999999</v>
      </c>
      <c r="I117" s="4">
        <f t="shared" si="25"/>
        <v>9</v>
      </c>
      <c r="J117" s="4">
        <f t="shared" si="25"/>
        <v>28.879999999999995</v>
      </c>
      <c r="L117" s="18" t="s">
        <v>407</v>
      </c>
      <c r="M117" s="19">
        <f t="shared" ref="M117:M124" si="31">H117</f>
        <v>1.8599999999999999</v>
      </c>
      <c r="N117" s="19">
        <f t="shared" si="26"/>
        <v>9</v>
      </c>
      <c r="O117" s="19">
        <f t="shared" si="26"/>
        <v>28.879999999999995</v>
      </c>
      <c r="Q117" s="18" t="s">
        <v>407</v>
      </c>
      <c r="R117" s="19">
        <f t="shared" ref="R117:R126" si="32">M117</f>
        <v>1.8599999999999999</v>
      </c>
      <c r="S117" s="19">
        <f t="shared" si="27"/>
        <v>9</v>
      </c>
      <c r="T117" s="19">
        <f t="shared" si="27"/>
        <v>28.879999999999995</v>
      </c>
      <c r="V117" s="18" t="s">
        <v>407</v>
      </c>
      <c r="W117" s="19">
        <f t="shared" ref="W117:W127" si="33">R117</f>
        <v>1.8599999999999999</v>
      </c>
      <c r="X117" s="19">
        <f t="shared" si="28"/>
        <v>9</v>
      </c>
      <c r="Y117" s="19">
        <f t="shared" si="28"/>
        <v>28.879999999999995</v>
      </c>
    </row>
    <row r="118" spans="2:25">
      <c r="B118" s="18" t="s">
        <v>406</v>
      </c>
      <c r="C118" s="4">
        <f t="shared" si="29"/>
        <v>4.34</v>
      </c>
      <c r="D118" s="4"/>
      <c r="E118" s="4">
        <f t="shared" si="24"/>
        <v>12.454989711934155</v>
      </c>
      <c r="G118" s="18" t="s">
        <v>406</v>
      </c>
      <c r="H118" s="4">
        <f t="shared" si="30"/>
        <v>4.34</v>
      </c>
      <c r="I118" s="4"/>
      <c r="J118" s="4">
        <f t="shared" si="25"/>
        <v>12.454989711934155</v>
      </c>
      <c r="L118" s="18" t="s">
        <v>406</v>
      </c>
      <c r="M118" s="19">
        <f t="shared" si="31"/>
        <v>4.34</v>
      </c>
      <c r="N118" s="19"/>
      <c r="O118" s="19">
        <f t="shared" si="26"/>
        <v>12.454989711934155</v>
      </c>
      <c r="Q118" s="18" t="s">
        <v>406</v>
      </c>
      <c r="R118" s="19">
        <f t="shared" si="32"/>
        <v>4.34</v>
      </c>
      <c r="S118" s="19"/>
      <c r="T118" s="19">
        <f t="shared" si="27"/>
        <v>12.454989711934155</v>
      </c>
      <c r="V118" s="18" t="s">
        <v>406</v>
      </c>
      <c r="W118" s="19">
        <f t="shared" si="33"/>
        <v>4.34</v>
      </c>
      <c r="X118" s="19"/>
      <c r="Y118" s="19">
        <f t="shared" si="28"/>
        <v>12.454989711934155</v>
      </c>
    </row>
    <row r="119" spans="2:25">
      <c r="B119" s="18" t="s">
        <v>410</v>
      </c>
      <c r="C119" s="4">
        <f t="shared" si="29"/>
        <v>0.36800000000000005</v>
      </c>
      <c r="D119" s="4"/>
      <c r="E119" s="4">
        <f t="shared" si="24"/>
        <v>1.0923215149176955</v>
      </c>
      <c r="G119" s="18" t="s">
        <v>410</v>
      </c>
      <c r="H119" s="4">
        <f t="shared" si="30"/>
        <v>0.36800000000000005</v>
      </c>
      <c r="I119" s="4"/>
      <c r="J119" s="4">
        <f t="shared" si="25"/>
        <v>1.0923215149176955</v>
      </c>
      <c r="L119" s="18" t="s">
        <v>410</v>
      </c>
      <c r="M119" s="19">
        <f t="shared" si="31"/>
        <v>0.36800000000000005</v>
      </c>
      <c r="N119" s="19"/>
      <c r="O119" s="19">
        <f t="shared" si="26"/>
        <v>1.0923215149176955</v>
      </c>
      <c r="Q119" s="18" t="s">
        <v>410</v>
      </c>
      <c r="R119" s="19">
        <f t="shared" si="32"/>
        <v>0.36800000000000005</v>
      </c>
      <c r="S119" s="19"/>
      <c r="T119" s="19">
        <f t="shared" si="27"/>
        <v>1.0923215149176955</v>
      </c>
      <c r="V119" s="18" t="s">
        <v>410</v>
      </c>
      <c r="W119" s="19">
        <f t="shared" si="33"/>
        <v>0.36800000000000005</v>
      </c>
      <c r="X119" s="19"/>
      <c r="Y119" s="19">
        <f t="shared" si="28"/>
        <v>1.0923215149176955</v>
      </c>
    </row>
    <row r="120" spans="2:25">
      <c r="B120" s="18" t="s">
        <v>412</v>
      </c>
      <c r="C120" s="4">
        <f t="shared" si="29"/>
        <v>0.14000000000000001</v>
      </c>
      <c r="D120" s="4"/>
      <c r="E120" s="4">
        <f t="shared" si="24"/>
        <v>8.1675347222222214</v>
      </c>
      <c r="G120" s="18" t="s">
        <v>412</v>
      </c>
      <c r="H120" s="4">
        <f t="shared" si="30"/>
        <v>0.14000000000000001</v>
      </c>
      <c r="I120" s="4"/>
      <c r="J120" s="4">
        <f t="shared" si="25"/>
        <v>8.1675347222222214</v>
      </c>
      <c r="L120" s="18" t="s">
        <v>412</v>
      </c>
      <c r="M120" s="19">
        <f t="shared" si="31"/>
        <v>0.14000000000000001</v>
      </c>
      <c r="N120" s="19"/>
      <c r="O120" s="19">
        <f t="shared" si="26"/>
        <v>8.1675347222222214</v>
      </c>
      <c r="Q120" s="18" t="s">
        <v>412</v>
      </c>
      <c r="R120" s="19">
        <f t="shared" si="32"/>
        <v>0.14000000000000001</v>
      </c>
      <c r="S120" s="19"/>
      <c r="T120" s="19">
        <f t="shared" si="27"/>
        <v>8.1675347222222214</v>
      </c>
      <c r="V120" s="18" t="s">
        <v>412</v>
      </c>
      <c r="W120" s="19">
        <f t="shared" si="33"/>
        <v>0.14000000000000001</v>
      </c>
      <c r="X120" s="19"/>
      <c r="Y120" s="19">
        <f t="shared" si="28"/>
        <v>8.1675347222222214</v>
      </c>
    </row>
    <row r="121" spans="2:25">
      <c r="B121" s="18" t="s">
        <v>417</v>
      </c>
      <c r="C121" s="4">
        <f t="shared" si="29"/>
        <v>0.14000000000000001</v>
      </c>
      <c r="D121" s="4"/>
      <c r="E121" s="4">
        <f t="shared" si="24"/>
        <v>8.1675347222222214</v>
      </c>
      <c r="G121" s="18" t="s">
        <v>417</v>
      </c>
      <c r="H121" s="4">
        <f t="shared" si="30"/>
        <v>0.14000000000000001</v>
      </c>
      <c r="I121" s="4"/>
      <c r="J121" s="4">
        <f t="shared" si="25"/>
        <v>8.1675347222222214</v>
      </c>
      <c r="L121" s="18" t="s">
        <v>417</v>
      </c>
      <c r="M121" s="19">
        <f t="shared" si="31"/>
        <v>0.14000000000000001</v>
      </c>
      <c r="N121" s="19"/>
      <c r="O121" s="19">
        <f t="shared" si="26"/>
        <v>8.1675347222222214</v>
      </c>
      <c r="Q121" s="18" t="s">
        <v>417</v>
      </c>
      <c r="R121" s="19">
        <f t="shared" si="32"/>
        <v>0.14000000000000001</v>
      </c>
      <c r="S121" s="19"/>
      <c r="T121" s="19">
        <f t="shared" si="27"/>
        <v>8.1675347222222214</v>
      </c>
      <c r="V121" s="18" t="s">
        <v>417</v>
      </c>
      <c r="W121" s="19">
        <f t="shared" si="33"/>
        <v>0.14000000000000001</v>
      </c>
      <c r="X121" s="19"/>
      <c r="Y121" s="19">
        <f t="shared" si="28"/>
        <v>8.1675347222222214</v>
      </c>
    </row>
    <row r="122" spans="2:25">
      <c r="B122" s="18" t="s">
        <v>370</v>
      </c>
      <c r="C122" s="4">
        <f t="shared" si="29"/>
        <v>0.39200000000000002</v>
      </c>
      <c r="D122" s="4">
        <f t="shared" si="24"/>
        <v>2</v>
      </c>
      <c r="E122" s="4">
        <f t="shared" si="24"/>
        <v>8.1675347222222214</v>
      </c>
      <c r="G122" s="18" t="s">
        <v>370</v>
      </c>
      <c r="H122" s="4">
        <f t="shared" si="30"/>
        <v>0.39200000000000002</v>
      </c>
      <c r="I122" s="4">
        <f t="shared" si="25"/>
        <v>2</v>
      </c>
      <c r="J122" s="4">
        <f t="shared" si="25"/>
        <v>8.1675347222222214</v>
      </c>
      <c r="L122" s="18" t="s">
        <v>370</v>
      </c>
      <c r="M122" s="19">
        <f t="shared" si="31"/>
        <v>0.39200000000000002</v>
      </c>
      <c r="N122" s="19">
        <f t="shared" si="26"/>
        <v>2</v>
      </c>
      <c r="O122" s="19">
        <f t="shared" si="26"/>
        <v>8.1675347222222214</v>
      </c>
      <c r="Q122" s="18" t="s">
        <v>370</v>
      </c>
      <c r="R122" s="19">
        <f t="shared" si="32"/>
        <v>0.39200000000000002</v>
      </c>
      <c r="S122" s="19">
        <f t="shared" si="27"/>
        <v>2</v>
      </c>
      <c r="T122" s="19">
        <f t="shared" si="27"/>
        <v>8.1675347222222214</v>
      </c>
      <c r="V122" s="18" t="s">
        <v>370</v>
      </c>
      <c r="W122" s="19">
        <f t="shared" si="33"/>
        <v>0.39200000000000002</v>
      </c>
      <c r="X122" s="19">
        <f t="shared" si="28"/>
        <v>2</v>
      </c>
      <c r="Y122" s="19">
        <f t="shared" si="28"/>
        <v>8.1675347222222214</v>
      </c>
    </row>
    <row r="123" spans="2:25">
      <c r="B123" s="18" t="s">
        <v>371</v>
      </c>
      <c r="C123" s="4">
        <f t="shared" si="29"/>
        <v>0</v>
      </c>
      <c r="D123" s="4"/>
      <c r="E123" s="4">
        <f t="shared" si="24"/>
        <v>5.7832965615354937</v>
      </c>
      <c r="G123" s="18" t="s">
        <v>371</v>
      </c>
      <c r="H123" s="4">
        <f t="shared" si="30"/>
        <v>0</v>
      </c>
      <c r="I123" s="4"/>
      <c r="J123" s="4">
        <f t="shared" si="25"/>
        <v>5.7832965615354937</v>
      </c>
      <c r="L123" s="18" t="s">
        <v>371</v>
      </c>
      <c r="M123" s="19">
        <f t="shared" si="31"/>
        <v>0</v>
      </c>
      <c r="N123" s="19"/>
      <c r="O123" s="19">
        <f t="shared" si="26"/>
        <v>5.7832965615354937</v>
      </c>
      <c r="Q123" s="18" t="s">
        <v>371</v>
      </c>
      <c r="R123" s="19">
        <f t="shared" si="32"/>
        <v>0</v>
      </c>
      <c r="S123" s="19"/>
      <c r="T123" s="19">
        <f t="shared" si="27"/>
        <v>5.7832965615354937</v>
      </c>
      <c r="V123" s="18" t="s">
        <v>371</v>
      </c>
      <c r="W123" s="19">
        <f t="shared" si="33"/>
        <v>0</v>
      </c>
      <c r="X123" s="19"/>
      <c r="Y123" s="19">
        <f t="shared" si="28"/>
        <v>5.7832965615354937</v>
      </c>
    </row>
    <row r="124" spans="2:25">
      <c r="B124" s="18" t="s">
        <v>372</v>
      </c>
      <c r="C124" s="4">
        <f>'PDC répartie-Dimension gaine'!J83</f>
        <v>0.38500000000000001</v>
      </c>
      <c r="D124" s="4"/>
      <c r="E124" s="4">
        <f>'PDC singuliere-Clapet'!M104</f>
        <v>7.1328776041666684</v>
      </c>
      <c r="G124" s="18" t="s">
        <v>372</v>
      </c>
      <c r="H124" s="4">
        <f t="shared" si="30"/>
        <v>0.38500000000000001</v>
      </c>
      <c r="I124" s="4"/>
      <c r="J124" s="4">
        <f t="shared" si="25"/>
        <v>7.1328776041666684</v>
      </c>
      <c r="L124" s="18" t="s">
        <v>372</v>
      </c>
      <c r="M124" s="19">
        <f t="shared" si="31"/>
        <v>0.38500000000000001</v>
      </c>
      <c r="N124" s="19"/>
      <c r="O124" s="19">
        <f t="shared" si="26"/>
        <v>7.1328776041666684</v>
      </c>
      <c r="Q124" s="18" t="s">
        <v>372</v>
      </c>
      <c r="R124" s="19">
        <f t="shared" si="32"/>
        <v>0.38500000000000001</v>
      </c>
      <c r="S124" s="19"/>
      <c r="T124" s="19">
        <f t="shared" si="27"/>
        <v>7.1328776041666684</v>
      </c>
      <c r="V124" s="18" t="s">
        <v>372</v>
      </c>
      <c r="W124" s="19">
        <f t="shared" si="33"/>
        <v>0.38500000000000001</v>
      </c>
      <c r="X124" s="19"/>
      <c r="Y124" s="19">
        <f t="shared" si="28"/>
        <v>7.1328776041666684</v>
      </c>
    </row>
    <row r="125" spans="2:25">
      <c r="B125" s="46" t="s">
        <v>366</v>
      </c>
      <c r="C125" s="4">
        <f>'PDC répartie-Dimension gaine'!J77</f>
        <v>1.21</v>
      </c>
      <c r="D125" s="4">
        <f>'Bouche GP-GE '!H46</f>
        <v>7.75</v>
      </c>
      <c r="E125" s="4"/>
      <c r="G125" s="46" t="s">
        <v>373</v>
      </c>
      <c r="H125" s="35">
        <f>'PDC répartie-Dimension gaine'!J84</f>
        <v>1.292</v>
      </c>
      <c r="I125" s="35"/>
      <c r="J125" s="4">
        <f>'PDC singuliere-Clapet'!M103</f>
        <v>12.093224074074076</v>
      </c>
      <c r="L125" s="46" t="s">
        <v>373</v>
      </c>
      <c r="M125" s="19">
        <f>H125</f>
        <v>1.292</v>
      </c>
      <c r="N125" s="19"/>
      <c r="O125" s="19">
        <f t="shared" si="26"/>
        <v>12.093224074074076</v>
      </c>
      <c r="Q125" s="46" t="s">
        <v>373</v>
      </c>
      <c r="R125" s="19">
        <f t="shared" si="32"/>
        <v>1.292</v>
      </c>
      <c r="S125" s="19"/>
      <c r="T125" s="19">
        <f t="shared" si="27"/>
        <v>12.093224074074076</v>
      </c>
      <c r="V125" s="46" t="s">
        <v>373</v>
      </c>
      <c r="W125" s="19">
        <f t="shared" si="33"/>
        <v>1.292</v>
      </c>
      <c r="X125" s="19"/>
      <c r="Y125" s="19">
        <f t="shared" si="28"/>
        <v>12.093224074074076</v>
      </c>
    </row>
    <row r="126" spans="2:25" ht="16.5">
      <c r="B126" s="123" t="s">
        <v>254</v>
      </c>
      <c r="C126" s="124"/>
      <c r="D126" s="125"/>
      <c r="E126" s="118">
        <f>MROUND(SUM(C116:E125),5)</f>
        <v>110</v>
      </c>
      <c r="G126" s="18" t="s">
        <v>374</v>
      </c>
      <c r="H126" s="4">
        <f>'PDC répartie-Dimension gaine'!J85</f>
        <v>0.45</v>
      </c>
      <c r="I126" s="4">
        <f>'Bouche GP-GE '!H50/2</f>
        <v>12.5</v>
      </c>
      <c r="J126" s="4"/>
      <c r="L126" s="18" t="s">
        <v>375</v>
      </c>
      <c r="M126" s="19">
        <f>'PDC répartie-Dimension gaine'!J86</f>
        <v>0.69</v>
      </c>
      <c r="N126" s="10"/>
      <c r="O126" s="4">
        <f>'PDC singuliere-Clapet'!L122</f>
        <v>16.521955375514402</v>
      </c>
      <c r="Q126" s="18" t="s">
        <v>375</v>
      </c>
      <c r="R126" s="19">
        <f t="shared" si="32"/>
        <v>0.69</v>
      </c>
      <c r="S126" s="19"/>
      <c r="T126" s="19">
        <f t="shared" si="27"/>
        <v>16.521955375514402</v>
      </c>
      <c r="V126" s="18" t="s">
        <v>375</v>
      </c>
      <c r="W126" s="19">
        <f t="shared" si="33"/>
        <v>0.69</v>
      </c>
      <c r="X126" s="19"/>
      <c r="Y126" s="19">
        <f t="shared" si="28"/>
        <v>16.521955375514402</v>
      </c>
    </row>
    <row r="127" spans="2:25" ht="16.5">
      <c r="G127" s="123" t="s">
        <v>254</v>
      </c>
      <c r="H127" s="124"/>
      <c r="I127" s="125"/>
      <c r="J127" s="118">
        <f>MROUND(SUM(H116:J126),5)</f>
        <v>125</v>
      </c>
      <c r="L127" s="18" t="s">
        <v>365</v>
      </c>
      <c r="M127" s="19">
        <f>'PDC répartie-Dimension gaine'!J76</f>
        <v>1.3199999999999998</v>
      </c>
      <c r="N127" s="4">
        <f>'Bouche GP-GE '!H45</f>
        <v>4.25</v>
      </c>
      <c r="O127" s="4"/>
      <c r="Q127" s="18" t="s">
        <v>376</v>
      </c>
      <c r="R127" s="19">
        <f>'PDC répartie-Dimension gaine'!J87</f>
        <v>0.8</v>
      </c>
      <c r="S127" s="10"/>
      <c r="T127" s="4">
        <f>'PDC singuliere-Clapet'!M102</f>
        <v>-1.1624166609277982</v>
      </c>
      <c r="V127" s="18" t="s">
        <v>376</v>
      </c>
      <c r="W127" s="19">
        <f t="shared" si="33"/>
        <v>0.8</v>
      </c>
      <c r="X127" s="19"/>
      <c r="Y127" s="19">
        <f t="shared" si="28"/>
        <v>-1.1624166609277982</v>
      </c>
    </row>
    <row r="128" spans="2:25" ht="16.5">
      <c r="L128" s="123" t="s">
        <v>254</v>
      </c>
      <c r="M128" s="124"/>
      <c r="N128" s="125"/>
      <c r="O128" s="118">
        <f>MROUND(SUM(M116:O127),5)</f>
        <v>135</v>
      </c>
      <c r="Q128" s="18" t="s">
        <v>363</v>
      </c>
      <c r="R128" s="19">
        <f>'PDC répartie-Dimension gaine'!J74</f>
        <v>2.97</v>
      </c>
      <c r="S128" s="4">
        <f>'PDC singuliere-Clapet'!H68+'Bouche GP-GE '!H42</f>
        <v>12</v>
      </c>
      <c r="T128" s="4"/>
      <c r="V128" s="18" t="s">
        <v>364</v>
      </c>
      <c r="W128" s="19">
        <f>'PDC répartie-Dimension gaine'!J75</f>
        <v>4.0750000000000002</v>
      </c>
      <c r="X128" s="4">
        <f>'Bouche GP-GE '!H43</f>
        <v>6.5</v>
      </c>
      <c r="Y128" s="4"/>
    </row>
    <row r="129" spans="2:25" ht="16.5">
      <c r="Q129" s="123" t="s">
        <v>254</v>
      </c>
      <c r="R129" s="124"/>
      <c r="S129" s="125"/>
      <c r="T129" s="118">
        <f>MROUND(SUM(R116:T128),5)</f>
        <v>145</v>
      </c>
      <c r="V129" s="123" t="s">
        <v>254</v>
      </c>
      <c r="W129" s="124"/>
      <c r="X129" s="125"/>
      <c r="Y129" s="118">
        <f>MROUND(SUM(W116:Y128),5)</f>
        <v>140</v>
      </c>
    </row>
    <row r="131" spans="2:25">
      <c r="B131" s="116" t="s">
        <v>466</v>
      </c>
      <c r="G131" s="116" t="s">
        <v>468</v>
      </c>
      <c r="L131" s="116" t="s">
        <v>469</v>
      </c>
      <c r="Q131" s="116" t="s">
        <v>470</v>
      </c>
      <c r="V131" s="116" t="s">
        <v>471</v>
      </c>
    </row>
    <row r="132" spans="2:25" ht="60">
      <c r="B132" s="18" t="s">
        <v>251</v>
      </c>
      <c r="C132" s="26" t="s">
        <v>104</v>
      </c>
      <c r="D132" s="26" t="s">
        <v>252</v>
      </c>
      <c r="E132" s="26" t="s">
        <v>253</v>
      </c>
      <c r="G132" s="18" t="s">
        <v>251</v>
      </c>
      <c r="H132" s="26" t="s">
        <v>104</v>
      </c>
      <c r="I132" s="26" t="s">
        <v>252</v>
      </c>
      <c r="J132" s="26" t="s">
        <v>253</v>
      </c>
      <c r="L132" s="18" t="s">
        <v>251</v>
      </c>
      <c r="M132" s="26" t="s">
        <v>104</v>
      </c>
      <c r="N132" s="26" t="s">
        <v>252</v>
      </c>
      <c r="O132" s="26" t="s">
        <v>253</v>
      </c>
      <c r="Q132" s="18" t="s">
        <v>251</v>
      </c>
      <c r="R132" s="26" t="s">
        <v>104</v>
      </c>
      <c r="S132" s="26" t="s">
        <v>252</v>
      </c>
      <c r="T132" s="26" t="s">
        <v>253</v>
      </c>
      <c r="V132" s="18" t="s">
        <v>251</v>
      </c>
      <c r="W132" s="26" t="s">
        <v>104</v>
      </c>
      <c r="X132" s="26" t="s">
        <v>252</v>
      </c>
      <c r="Y132" s="26" t="s">
        <v>253</v>
      </c>
    </row>
    <row r="133" spans="2:25">
      <c r="B133" s="18" t="s">
        <v>231</v>
      </c>
      <c r="C133" s="19">
        <f>'PDC répartie-Dimension gaine'!J129</f>
        <v>0.496</v>
      </c>
      <c r="D133" s="10"/>
      <c r="E133" s="19">
        <f>E100</f>
        <v>0</v>
      </c>
      <c r="G133" s="18" t="s">
        <v>231</v>
      </c>
      <c r="H133" s="19">
        <f>C133</f>
        <v>0.496</v>
      </c>
      <c r="I133" s="19"/>
      <c r="J133" s="19">
        <f t="shared" ref="I133:J145" si="34">E133</f>
        <v>0</v>
      </c>
      <c r="L133" s="18" t="s">
        <v>231</v>
      </c>
      <c r="M133" s="19">
        <f>C133</f>
        <v>0.496</v>
      </c>
      <c r="N133" s="19"/>
      <c r="O133" s="19">
        <f t="shared" ref="N133:O144" si="35">E133</f>
        <v>0</v>
      </c>
      <c r="Q133" s="18" t="s">
        <v>231</v>
      </c>
      <c r="R133" s="19">
        <f>C133</f>
        <v>0.496</v>
      </c>
      <c r="S133" s="19"/>
      <c r="T133" s="19">
        <f t="shared" ref="S133:T142" si="36">E133</f>
        <v>0</v>
      </c>
      <c r="V133" s="18" t="s">
        <v>231</v>
      </c>
      <c r="W133" s="19">
        <f>C133</f>
        <v>0.496</v>
      </c>
      <c r="X133" s="19"/>
      <c r="Y133" s="19">
        <f t="shared" ref="X133:Y141" si="37">E133</f>
        <v>0</v>
      </c>
    </row>
    <row r="134" spans="2:25">
      <c r="B134" s="18" t="s">
        <v>407</v>
      </c>
      <c r="C134" s="19">
        <f>'PDC répartie-Dimension gaine'!J128</f>
        <v>1.8599999999999999</v>
      </c>
      <c r="D134" s="10">
        <f>D101</f>
        <v>9</v>
      </c>
      <c r="E134" s="19">
        <f t="shared" ref="E134:E135" si="38">E101</f>
        <v>28.879999999999995</v>
      </c>
      <c r="G134" s="18" t="s">
        <v>407</v>
      </c>
      <c r="H134" s="19">
        <f t="shared" ref="H134:H145" si="39">C134</f>
        <v>1.8599999999999999</v>
      </c>
      <c r="I134" s="19">
        <f t="shared" si="34"/>
        <v>9</v>
      </c>
      <c r="J134" s="19">
        <f t="shared" si="34"/>
        <v>28.879999999999995</v>
      </c>
      <c r="L134" s="18" t="s">
        <v>407</v>
      </c>
      <c r="M134" s="19">
        <f t="shared" ref="M134:M144" si="40">C134</f>
        <v>1.8599999999999999</v>
      </c>
      <c r="N134" s="19">
        <f t="shared" si="35"/>
        <v>9</v>
      </c>
      <c r="O134" s="19">
        <f t="shared" si="35"/>
        <v>28.879999999999995</v>
      </c>
      <c r="Q134" s="18" t="s">
        <v>407</v>
      </c>
      <c r="R134" s="19">
        <f t="shared" ref="R134:R142" si="41">C134</f>
        <v>1.8599999999999999</v>
      </c>
      <c r="S134" s="19">
        <f t="shared" si="36"/>
        <v>9</v>
      </c>
      <c r="T134" s="19">
        <f t="shared" si="36"/>
        <v>28.879999999999995</v>
      </c>
      <c r="V134" s="18" t="s">
        <v>407</v>
      </c>
      <c r="W134" s="19">
        <f t="shared" ref="W134:W141" si="42">C134</f>
        <v>1.8599999999999999</v>
      </c>
      <c r="X134" s="19">
        <f t="shared" si="37"/>
        <v>9</v>
      </c>
      <c r="Y134" s="19">
        <f t="shared" si="37"/>
        <v>28.879999999999995</v>
      </c>
    </row>
    <row r="135" spans="2:25">
      <c r="B135" s="18" t="s">
        <v>406</v>
      </c>
      <c r="C135" s="19">
        <f>'PDC répartie-Dimension gaine'!J127</f>
        <v>4.34</v>
      </c>
      <c r="D135" s="10"/>
      <c r="E135" s="19">
        <f t="shared" si="38"/>
        <v>12.454989711934155</v>
      </c>
      <c r="G135" s="18" t="s">
        <v>406</v>
      </c>
      <c r="H135" s="19">
        <f t="shared" si="39"/>
        <v>4.34</v>
      </c>
      <c r="I135" s="19"/>
      <c r="J135" s="19">
        <f t="shared" si="34"/>
        <v>12.454989711934155</v>
      </c>
      <c r="L135" s="18" t="s">
        <v>406</v>
      </c>
      <c r="M135" s="19">
        <f t="shared" si="40"/>
        <v>4.34</v>
      </c>
      <c r="N135" s="19"/>
      <c r="O135" s="19">
        <f t="shared" si="35"/>
        <v>12.454989711934155</v>
      </c>
      <c r="Q135" s="18" t="s">
        <v>406</v>
      </c>
      <c r="R135" s="19">
        <f t="shared" si="41"/>
        <v>4.34</v>
      </c>
      <c r="S135" s="19"/>
      <c r="T135" s="19">
        <f t="shared" si="36"/>
        <v>12.454989711934155</v>
      </c>
      <c r="V135" s="18" t="s">
        <v>406</v>
      </c>
      <c r="W135" s="19">
        <f t="shared" si="42"/>
        <v>4.34</v>
      </c>
      <c r="X135" s="19"/>
      <c r="Y135" s="19">
        <f t="shared" si="37"/>
        <v>12.454989711934155</v>
      </c>
    </row>
    <row r="136" spans="2:25">
      <c r="B136" s="18" t="s">
        <v>411</v>
      </c>
      <c r="C136" s="19">
        <f>'PDC répartie-Dimension gaine'!J124</f>
        <v>0.39200000000000002</v>
      </c>
      <c r="D136" s="10"/>
      <c r="E136" s="4">
        <f>'PDC singuliere-Clapet'!M116</f>
        <v>0.7032667824074077</v>
      </c>
      <c r="G136" s="18" t="s">
        <v>411</v>
      </c>
      <c r="H136" s="19">
        <f t="shared" si="39"/>
        <v>0.39200000000000002</v>
      </c>
      <c r="I136" s="19"/>
      <c r="J136" s="19">
        <f t="shared" si="34"/>
        <v>0.7032667824074077</v>
      </c>
      <c r="L136" s="18" t="s">
        <v>411</v>
      </c>
      <c r="M136" s="19">
        <f t="shared" si="40"/>
        <v>0.39200000000000002</v>
      </c>
      <c r="N136" s="19"/>
      <c r="O136" s="19">
        <f t="shared" si="35"/>
        <v>0.7032667824074077</v>
      </c>
      <c r="Q136" s="18" t="s">
        <v>411</v>
      </c>
      <c r="R136" s="19">
        <f t="shared" si="41"/>
        <v>0.39200000000000002</v>
      </c>
      <c r="S136" s="19"/>
      <c r="T136" s="19">
        <f t="shared" si="36"/>
        <v>0.7032667824074077</v>
      </c>
      <c r="V136" s="18" t="s">
        <v>411</v>
      </c>
      <c r="W136" s="19">
        <f t="shared" si="42"/>
        <v>0.39200000000000002</v>
      </c>
      <c r="X136" s="19"/>
      <c r="Y136" s="19">
        <f t="shared" si="37"/>
        <v>0.7032667824074077</v>
      </c>
    </row>
    <row r="137" spans="2:25">
      <c r="B137" s="18" t="s">
        <v>416</v>
      </c>
      <c r="C137" s="19">
        <f>'PDC répartie-Dimension gaine'!J115</f>
        <v>1.32</v>
      </c>
      <c r="D137" s="10">
        <f>'PDC singuliere-Clapet'!H75</f>
        <v>3</v>
      </c>
      <c r="E137" s="4">
        <f>'PDC singuliere-Clapet'!G92</f>
        <v>9.066701388888891</v>
      </c>
      <c r="G137" s="18" t="s">
        <v>416</v>
      </c>
      <c r="H137" s="19">
        <f t="shared" si="39"/>
        <v>1.32</v>
      </c>
      <c r="I137" s="19">
        <f t="shared" si="34"/>
        <v>3</v>
      </c>
      <c r="J137" s="19">
        <f t="shared" si="34"/>
        <v>9.066701388888891</v>
      </c>
      <c r="L137" s="18" t="s">
        <v>416</v>
      </c>
      <c r="M137" s="19">
        <f t="shared" si="40"/>
        <v>1.32</v>
      </c>
      <c r="N137" s="19">
        <f t="shared" si="35"/>
        <v>3</v>
      </c>
      <c r="O137" s="19">
        <f t="shared" si="35"/>
        <v>9.066701388888891</v>
      </c>
      <c r="Q137" s="18" t="s">
        <v>416</v>
      </c>
      <c r="R137" s="19">
        <f t="shared" si="41"/>
        <v>1.32</v>
      </c>
      <c r="S137" s="19">
        <f t="shared" si="36"/>
        <v>3</v>
      </c>
      <c r="T137" s="19">
        <f t="shared" si="36"/>
        <v>9.066701388888891</v>
      </c>
      <c r="V137" s="18" t="s">
        <v>416</v>
      </c>
      <c r="W137" s="19">
        <f t="shared" si="42"/>
        <v>1.32</v>
      </c>
      <c r="X137" s="19">
        <f t="shared" si="37"/>
        <v>3</v>
      </c>
      <c r="Y137" s="19">
        <f t="shared" si="37"/>
        <v>9.066701388888891</v>
      </c>
    </row>
    <row r="138" spans="2:25">
      <c r="B138" s="18" t="s">
        <v>419</v>
      </c>
      <c r="C138" s="19">
        <f>'PDC répartie-Dimension gaine'!J116</f>
        <v>0.2</v>
      </c>
      <c r="D138" s="10"/>
      <c r="E138" s="4">
        <f>'PDC singuliere-Clapet'!G93</f>
        <v>9.066701388888891</v>
      </c>
      <c r="G138" s="18" t="s">
        <v>419</v>
      </c>
      <c r="H138" s="19">
        <f t="shared" si="39"/>
        <v>0.2</v>
      </c>
      <c r="I138" s="19"/>
      <c r="J138" s="19">
        <f t="shared" si="34"/>
        <v>9.066701388888891</v>
      </c>
      <c r="L138" s="18" t="s">
        <v>419</v>
      </c>
      <c r="M138" s="19">
        <f t="shared" si="40"/>
        <v>0.2</v>
      </c>
      <c r="N138" s="19"/>
      <c r="O138" s="19">
        <f t="shared" si="35"/>
        <v>9.066701388888891</v>
      </c>
      <c r="Q138" s="18" t="s">
        <v>419</v>
      </c>
      <c r="R138" s="19">
        <f t="shared" si="41"/>
        <v>0.2</v>
      </c>
      <c r="S138" s="19"/>
      <c r="T138" s="19">
        <f t="shared" si="36"/>
        <v>9.066701388888891</v>
      </c>
      <c r="V138" s="18" t="s">
        <v>419</v>
      </c>
      <c r="W138" s="19">
        <f t="shared" si="42"/>
        <v>0.2</v>
      </c>
      <c r="X138" s="19"/>
      <c r="Y138" s="19">
        <f t="shared" si="37"/>
        <v>9.066701388888891</v>
      </c>
    </row>
    <row r="139" spans="2:25">
      <c r="B139" s="18" t="s">
        <v>402</v>
      </c>
      <c r="C139" s="19">
        <f>'PDC répartie-Dimension gaine'!J117</f>
        <v>2.52</v>
      </c>
      <c r="D139" s="10"/>
      <c r="E139" s="19">
        <f>'PDC singuliere-Clapet'!M111</f>
        <v>4.2311779835390944</v>
      </c>
      <c r="G139" s="18" t="s">
        <v>402</v>
      </c>
      <c r="H139" s="19">
        <f t="shared" si="39"/>
        <v>2.52</v>
      </c>
      <c r="I139" s="19"/>
      <c r="J139" s="19">
        <f t="shared" si="34"/>
        <v>4.2311779835390944</v>
      </c>
      <c r="L139" s="18" t="s">
        <v>402</v>
      </c>
      <c r="M139" s="19">
        <f t="shared" si="40"/>
        <v>2.52</v>
      </c>
      <c r="N139" s="19"/>
      <c r="O139" s="19">
        <f t="shared" si="35"/>
        <v>4.2311779835390944</v>
      </c>
      <c r="Q139" s="18" t="s">
        <v>402</v>
      </c>
      <c r="R139" s="19">
        <f t="shared" si="41"/>
        <v>2.52</v>
      </c>
      <c r="S139" s="19"/>
      <c r="T139" s="19">
        <f t="shared" si="36"/>
        <v>4.2311779835390944</v>
      </c>
      <c r="V139" s="18" t="s">
        <v>402</v>
      </c>
      <c r="W139" s="19">
        <f t="shared" si="42"/>
        <v>2.52</v>
      </c>
      <c r="X139" s="19"/>
      <c r="Y139" s="19">
        <f t="shared" si="37"/>
        <v>4.2311779835390944</v>
      </c>
    </row>
    <row r="140" spans="2:25">
      <c r="B140" s="18" t="s">
        <v>404</v>
      </c>
      <c r="C140" s="19">
        <f>'PDC répartie-Dimension gaine'!J119</f>
        <v>0.24</v>
      </c>
      <c r="D140" s="10"/>
      <c r="E140" s="4">
        <f>'PDC singuliere-Clapet'!G94</f>
        <v>10.759645061728396</v>
      </c>
      <c r="G140" s="18" t="s">
        <v>404</v>
      </c>
      <c r="H140" s="19">
        <f t="shared" si="39"/>
        <v>0.24</v>
      </c>
      <c r="I140" s="19"/>
      <c r="J140" s="19">
        <f t="shared" si="34"/>
        <v>10.759645061728396</v>
      </c>
      <c r="L140" s="18" t="s">
        <v>404</v>
      </c>
      <c r="M140" s="19">
        <f t="shared" si="40"/>
        <v>0.24</v>
      </c>
      <c r="N140" s="19"/>
      <c r="O140" s="19">
        <f t="shared" si="35"/>
        <v>10.759645061728396</v>
      </c>
      <c r="Q140" s="18" t="s">
        <v>404</v>
      </c>
      <c r="R140" s="19">
        <f t="shared" si="41"/>
        <v>0.24</v>
      </c>
      <c r="S140" s="19"/>
      <c r="T140" s="19">
        <f t="shared" si="36"/>
        <v>10.759645061728396</v>
      </c>
      <c r="V140" s="18" t="s">
        <v>404</v>
      </c>
      <c r="W140" s="19">
        <f t="shared" si="42"/>
        <v>0.24</v>
      </c>
      <c r="X140" s="19"/>
      <c r="Y140" s="19">
        <f t="shared" si="37"/>
        <v>10.759645061728396</v>
      </c>
    </row>
    <row r="141" spans="2:25">
      <c r="B141" s="18" t="s">
        <v>405</v>
      </c>
      <c r="C141" s="19">
        <f>'PDC répartie-Dimension gaine'!J120</f>
        <v>1.032</v>
      </c>
      <c r="D141" s="10"/>
      <c r="E141" s="4">
        <f>'PDC singuliere-Clapet'!M112</f>
        <v>3.1291212622365268</v>
      </c>
      <c r="G141" s="18" t="s">
        <v>405</v>
      </c>
      <c r="H141" s="19">
        <f t="shared" si="39"/>
        <v>1.032</v>
      </c>
      <c r="I141" s="19"/>
      <c r="J141" s="19">
        <f t="shared" si="34"/>
        <v>3.1291212622365268</v>
      </c>
      <c r="L141" s="18" t="s">
        <v>405</v>
      </c>
      <c r="M141" s="19">
        <f t="shared" si="40"/>
        <v>1.032</v>
      </c>
      <c r="N141" s="19"/>
      <c r="O141" s="19">
        <f t="shared" si="35"/>
        <v>3.1291212622365268</v>
      </c>
      <c r="Q141" s="18" t="s">
        <v>405</v>
      </c>
      <c r="R141" s="19">
        <f t="shared" si="41"/>
        <v>1.032</v>
      </c>
      <c r="S141" s="19"/>
      <c r="T141" s="19">
        <f t="shared" si="36"/>
        <v>3.1291212622365268</v>
      </c>
      <c r="V141" s="18" t="s">
        <v>405</v>
      </c>
      <c r="W141" s="19">
        <f t="shared" si="42"/>
        <v>1.032</v>
      </c>
      <c r="X141" s="19"/>
      <c r="Y141" s="19">
        <f t="shared" si="37"/>
        <v>3.1291212622365268</v>
      </c>
    </row>
    <row r="142" spans="2:25">
      <c r="B142" s="18" t="s">
        <v>395</v>
      </c>
      <c r="C142" s="19">
        <f>'PDC répartie-Dimension gaine'!J107</f>
        <v>0.41850000000000004</v>
      </c>
      <c r="D142" s="10"/>
      <c r="E142" s="4">
        <f>'PDC singuliere-Clapet'!M113</f>
        <v>1.4050660256155971</v>
      </c>
      <c r="G142" s="18" t="s">
        <v>395</v>
      </c>
      <c r="H142" s="19">
        <f t="shared" si="39"/>
        <v>0.41850000000000004</v>
      </c>
      <c r="I142" s="19"/>
      <c r="J142" s="19">
        <f t="shared" si="34"/>
        <v>1.4050660256155971</v>
      </c>
      <c r="L142" s="18" t="s">
        <v>395</v>
      </c>
      <c r="M142" s="19">
        <f t="shared" si="40"/>
        <v>0.41850000000000004</v>
      </c>
      <c r="N142" s="19"/>
      <c r="O142" s="19">
        <f t="shared" si="35"/>
        <v>1.4050660256155971</v>
      </c>
      <c r="Q142" s="18" t="s">
        <v>395</v>
      </c>
      <c r="R142" s="19">
        <f t="shared" si="41"/>
        <v>0.41850000000000004</v>
      </c>
      <c r="S142" s="19"/>
      <c r="T142" s="19">
        <f t="shared" si="36"/>
        <v>1.4050660256155971</v>
      </c>
      <c r="V142" s="18" t="s">
        <v>392</v>
      </c>
      <c r="W142" s="19">
        <f>'PDC répartie-Dimension gaine'!J104</f>
        <v>3</v>
      </c>
      <c r="X142" s="4"/>
      <c r="Y142" s="4">
        <f>'PDC singuliere-Clapet'!G95</f>
        <v>3.5555555555555558</v>
      </c>
    </row>
    <row r="143" spans="2:25">
      <c r="B143" s="18" t="s">
        <v>393</v>
      </c>
      <c r="C143" s="19">
        <f>'PDC répartie-Dimension gaine'!J105</f>
        <v>0.71500000000000008</v>
      </c>
      <c r="D143" s="10"/>
      <c r="E143" s="4">
        <f>'PDC singuliere-Clapet'!G96</f>
        <v>6.974499965566789</v>
      </c>
      <c r="G143" s="18" t="s">
        <v>393</v>
      </c>
      <c r="H143" s="19">
        <f t="shared" si="39"/>
        <v>0.71500000000000008</v>
      </c>
      <c r="I143" s="19"/>
      <c r="J143" s="19">
        <f t="shared" si="34"/>
        <v>6.974499965566789</v>
      </c>
      <c r="L143" s="18" t="s">
        <v>393</v>
      </c>
      <c r="M143" s="19">
        <f t="shared" si="40"/>
        <v>0.71500000000000008</v>
      </c>
      <c r="N143" s="19"/>
      <c r="O143" s="19">
        <f t="shared" si="35"/>
        <v>6.974499965566789</v>
      </c>
      <c r="Q143" s="18" t="s">
        <v>394</v>
      </c>
      <c r="R143" s="19">
        <f>'PDC répartie-Dimension gaine'!J106</f>
        <v>0.14399999999999999</v>
      </c>
      <c r="S143" s="49">
        <f>'Bouche GP-GE '!H56</f>
        <v>5</v>
      </c>
      <c r="T143" s="10"/>
      <c r="V143" s="18" t="s">
        <v>391</v>
      </c>
      <c r="W143" s="126">
        <f>'PDC répartie-Dimension gaine'!J103</f>
        <v>1.08</v>
      </c>
      <c r="X143" s="49">
        <f>'Bouche GP-GE '!H55+'PDC singuliere-Clapet'!H71</f>
        <v>15.5</v>
      </c>
      <c r="Y143" s="10"/>
    </row>
    <row r="144" spans="2:25" ht="16.5">
      <c r="B144" s="18" t="s">
        <v>390</v>
      </c>
      <c r="C144" s="19">
        <f>'PDC répartie-Dimension gaine'!J102</f>
        <v>1.0175000000000001</v>
      </c>
      <c r="D144" s="10">
        <f>'PDC singuliere-Clapet'!H70</f>
        <v>5</v>
      </c>
      <c r="E144" s="4">
        <f>'PDC singuliere-Clapet'!M114</f>
        <v>14.236799000633207</v>
      </c>
      <c r="G144" s="18" t="s">
        <v>390</v>
      </c>
      <c r="H144" s="19">
        <f t="shared" si="39"/>
        <v>1.0175000000000001</v>
      </c>
      <c r="I144" s="19">
        <f t="shared" si="34"/>
        <v>5</v>
      </c>
      <c r="J144" s="19">
        <f t="shared" si="34"/>
        <v>14.236799000633207</v>
      </c>
      <c r="L144" s="18" t="s">
        <v>390</v>
      </c>
      <c r="M144" s="19">
        <f t="shared" si="40"/>
        <v>1.0175000000000001</v>
      </c>
      <c r="N144" s="19">
        <f t="shared" si="35"/>
        <v>5</v>
      </c>
      <c r="O144" s="19">
        <f t="shared" si="35"/>
        <v>14.236799000633207</v>
      </c>
      <c r="Q144" s="123" t="s">
        <v>254</v>
      </c>
      <c r="R144" s="124"/>
      <c r="S144" s="125"/>
      <c r="T144" s="118">
        <f>MROUND(SUM(R133:T143),5)</f>
        <v>110</v>
      </c>
      <c r="V144" s="123" t="s">
        <v>254</v>
      </c>
      <c r="W144" s="124"/>
      <c r="X144" s="125"/>
      <c r="Y144" s="118">
        <f>MROUND(SUM(W133:Y143),5)</f>
        <v>125</v>
      </c>
    </row>
    <row r="145" spans="2:20">
      <c r="B145" s="18" t="s">
        <v>408</v>
      </c>
      <c r="C145" s="19">
        <f>'PDC répartie-Dimension gaine'!J100</f>
        <v>3.9</v>
      </c>
      <c r="D145" s="10"/>
      <c r="E145" s="4">
        <f>'PDC singuliere-Clapet'!M115</f>
        <v>0.84434319701948124</v>
      </c>
      <c r="G145" s="18" t="s">
        <v>408</v>
      </c>
      <c r="H145" s="19">
        <f t="shared" si="39"/>
        <v>3.9</v>
      </c>
      <c r="I145" s="19"/>
      <c r="J145" s="19">
        <f t="shared" si="34"/>
        <v>0.84434319701948124</v>
      </c>
      <c r="L145" s="18" t="s">
        <v>389</v>
      </c>
      <c r="M145" s="19">
        <f>'PDC répartie-Dimension gaine'!J101</f>
        <v>0.18000000000000002</v>
      </c>
      <c r="N145" s="4">
        <f>'Bouche GP-GE '!H52</f>
        <v>10</v>
      </c>
      <c r="O145" s="10"/>
    </row>
    <row r="146" spans="2:20" ht="16.5">
      <c r="B146" s="18" t="s">
        <v>387</v>
      </c>
      <c r="C146" s="19">
        <f>'PDC répartie-Dimension gaine'!J98</f>
        <v>1.7325000000000002</v>
      </c>
      <c r="D146" s="10"/>
      <c r="E146" s="4">
        <f>'PDC singuliere-Clapet'!G97</f>
        <v>5.7640495583196625</v>
      </c>
      <c r="G146" s="18" t="s">
        <v>388</v>
      </c>
      <c r="H146" s="19">
        <f>'PDC répartie-Dimension gaine'!J99</f>
        <v>0.16200000000000001</v>
      </c>
      <c r="I146" s="4">
        <f>'Bouche GP-GE '!H53</f>
        <v>9</v>
      </c>
      <c r="J146" s="4"/>
      <c r="L146" s="123" t="s">
        <v>254</v>
      </c>
      <c r="M146" s="124"/>
      <c r="N146" s="125"/>
      <c r="O146" s="118">
        <f>MROUND(SUM(M133:O145),5)</f>
        <v>145</v>
      </c>
    </row>
    <row r="147" spans="2:20" ht="16.5">
      <c r="B147" s="18" t="s">
        <v>467</v>
      </c>
      <c r="C147" s="19">
        <f>'PDC répartie-Dimension gaine'!J97</f>
        <v>0.18000000000000002</v>
      </c>
      <c r="D147" s="4">
        <f>'Bouche GP-GE '!H54</f>
        <v>10</v>
      </c>
      <c r="E147" s="10"/>
      <c r="G147" s="123" t="s">
        <v>254</v>
      </c>
      <c r="H147" s="124"/>
      <c r="I147" s="125"/>
      <c r="J147" s="118">
        <f>MROUND(SUM(H133:J146),5)</f>
        <v>145</v>
      </c>
    </row>
    <row r="148" spans="2:20" ht="16.5">
      <c r="B148" s="123" t="s">
        <v>254</v>
      </c>
      <c r="C148" s="124"/>
      <c r="D148" s="125"/>
      <c r="E148" s="118">
        <f>MROUND(SUM(C133:E147),5)</f>
        <v>155</v>
      </c>
    </row>
    <row r="150" spans="2:20">
      <c r="B150" s="116" t="s">
        <v>472</v>
      </c>
      <c r="G150" s="116" t="s">
        <v>474</v>
      </c>
      <c r="L150" s="116" t="s">
        <v>475</v>
      </c>
      <c r="Q150" s="116" t="s">
        <v>476</v>
      </c>
    </row>
    <row r="151" spans="2:20" ht="60">
      <c r="B151" s="18" t="s">
        <v>251</v>
      </c>
      <c r="C151" s="26" t="s">
        <v>104</v>
      </c>
      <c r="D151" s="26" t="s">
        <v>252</v>
      </c>
      <c r="E151" s="26" t="s">
        <v>253</v>
      </c>
      <c r="G151" s="18" t="s">
        <v>251</v>
      </c>
      <c r="H151" s="26" t="s">
        <v>104</v>
      </c>
      <c r="I151" s="26" t="s">
        <v>252</v>
      </c>
      <c r="J151" s="26" t="s">
        <v>253</v>
      </c>
      <c r="L151" s="18" t="s">
        <v>251</v>
      </c>
      <c r="M151" s="26" t="s">
        <v>104</v>
      </c>
      <c r="N151" s="26" t="s">
        <v>252</v>
      </c>
      <c r="O151" s="26" t="s">
        <v>253</v>
      </c>
      <c r="Q151" s="18" t="s">
        <v>251</v>
      </c>
      <c r="R151" s="26" t="s">
        <v>104</v>
      </c>
      <c r="S151" s="26" t="s">
        <v>252</v>
      </c>
      <c r="T151" s="26" t="s">
        <v>253</v>
      </c>
    </row>
    <row r="152" spans="2:20">
      <c r="B152" s="18" t="s">
        <v>231</v>
      </c>
      <c r="C152" s="19">
        <f>C133</f>
        <v>0.496</v>
      </c>
      <c r="D152" s="19"/>
      <c r="E152" s="19">
        <f t="shared" ref="E152" si="43">E133</f>
        <v>0</v>
      </c>
      <c r="G152" s="18" t="s">
        <v>231</v>
      </c>
      <c r="H152" s="19">
        <f>'PDC répartie-Dimension gaine'!J129</f>
        <v>0.496</v>
      </c>
      <c r="I152" s="19"/>
      <c r="J152" s="19">
        <f>E100</f>
        <v>0</v>
      </c>
      <c r="L152" s="18" t="s">
        <v>231</v>
      </c>
      <c r="M152" s="19">
        <f>H152</f>
        <v>0.496</v>
      </c>
      <c r="N152" s="19"/>
      <c r="O152" s="19">
        <f t="shared" ref="N152:O159" si="44">J152</f>
        <v>0</v>
      </c>
      <c r="Q152" s="18" t="s">
        <v>231</v>
      </c>
      <c r="R152" s="19">
        <f>H152</f>
        <v>0.496</v>
      </c>
      <c r="S152" s="19"/>
      <c r="T152" s="19">
        <f t="shared" ref="S152:T158" si="45">J152</f>
        <v>0</v>
      </c>
    </row>
    <row r="153" spans="2:20">
      <c r="B153" s="18" t="s">
        <v>407</v>
      </c>
      <c r="C153" s="19">
        <f t="shared" ref="C153:E157" si="46">C134</f>
        <v>1.8599999999999999</v>
      </c>
      <c r="D153" s="19">
        <f t="shared" si="46"/>
        <v>9</v>
      </c>
      <c r="E153" s="19">
        <f t="shared" si="46"/>
        <v>28.879999999999995</v>
      </c>
      <c r="G153" s="18" t="s">
        <v>407</v>
      </c>
      <c r="H153" s="19">
        <f>'PDC répartie-Dimension gaine'!J128</f>
        <v>1.8599999999999999</v>
      </c>
      <c r="I153" s="19">
        <f>D101</f>
        <v>9</v>
      </c>
      <c r="J153" s="19">
        <f t="shared" ref="J153:J154" si="47">E101</f>
        <v>28.879999999999995</v>
      </c>
      <c r="L153" s="18" t="s">
        <v>407</v>
      </c>
      <c r="M153" s="19">
        <f t="shared" ref="M153:M159" si="48">H153</f>
        <v>1.8599999999999999</v>
      </c>
      <c r="N153" s="19">
        <f t="shared" si="44"/>
        <v>9</v>
      </c>
      <c r="O153" s="19">
        <f t="shared" si="44"/>
        <v>28.879999999999995</v>
      </c>
      <c r="Q153" s="18" t="s">
        <v>407</v>
      </c>
      <c r="R153" s="19">
        <f t="shared" ref="R153:R158" si="49">H153</f>
        <v>1.8599999999999999</v>
      </c>
      <c r="S153" s="19">
        <f t="shared" si="45"/>
        <v>9</v>
      </c>
      <c r="T153" s="19">
        <f t="shared" si="45"/>
        <v>28.879999999999995</v>
      </c>
    </row>
    <row r="154" spans="2:20">
      <c r="B154" s="18" t="s">
        <v>406</v>
      </c>
      <c r="C154" s="19">
        <f t="shared" si="46"/>
        <v>4.34</v>
      </c>
      <c r="D154" s="19"/>
      <c r="E154" s="19">
        <f t="shared" si="46"/>
        <v>12.454989711934155</v>
      </c>
      <c r="G154" s="18" t="s">
        <v>406</v>
      </c>
      <c r="H154" s="19">
        <f>'PDC répartie-Dimension gaine'!J127</f>
        <v>4.34</v>
      </c>
      <c r="J154" s="19">
        <f t="shared" si="47"/>
        <v>12.454989711934155</v>
      </c>
      <c r="L154" s="18" t="s">
        <v>406</v>
      </c>
      <c r="M154" s="19">
        <f t="shared" si="48"/>
        <v>4.34</v>
      </c>
      <c r="N154" s="19"/>
      <c r="O154" s="19">
        <f t="shared" si="44"/>
        <v>12.454989711934155</v>
      </c>
      <c r="Q154" s="18" t="s">
        <v>406</v>
      </c>
      <c r="R154" s="19">
        <f t="shared" si="49"/>
        <v>4.34</v>
      </c>
      <c r="S154" s="19"/>
      <c r="T154" s="19">
        <f t="shared" si="45"/>
        <v>12.454989711934155</v>
      </c>
    </row>
    <row r="155" spans="2:20">
      <c r="B155" s="18" t="s">
        <v>411</v>
      </c>
      <c r="C155" s="19">
        <f t="shared" si="46"/>
        <v>0.39200000000000002</v>
      </c>
      <c r="D155" s="19"/>
      <c r="E155" s="19">
        <f t="shared" si="46"/>
        <v>0.7032667824074077</v>
      </c>
      <c r="G155" s="18" t="s">
        <v>411</v>
      </c>
      <c r="H155" s="19">
        <f>'PDC répartie-Dimension gaine'!J124</f>
        <v>0.39200000000000002</v>
      </c>
      <c r="I155" s="10"/>
      <c r="J155" s="4">
        <f>'PDC singuliere-Clapet'!M116</f>
        <v>0.7032667824074077</v>
      </c>
      <c r="L155" s="18" t="s">
        <v>411</v>
      </c>
      <c r="M155" s="19">
        <f t="shared" si="48"/>
        <v>0.39200000000000002</v>
      </c>
      <c r="N155" s="19"/>
      <c r="O155" s="19">
        <f t="shared" si="44"/>
        <v>0.7032667824074077</v>
      </c>
      <c r="Q155" s="18" t="s">
        <v>411</v>
      </c>
      <c r="R155" s="19">
        <f t="shared" si="49"/>
        <v>0.39200000000000002</v>
      </c>
      <c r="S155" s="19"/>
      <c r="T155" s="19">
        <f t="shared" si="45"/>
        <v>0.7032667824074077</v>
      </c>
    </row>
    <row r="156" spans="2:20">
      <c r="B156" s="18" t="s">
        <v>416</v>
      </c>
      <c r="C156" s="19">
        <f t="shared" si="46"/>
        <v>1.32</v>
      </c>
      <c r="D156" s="19">
        <f t="shared" si="46"/>
        <v>3</v>
      </c>
      <c r="E156" s="19">
        <f t="shared" si="46"/>
        <v>9.066701388888891</v>
      </c>
      <c r="G156" s="18" t="s">
        <v>414</v>
      </c>
      <c r="H156" s="19">
        <f>'PDC répartie-Dimension gaine'!J125</f>
        <v>0.19</v>
      </c>
      <c r="I156" s="10"/>
      <c r="J156" s="4">
        <f>'PDC singuliere-Clapet'!G88</f>
        <v>8.4392013888888915</v>
      </c>
      <c r="L156" s="18" t="s">
        <v>414</v>
      </c>
      <c r="M156" s="19">
        <f t="shared" si="48"/>
        <v>0.19</v>
      </c>
      <c r="N156" s="19"/>
      <c r="O156" s="19">
        <f t="shared" si="44"/>
        <v>8.4392013888888915</v>
      </c>
      <c r="Q156" s="18" t="s">
        <v>414</v>
      </c>
      <c r="R156" s="19">
        <f t="shared" si="49"/>
        <v>0.19</v>
      </c>
      <c r="S156" s="19"/>
      <c r="T156" s="19">
        <f t="shared" si="45"/>
        <v>8.4392013888888915</v>
      </c>
    </row>
    <row r="157" spans="2:20">
      <c r="B157" s="18" t="s">
        <v>419</v>
      </c>
      <c r="C157" s="19">
        <f t="shared" si="46"/>
        <v>0.2</v>
      </c>
      <c r="D157" s="19"/>
      <c r="E157" s="19">
        <f t="shared" si="46"/>
        <v>9.066701388888891</v>
      </c>
      <c r="G157" s="18" t="s">
        <v>415</v>
      </c>
      <c r="H157" s="19">
        <f>'PDC répartie-Dimension gaine'!J126</f>
        <v>0.19</v>
      </c>
      <c r="I157" s="10"/>
      <c r="J157" s="4">
        <f>'PDC singuliere-Clapet'!G89</f>
        <v>8.4392013888888915</v>
      </c>
      <c r="L157" s="18" t="s">
        <v>415</v>
      </c>
      <c r="M157" s="19">
        <f t="shared" si="48"/>
        <v>0.19</v>
      </c>
      <c r="N157" s="19"/>
      <c r="O157" s="19">
        <f t="shared" si="44"/>
        <v>8.4392013888888915</v>
      </c>
      <c r="Q157" s="18" t="s">
        <v>415</v>
      </c>
      <c r="R157" s="19">
        <f t="shared" si="49"/>
        <v>0.19</v>
      </c>
      <c r="S157" s="19"/>
      <c r="T157" s="19">
        <f t="shared" si="45"/>
        <v>8.4392013888888915</v>
      </c>
    </row>
    <row r="158" spans="2:20">
      <c r="B158" s="18" t="s">
        <v>402</v>
      </c>
      <c r="C158" s="19">
        <f>C139</f>
        <v>2.52</v>
      </c>
      <c r="D158" s="19"/>
      <c r="E158" s="19">
        <f t="shared" ref="E158" si="50">E139</f>
        <v>4.2311779835390944</v>
      </c>
      <c r="G158" s="18" t="s">
        <v>230</v>
      </c>
      <c r="H158" s="19">
        <f>'PDC répartie-Dimension gaine'!J110</f>
        <v>2.85</v>
      </c>
      <c r="I158" s="10">
        <f>'PDC singuliere-Clapet'!H74</f>
        <v>3</v>
      </c>
      <c r="J158" s="19">
        <f>'PDC singuliere-Clapet'!L123</f>
        <v>-3.7995663494163883</v>
      </c>
      <c r="L158" s="18" t="s">
        <v>230</v>
      </c>
      <c r="M158" s="19">
        <f t="shared" si="48"/>
        <v>2.85</v>
      </c>
      <c r="N158" s="19">
        <f t="shared" si="44"/>
        <v>3</v>
      </c>
      <c r="O158" s="19">
        <f t="shared" si="44"/>
        <v>-3.7995663494163883</v>
      </c>
      <c r="Q158" s="18" t="s">
        <v>230</v>
      </c>
      <c r="R158" s="19">
        <f t="shared" si="49"/>
        <v>2.85</v>
      </c>
      <c r="S158" s="19">
        <f t="shared" si="45"/>
        <v>3</v>
      </c>
      <c r="T158" s="19">
        <f t="shared" si="45"/>
        <v>-3.7995663494163883</v>
      </c>
    </row>
    <row r="159" spans="2:20">
      <c r="B159" s="18" t="s">
        <v>403</v>
      </c>
      <c r="C159" s="19">
        <f>'PDC répartie-Dimension gaine'!J118</f>
        <v>0.192</v>
      </c>
      <c r="D159" s="10">
        <f>'Bouche GP-GE '!H58/2</f>
        <v>7</v>
      </c>
      <c r="E159" s="10"/>
      <c r="G159" s="18" t="s">
        <v>399</v>
      </c>
      <c r="H159" s="19">
        <f>'PDC répartie-Dimension gaine'!J112</f>
        <v>0.24</v>
      </c>
      <c r="I159" s="10"/>
      <c r="J159" s="4">
        <f>'PDC singuliere-Clapet'!M110</f>
        <v>0</v>
      </c>
      <c r="L159" s="18" t="s">
        <v>399</v>
      </c>
      <c r="M159" s="19">
        <f t="shared" si="48"/>
        <v>0.24</v>
      </c>
      <c r="N159" s="19"/>
      <c r="O159" s="19">
        <f t="shared" si="44"/>
        <v>0</v>
      </c>
      <c r="Q159" s="18" t="s">
        <v>398</v>
      </c>
      <c r="R159" s="19">
        <f>'PDC répartie-Dimension gaine'!J111</f>
        <v>2.4000000000000004</v>
      </c>
      <c r="S159" s="10"/>
      <c r="T159" s="4">
        <f>'PDC singuliere-Clapet'!G91</f>
        <v>9.631172839506176</v>
      </c>
    </row>
    <row r="160" spans="2:20" ht="16.5">
      <c r="B160" s="123" t="s">
        <v>254</v>
      </c>
      <c r="C160" s="124"/>
      <c r="D160" s="125"/>
      <c r="E160" s="118">
        <f>MROUND(SUM(C152:E159),5)</f>
        <v>95</v>
      </c>
      <c r="G160" s="18" t="s">
        <v>401</v>
      </c>
      <c r="H160" s="19">
        <f>'PDC répartie-Dimension gaine'!J114</f>
        <v>0.4</v>
      </c>
      <c r="I160" s="10"/>
      <c r="J160" s="4">
        <f>'PDC singuliere-Clapet'!G90</f>
        <v>9.631172839506176</v>
      </c>
      <c r="L160" s="18" t="s">
        <v>400</v>
      </c>
      <c r="M160" s="19">
        <f>'PDC répartie-Dimension gaine'!J113</f>
        <v>0.156</v>
      </c>
      <c r="N160" s="10">
        <f>D159</f>
        <v>7</v>
      </c>
      <c r="O160" s="10"/>
      <c r="Q160" s="18" t="s">
        <v>396</v>
      </c>
      <c r="R160" s="19">
        <f>'PDC répartie-Dimension gaine'!J108</f>
        <v>1.8800000000000001</v>
      </c>
      <c r="S160" s="10">
        <f>I161</f>
        <v>6</v>
      </c>
      <c r="T160" s="10"/>
    </row>
    <row r="161" spans="1:49" ht="16.5">
      <c r="G161" s="18" t="s">
        <v>473</v>
      </c>
      <c r="H161" s="19">
        <f>'PDC répartie-Dimension gaine'!J109</f>
        <v>1.8800000000000001</v>
      </c>
      <c r="I161" s="10">
        <f>'Bouche GP-GE '!H57/2</f>
        <v>6</v>
      </c>
      <c r="J161" s="10"/>
      <c r="L161" s="123" t="s">
        <v>254</v>
      </c>
      <c r="M161" s="124"/>
      <c r="N161" s="125"/>
      <c r="O161" s="118">
        <f>MROUND(SUM(M152:O160),5)</f>
        <v>85</v>
      </c>
      <c r="Q161" s="123" t="s">
        <v>254</v>
      </c>
      <c r="R161" s="124"/>
      <c r="S161" s="125"/>
      <c r="T161" s="118">
        <f>MROUND(SUM(R152:T160),5)</f>
        <v>95</v>
      </c>
    </row>
    <row r="162" spans="1:49" ht="16.5">
      <c r="G162" s="123" t="s">
        <v>254</v>
      </c>
      <c r="H162" s="124"/>
      <c r="I162" s="125"/>
      <c r="J162" s="118">
        <f>MROUND(SUM(H152:J161),5)</f>
        <v>95</v>
      </c>
    </row>
    <row r="164" spans="1:49">
      <c r="A164" s="25" t="s">
        <v>255</v>
      </c>
      <c r="B164" s="189" t="s">
        <v>91</v>
      </c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1"/>
    </row>
    <row r="166" spans="1:49" ht="16.5">
      <c r="C166" s="23" t="s">
        <v>256</v>
      </c>
      <c r="D166" s="23"/>
      <c r="E166" s="62">
        <f>MROUND(MAX(E126,J127,O128,T129,Y129,E148,J147,O146,T144,Y144,E160,J162,O161,T161,),5)</f>
        <v>155</v>
      </c>
    </row>
    <row r="167" spans="1:49">
      <c r="C167" s="11"/>
      <c r="D167" s="11"/>
      <c r="E167" s="11"/>
    </row>
    <row r="168" spans="1:49" ht="45">
      <c r="B168" s="184" t="s">
        <v>257</v>
      </c>
      <c r="C168" s="184"/>
      <c r="D168" s="121" t="s">
        <v>258</v>
      </c>
      <c r="E168" s="36" t="s">
        <v>96</v>
      </c>
      <c r="F168" s="119" t="s">
        <v>259</v>
      </c>
      <c r="G168" s="40" t="s">
        <v>107</v>
      </c>
      <c r="H168" s="120" t="s">
        <v>260</v>
      </c>
      <c r="I168" s="18" t="s">
        <v>261</v>
      </c>
      <c r="M168" s="11"/>
    </row>
    <row r="169" spans="1:49">
      <c r="B169" s="220" t="str">
        <f>B98</f>
        <v>Trajet AA-ZZ</v>
      </c>
      <c r="C169" s="220"/>
      <c r="D169" s="15">
        <f>MROUND(MAX(E166-E111),5)</f>
        <v>55</v>
      </c>
      <c r="E169" s="15" t="s">
        <v>369</v>
      </c>
      <c r="F169" s="44" t="s">
        <v>109</v>
      </c>
      <c r="G169" s="15">
        <f>'PDC répartie-Dimension gaine'!M80</f>
        <v>3.439646596314303</v>
      </c>
      <c r="H169" s="15" t="s">
        <v>262</v>
      </c>
      <c r="I169" s="10">
        <v>42</v>
      </c>
      <c r="J169" t="s">
        <v>480</v>
      </c>
      <c r="M169" s="11"/>
    </row>
    <row r="170" spans="1:49">
      <c r="B170" s="220" t="str">
        <f>G98</f>
        <v>Trajet AA-YY'</v>
      </c>
      <c r="C170" s="220"/>
      <c r="D170" s="15">
        <f>MROUND(MAX(E166-J112),5)</f>
        <v>50</v>
      </c>
      <c r="E170" s="15" t="s">
        <v>383</v>
      </c>
      <c r="F170" s="45" t="s">
        <v>111</v>
      </c>
      <c r="G170" s="15">
        <f>'PDC répartie-Dimension gaine'!M96</f>
        <v>0.75</v>
      </c>
      <c r="H170" s="15" t="s">
        <v>263</v>
      </c>
      <c r="I170" s="10">
        <v>62</v>
      </c>
      <c r="M170" s="11"/>
    </row>
    <row r="171" spans="1:49">
      <c r="B171" s="220" t="str">
        <f>L98</f>
        <v>Trajet AA-WW</v>
      </c>
      <c r="C171" s="220"/>
      <c r="D171" s="15">
        <f>MROUND(MAX(E166-O110),5)</f>
        <v>60</v>
      </c>
      <c r="E171" s="15" t="s">
        <v>368</v>
      </c>
      <c r="F171" s="45" t="s">
        <v>111</v>
      </c>
      <c r="G171" s="15">
        <f>'PDC répartie-Dimension gaine'!M79</f>
        <v>2.6851851851851856</v>
      </c>
      <c r="H171" s="15" t="s">
        <v>263</v>
      </c>
      <c r="I171" s="10">
        <v>42</v>
      </c>
      <c r="M171" s="11"/>
    </row>
    <row r="172" spans="1:49">
      <c r="B172" s="220" t="str">
        <f>Q98</f>
        <v>Trajet AA-UU</v>
      </c>
      <c r="C172" s="220"/>
      <c r="D172" s="15">
        <f>MROUND(MAX(E166-T109),5)</f>
        <v>55</v>
      </c>
      <c r="E172" s="15" t="s">
        <v>379</v>
      </c>
      <c r="F172" s="45" t="s">
        <v>111</v>
      </c>
      <c r="G172" s="15">
        <f>'PDC répartie-Dimension gaine'!M92</f>
        <v>3.8194444444444451</v>
      </c>
      <c r="H172" s="15" t="s">
        <v>263</v>
      </c>
      <c r="I172" s="10">
        <v>37</v>
      </c>
      <c r="M172" s="11"/>
      <c r="P172" t="s">
        <v>567</v>
      </c>
    </row>
    <row r="173" spans="1:49">
      <c r="B173" s="220" t="str">
        <f>V98</f>
        <v>Trajet AA-HH</v>
      </c>
      <c r="C173" s="220"/>
      <c r="D173" s="15">
        <f>MROUND(MAX(E166-Y109),5)</f>
        <v>55</v>
      </c>
      <c r="E173" s="15" t="s">
        <v>367</v>
      </c>
      <c r="F173" s="45" t="s">
        <v>111</v>
      </c>
      <c r="G173" s="15">
        <f>'PDC répartie-Dimension gaine'!M78</f>
        <v>2.6851851851851856</v>
      </c>
      <c r="H173" s="15" t="s">
        <v>263</v>
      </c>
      <c r="I173" s="10">
        <v>40</v>
      </c>
      <c r="M173" s="11"/>
    </row>
    <row r="174" spans="1:49">
      <c r="B174" s="220" t="str">
        <f>B114</f>
        <v>Trajet AA-JJ</v>
      </c>
      <c r="C174" s="220"/>
      <c r="D174" s="15">
        <f>MROUND(MAX(E166-E126),5)</f>
        <v>45</v>
      </c>
      <c r="E174" s="15" t="s">
        <v>366</v>
      </c>
      <c r="F174" s="45" t="s">
        <v>111</v>
      </c>
      <c r="G174" s="15">
        <f>'PDC répartie-Dimension gaine'!M77</f>
        <v>1.9965277777777777</v>
      </c>
      <c r="H174" s="15" t="s">
        <v>263</v>
      </c>
      <c r="I174" s="10">
        <v>47</v>
      </c>
      <c r="M174" s="11"/>
      <c r="AV174">
        <f>0.0001</f>
        <v>1E-4</v>
      </c>
      <c r="AW174">
        <f>857</f>
        <v>857</v>
      </c>
    </row>
    <row r="175" spans="1:49" ht="45">
      <c r="B175" s="220" t="str">
        <f>G114</f>
        <v>Trajet AA-LL</v>
      </c>
      <c r="C175" s="220"/>
      <c r="D175" s="15">
        <f>MROUND(MAX(E166-J127),5)</f>
        <v>30</v>
      </c>
      <c r="E175" s="15" t="s">
        <v>374</v>
      </c>
      <c r="F175" s="45" t="s">
        <v>111</v>
      </c>
      <c r="G175" s="15">
        <f>'PDC répartie-Dimension gaine'!M85</f>
        <v>3.8194444444444451</v>
      </c>
      <c r="H175" s="15" t="s">
        <v>263</v>
      </c>
      <c r="I175" s="10">
        <v>28</v>
      </c>
      <c r="M175" s="121" t="s">
        <v>565</v>
      </c>
      <c r="N175" s="121" t="s">
        <v>564</v>
      </c>
      <c r="O175" s="18" t="s">
        <v>261</v>
      </c>
      <c r="AV175">
        <v>1E-4</v>
      </c>
      <c r="AW175">
        <v>10944</v>
      </c>
    </row>
    <row r="176" spans="1:49">
      <c r="B176" s="220" t="str">
        <f>L114</f>
        <v>Trajet AA-NN</v>
      </c>
      <c r="C176" s="220"/>
      <c r="D176" s="15">
        <f>MROUND(MAX(E166-O128),5)</f>
        <v>20</v>
      </c>
      <c r="E176" s="15" t="s">
        <v>365</v>
      </c>
      <c r="F176" s="45" t="s">
        <v>111</v>
      </c>
      <c r="G176" s="10" t="s">
        <v>78</v>
      </c>
      <c r="H176" s="10" t="s">
        <v>78</v>
      </c>
      <c r="I176" s="10" t="s">
        <v>78</v>
      </c>
      <c r="J176" s="213" t="s">
        <v>563</v>
      </c>
      <c r="K176" s="183"/>
      <c r="L176" s="183"/>
      <c r="M176" s="69">
        <f>'Bouche GP-GE '!H45</f>
        <v>4.25</v>
      </c>
      <c r="N176" s="69">
        <f>M176+D176</f>
        <v>24.25</v>
      </c>
      <c r="O176" s="69">
        <f>((N176-(2.3*M176))/((6.5*M176)-(2.3*M176)))*(90-45)+45</f>
        <v>81.491596638655466</v>
      </c>
    </row>
    <row r="177" spans="1:15">
      <c r="B177" s="220" t="str">
        <f>Q114</f>
        <v>Trajet AA-PP</v>
      </c>
      <c r="C177" s="220"/>
      <c r="D177" s="15">
        <f>MROUND(MAX(E166-T129),5)</f>
        <v>10</v>
      </c>
      <c r="E177" s="15" t="s">
        <v>363</v>
      </c>
      <c r="F177" s="45" t="s">
        <v>111</v>
      </c>
      <c r="G177" s="10" t="s">
        <v>78</v>
      </c>
      <c r="H177" s="10" t="s">
        <v>78</v>
      </c>
      <c r="I177" s="10" t="s">
        <v>78</v>
      </c>
      <c r="J177" s="213"/>
      <c r="K177" s="183"/>
      <c r="L177" s="183"/>
      <c r="M177" s="69">
        <f>'Bouche GP-GE '!H42</f>
        <v>7</v>
      </c>
      <c r="N177" s="69">
        <f>M177+D177</f>
        <v>17</v>
      </c>
      <c r="O177" s="69">
        <f>((N177-(2*M177))/((5.6*M177)-(2*M177)))*(90-45)+45</f>
        <v>50.357142857142861</v>
      </c>
    </row>
    <row r="178" spans="1:15">
      <c r="B178" s="220" t="str">
        <f>V114</f>
        <v>Trajet AA-QQ</v>
      </c>
      <c r="C178" s="220"/>
      <c r="D178" s="15">
        <f>MROUND(MAX(E166-Y129),5)</f>
        <v>15</v>
      </c>
      <c r="E178" s="15" t="s">
        <v>364</v>
      </c>
      <c r="F178" s="45" t="s">
        <v>111</v>
      </c>
      <c r="G178" s="10" t="s">
        <v>78</v>
      </c>
      <c r="H178" s="10" t="s">
        <v>78</v>
      </c>
      <c r="I178" s="10" t="s">
        <v>78</v>
      </c>
      <c r="J178" s="213"/>
      <c r="K178" s="183"/>
      <c r="L178" s="183"/>
      <c r="M178" s="69">
        <f>'Bouche GP-GE '!H43</f>
        <v>6.5</v>
      </c>
      <c r="N178" s="69">
        <f>D178+M178</f>
        <v>21.5</v>
      </c>
      <c r="O178" s="69">
        <f>((N178-(1.8*M178))/((4.1*M178)-(1.8*M178)))*(90-45)+45</f>
        <v>74.498327759197323</v>
      </c>
    </row>
    <row r="179" spans="1:15">
      <c r="B179" s="220" t="str">
        <f>B131</f>
        <v>Trajet AA-XX'</v>
      </c>
      <c r="C179" s="220"/>
      <c r="D179" s="15">
        <f>MROUND(MAX(E166-E148),5)</f>
        <v>0</v>
      </c>
      <c r="E179" s="15" t="s">
        <v>467</v>
      </c>
      <c r="F179" s="45" t="s">
        <v>109</v>
      </c>
      <c r="G179" s="10" t="s">
        <v>78</v>
      </c>
      <c r="H179" s="10" t="s">
        <v>78</v>
      </c>
      <c r="I179" s="10" t="s">
        <v>78</v>
      </c>
      <c r="J179" s="213"/>
      <c r="K179" s="183"/>
      <c r="L179" s="183"/>
      <c r="O179" s="69"/>
    </row>
    <row r="180" spans="1:15">
      <c r="B180" s="220" t="str">
        <f>G131</f>
        <v>Trajet AA-VV'</v>
      </c>
      <c r="C180" s="220"/>
      <c r="D180" s="15">
        <f>MROUND(MAX(E166-J147),5)</f>
        <v>10</v>
      </c>
      <c r="E180" s="15" t="s">
        <v>388</v>
      </c>
      <c r="F180" s="45" t="s">
        <v>109</v>
      </c>
      <c r="G180" s="10" t="s">
        <v>78</v>
      </c>
      <c r="H180" s="10" t="s">
        <v>78</v>
      </c>
      <c r="I180" s="10" t="s">
        <v>78</v>
      </c>
      <c r="J180" s="213"/>
      <c r="K180" s="183"/>
      <c r="L180" s="183"/>
      <c r="M180" s="69">
        <f>'Bouche GP-GE '!H53</f>
        <v>9</v>
      </c>
      <c r="N180" s="69">
        <f>M180+D180</f>
        <v>19</v>
      </c>
      <c r="O180" s="69">
        <f>((N180-(1.8*M180))/((4.1*M180)-(1.8*M180)))*(90-45)+45</f>
        <v>51.086956521739133</v>
      </c>
    </row>
    <row r="181" spans="1:15">
      <c r="B181" s="220" t="str">
        <f>L131</f>
        <v>Trajet AA-TT'</v>
      </c>
      <c r="C181" s="220"/>
      <c r="D181" s="15">
        <f>MROUND(MAX(E166-O146),5)</f>
        <v>10</v>
      </c>
      <c r="E181" s="15" t="s">
        <v>389</v>
      </c>
      <c r="F181" s="45" t="s">
        <v>109</v>
      </c>
      <c r="G181" s="10" t="s">
        <v>78</v>
      </c>
      <c r="H181" s="10" t="s">
        <v>78</v>
      </c>
      <c r="I181" s="10" t="s">
        <v>78</v>
      </c>
    </row>
    <row r="182" spans="1:15">
      <c r="B182" s="220" t="str">
        <f>Q131</f>
        <v>Trajet AA-QQ'</v>
      </c>
      <c r="C182" s="220"/>
      <c r="D182" s="15">
        <f>MROUND(MAX(E166-T144),5)</f>
        <v>45</v>
      </c>
      <c r="E182" s="15" t="s">
        <v>394</v>
      </c>
      <c r="F182" s="45" t="s">
        <v>109</v>
      </c>
      <c r="G182" s="15">
        <f>'PDC répartie-Dimension gaine'!M106</f>
        <v>3.4218245932245916</v>
      </c>
      <c r="H182" s="15" t="s">
        <v>262</v>
      </c>
      <c r="I182" s="10">
        <v>40</v>
      </c>
      <c r="J182" t="s">
        <v>360</v>
      </c>
    </row>
    <row r="183" spans="1:15">
      <c r="B183" s="220" t="str">
        <f>V131</f>
        <v>Trajet AA-OO'</v>
      </c>
      <c r="C183" s="220"/>
      <c r="D183" s="15">
        <f>MROUND(MAX(E166-Y144),5)</f>
        <v>30</v>
      </c>
      <c r="E183" s="15" t="s">
        <v>391</v>
      </c>
      <c r="F183" s="45" t="s">
        <v>111</v>
      </c>
      <c r="G183" s="15">
        <f>'PDC répartie-Dimension gaine'!M103</f>
        <v>2.2222222222222223</v>
      </c>
      <c r="H183" s="15" t="s">
        <v>263</v>
      </c>
      <c r="I183" s="10">
        <v>40</v>
      </c>
    </row>
    <row r="184" spans="1:15">
      <c r="B184" s="220" t="str">
        <f>B150</f>
        <v>Trajet AA-KK'</v>
      </c>
      <c r="C184" s="220"/>
      <c r="D184" s="15">
        <f>MROUND(MAX(E166-E160),5)</f>
        <v>60</v>
      </c>
      <c r="E184" s="15" t="s">
        <v>403</v>
      </c>
      <c r="F184" s="45" t="s">
        <v>111</v>
      </c>
      <c r="G184" s="15">
        <f>'PDC répartie-Dimension gaine'!M118</f>
        <v>3.2777777777777777</v>
      </c>
      <c r="H184" s="15" t="s">
        <v>263</v>
      </c>
      <c r="I184" s="10">
        <v>38</v>
      </c>
    </row>
    <row r="185" spans="1:15">
      <c r="B185" s="220" t="str">
        <f>G150</f>
        <v>Trajet AA-FF'</v>
      </c>
      <c r="C185" s="220"/>
      <c r="D185" s="15">
        <f>MROUND(MAX(E166-J162),5)</f>
        <v>60</v>
      </c>
      <c r="E185" s="15" t="s">
        <v>397</v>
      </c>
      <c r="F185" s="45" t="s">
        <v>111</v>
      </c>
      <c r="G185" s="15">
        <f>'PDC répartie-Dimension gaine'!M109</f>
        <v>3.6574074074074079</v>
      </c>
      <c r="H185" s="15" t="s">
        <v>263</v>
      </c>
      <c r="I185" s="10">
        <v>38</v>
      </c>
    </row>
    <row r="186" spans="1:15">
      <c r="B186" s="220" t="str">
        <f>L150</f>
        <v>Trajet AA-DD'</v>
      </c>
      <c r="C186" s="220"/>
      <c r="D186" s="15">
        <f>MROUND(MAX(E166-O161),5)</f>
        <v>70</v>
      </c>
      <c r="E186" s="15" t="s">
        <v>400</v>
      </c>
      <c r="F186" s="45" t="s">
        <v>111</v>
      </c>
      <c r="G186" s="15">
        <f>'PDC répartie-Dimension gaine'!M113</f>
        <v>2.7314814814814818</v>
      </c>
      <c r="H186" s="15" t="s">
        <v>263</v>
      </c>
      <c r="I186" s="10">
        <v>43</v>
      </c>
    </row>
    <row r="187" spans="1:15">
      <c r="B187" s="220" t="str">
        <f>Q150</f>
        <v>Trajet AA-HH'</v>
      </c>
      <c r="C187" s="220"/>
      <c r="D187" s="15">
        <f>MROUND(MAX(E166-T161),5)</f>
        <v>60</v>
      </c>
      <c r="E187" s="15" t="s">
        <v>396</v>
      </c>
      <c r="F187" s="45" t="s">
        <v>111</v>
      </c>
      <c r="G187" s="15">
        <f>'PDC répartie-Dimension gaine'!M108</f>
        <v>3.6574074074074079</v>
      </c>
      <c r="H187" s="15" t="s">
        <v>263</v>
      </c>
      <c r="I187" s="10">
        <v>35</v>
      </c>
    </row>
    <row r="191" spans="1:15">
      <c r="A191" s="25" t="s">
        <v>250</v>
      </c>
      <c r="B191" s="194" t="s">
        <v>299</v>
      </c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6"/>
    </row>
    <row r="192" spans="1:15">
      <c r="L192" s="11"/>
    </row>
    <row r="193" spans="2:15">
      <c r="B193" s="116" t="s">
        <v>500</v>
      </c>
      <c r="G193" s="116" t="s">
        <v>501</v>
      </c>
      <c r="L193" s="116" t="s">
        <v>502</v>
      </c>
    </row>
    <row r="194" spans="2:15" ht="60">
      <c r="B194" s="18" t="s">
        <v>251</v>
      </c>
      <c r="C194" s="26" t="s">
        <v>104</v>
      </c>
      <c r="D194" s="26" t="s">
        <v>252</v>
      </c>
      <c r="E194" s="26" t="s">
        <v>253</v>
      </c>
      <c r="G194" s="18" t="s">
        <v>251</v>
      </c>
      <c r="H194" s="26" t="s">
        <v>104</v>
      </c>
      <c r="I194" s="26" t="s">
        <v>252</v>
      </c>
      <c r="J194" s="26" t="s">
        <v>253</v>
      </c>
      <c r="L194" s="18" t="s">
        <v>251</v>
      </c>
      <c r="M194" s="26" t="s">
        <v>104</v>
      </c>
      <c r="N194" s="26" t="s">
        <v>252</v>
      </c>
      <c r="O194" s="26" t="s">
        <v>253</v>
      </c>
    </row>
    <row r="195" spans="2:15">
      <c r="B195" s="18" t="s">
        <v>504</v>
      </c>
      <c r="C195" s="19">
        <f>'PDC répartie-Dimension gaine'!I149</f>
        <v>0</v>
      </c>
      <c r="D195" s="10"/>
      <c r="E195" s="19">
        <f>'PDC singuliere-Clapet'!G145</f>
        <v>3.8580246913580249</v>
      </c>
      <c r="G195" s="18" t="s">
        <v>504</v>
      </c>
      <c r="H195" s="4">
        <f>C195</f>
        <v>0</v>
      </c>
      <c r="I195" s="4">
        <f t="shared" ref="I195:J195" si="51">D195</f>
        <v>0</v>
      </c>
      <c r="J195" s="4">
        <f t="shared" si="51"/>
        <v>3.8580246913580249</v>
      </c>
      <c r="L195" s="18" t="s">
        <v>504</v>
      </c>
      <c r="M195" s="4">
        <f>C195</f>
        <v>0</v>
      </c>
      <c r="N195" s="4">
        <f t="shared" ref="N195:O195" si="52">D195</f>
        <v>0</v>
      </c>
      <c r="O195" s="4">
        <f t="shared" si="52"/>
        <v>3.8580246913580249</v>
      </c>
    </row>
    <row r="196" spans="2:15">
      <c r="B196" s="18" t="s">
        <v>505</v>
      </c>
      <c r="C196" s="19">
        <f>'PDC répartie-Dimension gaine'!I150</f>
        <v>0</v>
      </c>
      <c r="D196" s="10">
        <f>'PDC singuliere-Clapet'!$H$134</f>
        <v>4</v>
      </c>
      <c r="E196" s="19">
        <f>'PDC singuliere-Clapet'!G146</f>
        <v>3.8580246913580249</v>
      </c>
      <c r="G196" s="18" t="s">
        <v>505</v>
      </c>
      <c r="H196" s="4">
        <f t="shared" ref="H196:H203" si="53">C196</f>
        <v>0</v>
      </c>
      <c r="I196" s="4">
        <f t="shared" ref="I196:I203" si="54">D196</f>
        <v>4</v>
      </c>
      <c r="J196" s="4">
        <f t="shared" ref="J196:J203" si="55">E196</f>
        <v>3.8580246913580249</v>
      </c>
      <c r="L196" s="18" t="s">
        <v>505</v>
      </c>
      <c r="M196" s="4">
        <f t="shared" ref="M196:M202" si="56">C196</f>
        <v>0</v>
      </c>
      <c r="N196" s="4">
        <f t="shared" ref="N196:N202" si="57">D196</f>
        <v>4</v>
      </c>
      <c r="O196" s="4">
        <f t="shared" ref="O196:O202" si="58">E196</f>
        <v>3.8580246913580249</v>
      </c>
    </row>
    <row r="197" spans="2:15">
      <c r="B197" s="18" t="s">
        <v>488</v>
      </c>
      <c r="C197" s="19">
        <f>'PDC répartie-Dimension gaine'!I148</f>
        <v>0</v>
      </c>
      <c r="D197" s="10"/>
      <c r="E197" s="4">
        <f>'PDC singuliere-Clapet'!G147</f>
        <v>3.8580246913580249</v>
      </c>
      <c r="G197" s="18" t="s">
        <v>488</v>
      </c>
      <c r="H197" s="4">
        <f t="shared" si="53"/>
        <v>0</v>
      </c>
      <c r="I197" s="4">
        <f t="shared" si="54"/>
        <v>0</v>
      </c>
      <c r="J197" s="4">
        <f t="shared" si="55"/>
        <v>3.8580246913580249</v>
      </c>
      <c r="L197" s="18" t="s">
        <v>488</v>
      </c>
      <c r="M197" s="4">
        <f t="shared" si="56"/>
        <v>0</v>
      </c>
      <c r="N197" s="4">
        <f t="shared" si="57"/>
        <v>0</v>
      </c>
      <c r="O197" s="4">
        <f t="shared" si="58"/>
        <v>3.8580246913580249</v>
      </c>
    </row>
    <row r="198" spans="2:15">
      <c r="B198" s="18" t="s">
        <v>489</v>
      </c>
      <c r="C198" s="19">
        <f>'PDC répartie-Dimension gaine'!I136</f>
        <v>6.5</v>
      </c>
      <c r="D198" s="10">
        <f>'PDC singuliere-Clapet'!H134</f>
        <v>4</v>
      </c>
      <c r="E198" s="4">
        <f>'PDC singuliere-Clapet'!G147</f>
        <v>3.8580246913580249</v>
      </c>
      <c r="G198" s="18" t="s">
        <v>489</v>
      </c>
      <c r="H198" s="4">
        <f t="shared" si="53"/>
        <v>6.5</v>
      </c>
      <c r="I198" s="4">
        <f t="shared" si="54"/>
        <v>4</v>
      </c>
      <c r="J198" s="4">
        <f t="shared" si="55"/>
        <v>3.8580246913580249</v>
      </c>
      <c r="L198" s="18" t="s">
        <v>489</v>
      </c>
      <c r="M198" s="4">
        <f t="shared" si="56"/>
        <v>6.5</v>
      </c>
      <c r="N198" s="4">
        <f t="shared" si="57"/>
        <v>4</v>
      </c>
      <c r="O198" s="4">
        <f t="shared" si="58"/>
        <v>3.8580246913580249</v>
      </c>
    </row>
    <row r="199" spans="2:15">
      <c r="B199" s="148" t="s">
        <v>490</v>
      </c>
      <c r="C199" s="19">
        <f>'PDC répartie-Dimension gaine'!I137</f>
        <v>5</v>
      </c>
      <c r="D199" s="10"/>
      <c r="E199" s="4">
        <f>'PDC singuliere-Clapet'!G140</f>
        <v>3.8580246913580249</v>
      </c>
      <c r="G199" s="148" t="s">
        <v>490</v>
      </c>
      <c r="H199" s="4">
        <f t="shared" si="53"/>
        <v>5</v>
      </c>
      <c r="I199" s="4">
        <f t="shared" si="54"/>
        <v>0</v>
      </c>
      <c r="J199" s="4">
        <f t="shared" si="55"/>
        <v>3.8580246913580249</v>
      </c>
      <c r="L199" s="148" t="s">
        <v>490</v>
      </c>
      <c r="M199" s="4">
        <f t="shared" si="56"/>
        <v>5</v>
      </c>
      <c r="N199" s="4">
        <f t="shared" si="57"/>
        <v>0</v>
      </c>
      <c r="O199" s="4">
        <f t="shared" si="58"/>
        <v>3.8580246913580249</v>
      </c>
    </row>
    <row r="200" spans="2:15">
      <c r="B200" s="18" t="s">
        <v>491</v>
      </c>
      <c r="C200" s="19">
        <f>'PDC répartie-Dimension gaine'!I138</f>
        <v>2.5</v>
      </c>
      <c r="D200" s="10"/>
      <c r="E200" s="4">
        <f>'PDC singuliere-Clapet'!G141</f>
        <v>3.8580246913580249</v>
      </c>
      <c r="G200" s="18" t="s">
        <v>491</v>
      </c>
      <c r="H200" s="4">
        <f t="shared" si="53"/>
        <v>2.5</v>
      </c>
      <c r="I200" s="4">
        <f t="shared" si="54"/>
        <v>0</v>
      </c>
      <c r="J200" s="4">
        <f t="shared" si="55"/>
        <v>3.8580246913580249</v>
      </c>
      <c r="L200" s="18" t="s">
        <v>491</v>
      </c>
      <c r="M200" s="4">
        <f t="shared" si="56"/>
        <v>2.5</v>
      </c>
      <c r="N200" s="4">
        <f t="shared" si="57"/>
        <v>0</v>
      </c>
      <c r="O200" s="4">
        <f t="shared" si="58"/>
        <v>3.8580246913580249</v>
      </c>
    </row>
    <row r="201" spans="2:15">
      <c r="B201" s="18" t="s">
        <v>492</v>
      </c>
      <c r="C201" s="19">
        <f>'PDC répartie-Dimension gaine'!I139</f>
        <v>0.5</v>
      </c>
      <c r="D201" s="10"/>
      <c r="E201" s="4">
        <f>'PDC singuliere-Clapet'!G142</f>
        <v>3.8580246913580249</v>
      </c>
      <c r="G201" s="18" t="s">
        <v>492</v>
      </c>
      <c r="H201" s="4">
        <f t="shared" si="53"/>
        <v>0.5</v>
      </c>
      <c r="I201" s="4">
        <f t="shared" si="54"/>
        <v>0</v>
      </c>
      <c r="J201" s="4">
        <f t="shared" si="55"/>
        <v>3.8580246913580249</v>
      </c>
      <c r="L201" s="18" t="s">
        <v>492</v>
      </c>
      <c r="M201" s="4">
        <f t="shared" si="56"/>
        <v>0.5</v>
      </c>
      <c r="N201" s="4">
        <f t="shared" si="57"/>
        <v>0</v>
      </c>
      <c r="O201" s="4">
        <f t="shared" si="58"/>
        <v>3.8580246913580249</v>
      </c>
    </row>
    <row r="202" spans="2:15">
      <c r="B202" s="18" t="s">
        <v>506</v>
      </c>
      <c r="C202" s="19">
        <f>'PDC répartie-Dimension gaine'!I140</f>
        <v>0.9</v>
      </c>
      <c r="D202" s="10"/>
      <c r="E202" s="19">
        <f>'PDC singuliere-Clapet'!M150</f>
        <v>4.398148148148147</v>
      </c>
      <c r="G202" s="18" t="s">
        <v>506</v>
      </c>
      <c r="H202" s="4">
        <f t="shared" si="53"/>
        <v>0.9</v>
      </c>
      <c r="I202" s="4">
        <f t="shared" si="54"/>
        <v>0</v>
      </c>
      <c r="J202" s="4">
        <f t="shared" si="55"/>
        <v>4.398148148148147</v>
      </c>
      <c r="L202" s="18" t="s">
        <v>506</v>
      </c>
      <c r="M202" s="4">
        <f t="shared" si="56"/>
        <v>0.9</v>
      </c>
      <c r="N202" s="4">
        <f t="shared" si="57"/>
        <v>0</v>
      </c>
      <c r="O202" s="4">
        <f t="shared" si="58"/>
        <v>4.398148148148147</v>
      </c>
    </row>
    <row r="203" spans="2:15">
      <c r="B203" s="18" t="s">
        <v>509</v>
      </c>
      <c r="C203" s="19">
        <f>'PDC répartie-Dimension gaine'!I141</f>
        <v>0.3</v>
      </c>
      <c r="D203" s="10"/>
      <c r="E203" s="4">
        <f>'PDC singuliere-Clapet'!M151</f>
        <v>1.5046296296296293</v>
      </c>
      <c r="G203" s="18" t="s">
        <v>509</v>
      </c>
      <c r="H203" s="4">
        <f t="shared" si="53"/>
        <v>0.3</v>
      </c>
      <c r="I203" s="4">
        <f t="shared" si="54"/>
        <v>0</v>
      </c>
      <c r="J203" s="4">
        <f t="shared" si="55"/>
        <v>1.5046296296296293</v>
      </c>
      <c r="L203" s="18" t="s">
        <v>508</v>
      </c>
      <c r="M203" s="4">
        <f t="shared" ref="M203" si="59">C203</f>
        <v>0.3</v>
      </c>
      <c r="N203" s="4"/>
      <c r="O203" s="4">
        <f>'PDC singuliere-Clapet'!G143</f>
        <v>1.3888888888888888</v>
      </c>
    </row>
    <row r="204" spans="2:15">
      <c r="B204" s="18" t="s">
        <v>515</v>
      </c>
      <c r="C204" s="19">
        <f>'PDC répartie-Dimension gaine'!I146</f>
        <v>1</v>
      </c>
      <c r="D204" s="10"/>
      <c r="E204" s="4">
        <f>'PDC singuliere-Clapet'!M152</f>
        <v>0.61728395061728392</v>
      </c>
      <c r="G204" s="18" t="s">
        <v>494</v>
      </c>
      <c r="H204" s="4">
        <f t="shared" ref="H204" si="60">C204</f>
        <v>1</v>
      </c>
      <c r="I204" s="4">
        <f>'Bouche GP-GE '!R43</f>
        <v>12.5</v>
      </c>
      <c r="J204" s="4"/>
      <c r="L204" s="18" t="s">
        <v>493</v>
      </c>
      <c r="M204" s="4">
        <f>'PDC répartie-Dimension gaine'!J171</f>
        <v>0</v>
      </c>
      <c r="N204" s="4">
        <f>'Bouche GP-GE '!R44</f>
        <v>12.5</v>
      </c>
      <c r="O204" s="4">
        <f>'PDC singuliere-Clapet'!G143</f>
        <v>1.3888888888888888</v>
      </c>
    </row>
    <row r="205" spans="2:15" ht="16.5">
      <c r="B205" s="46" t="s">
        <v>495</v>
      </c>
      <c r="C205" s="19">
        <f>'PDC répartie-Dimension gaine'!I147</f>
        <v>0.68</v>
      </c>
      <c r="D205" s="4">
        <f>'Bouche GP-GE '!R45</f>
        <v>12.5</v>
      </c>
      <c r="E205" s="4">
        <f>'PDC singuliere-Clapet'!G144</f>
        <v>1.3888888888888888</v>
      </c>
      <c r="G205" s="216" t="s">
        <v>254</v>
      </c>
      <c r="H205" s="217"/>
      <c r="I205" s="218"/>
      <c r="J205" s="118">
        <f>MROUND(SUM(H195:J204),5)</f>
        <v>70</v>
      </c>
      <c r="L205" s="216" t="s">
        <v>254</v>
      </c>
      <c r="M205" s="217"/>
      <c r="N205" s="218"/>
      <c r="O205" s="118">
        <f>MROUND(SUM(M195:O204),5)</f>
        <v>70</v>
      </c>
    </row>
    <row r="206" spans="2:15" ht="16.5">
      <c r="B206" s="216" t="s">
        <v>254</v>
      </c>
      <c r="C206" s="217"/>
      <c r="D206" s="218"/>
      <c r="E206" s="118">
        <f>MROUND(SUM(C195:E205),5)</f>
        <v>75</v>
      </c>
    </row>
    <row r="209" spans="1:14">
      <c r="B209" s="116" t="s">
        <v>503</v>
      </c>
    </row>
    <row r="210" spans="1:14" ht="45">
      <c r="B210" s="18" t="s">
        <v>251</v>
      </c>
      <c r="C210" s="26" t="s">
        <v>104</v>
      </c>
      <c r="D210" s="26" t="s">
        <v>252</v>
      </c>
      <c r="E210" s="26" t="s">
        <v>253</v>
      </c>
    </row>
    <row r="211" spans="1:14">
      <c r="B211" s="18" t="s">
        <v>504</v>
      </c>
      <c r="C211" s="4">
        <f>C195</f>
        <v>0</v>
      </c>
      <c r="D211" s="4">
        <f t="shared" ref="D211:E211" si="61">D195</f>
        <v>0</v>
      </c>
      <c r="E211" s="4">
        <f t="shared" si="61"/>
        <v>3.8580246913580249</v>
      </c>
    </row>
    <row r="212" spans="1:14">
      <c r="B212" s="18" t="s">
        <v>505</v>
      </c>
      <c r="C212" s="4">
        <f t="shared" ref="C212:E212" si="62">C196</f>
        <v>0</v>
      </c>
      <c r="D212" s="4">
        <f t="shared" si="62"/>
        <v>4</v>
      </c>
      <c r="E212" s="4">
        <f t="shared" si="62"/>
        <v>3.8580246913580249</v>
      </c>
    </row>
    <row r="213" spans="1:14">
      <c r="B213" s="18" t="s">
        <v>488</v>
      </c>
      <c r="C213" s="4">
        <f t="shared" ref="C213:E213" si="63">C197</f>
        <v>0</v>
      </c>
      <c r="D213" s="4">
        <f t="shared" si="63"/>
        <v>0</v>
      </c>
      <c r="E213" s="4">
        <f t="shared" si="63"/>
        <v>3.8580246913580249</v>
      </c>
    </row>
    <row r="214" spans="1:14">
      <c r="B214" s="18" t="s">
        <v>489</v>
      </c>
      <c r="C214" s="4">
        <f t="shared" ref="C214:E214" si="64">C198</f>
        <v>6.5</v>
      </c>
      <c r="D214" s="4">
        <f t="shared" si="64"/>
        <v>4</v>
      </c>
      <c r="E214" s="4">
        <f t="shared" si="64"/>
        <v>3.8580246913580249</v>
      </c>
    </row>
    <row r="215" spans="1:14">
      <c r="B215" s="148" t="s">
        <v>490</v>
      </c>
      <c r="C215" s="4">
        <f t="shared" ref="C215:E215" si="65">C199</f>
        <v>5</v>
      </c>
      <c r="D215" s="4">
        <f t="shared" si="65"/>
        <v>0</v>
      </c>
      <c r="E215" s="4">
        <f t="shared" si="65"/>
        <v>3.8580246913580249</v>
      </c>
    </row>
    <row r="216" spans="1:14">
      <c r="B216" s="18" t="s">
        <v>491</v>
      </c>
      <c r="C216" s="4">
        <f t="shared" ref="C216:E216" si="66">C200</f>
        <v>2.5</v>
      </c>
      <c r="D216" s="4">
        <f t="shared" si="66"/>
        <v>0</v>
      </c>
      <c r="E216" s="4">
        <f t="shared" si="66"/>
        <v>3.8580246913580249</v>
      </c>
    </row>
    <row r="217" spans="1:14">
      <c r="B217" s="18" t="s">
        <v>492</v>
      </c>
      <c r="C217" s="4">
        <f t="shared" ref="C217:E217" si="67">C201</f>
        <v>0.5</v>
      </c>
      <c r="D217" s="4">
        <f t="shared" si="67"/>
        <v>0</v>
      </c>
      <c r="E217" s="4">
        <f t="shared" si="67"/>
        <v>3.8580246913580249</v>
      </c>
    </row>
    <row r="218" spans="1:14">
      <c r="B218" s="18" t="s">
        <v>507</v>
      </c>
      <c r="C218" s="4">
        <f t="shared" ref="C218" si="68">W202</f>
        <v>0</v>
      </c>
      <c r="D218" s="4">
        <f>'Bouche GP-GE '!R42</f>
        <v>12.5</v>
      </c>
      <c r="E218" s="4"/>
    </row>
    <row r="219" spans="1:14" ht="16.5">
      <c r="B219" s="123" t="s">
        <v>254</v>
      </c>
      <c r="C219" s="124"/>
      <c r="D219" s="125"/>
      <c r="E219" s="118">
        <f>MROUND(SUM(C211:E218),5)</f>
        <v>60</v>
      </c>
    </row>
    <row r="222" spans="1:14">
      <c r="A222" s="25" t="s">
        <v>255</v>
      </c>
      <c r="B222" s="194" t="s">
        <v>299</v>
      </c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6"/>
    </row>
    <row r="224" spans="1:14" ht="16.5">
      <c r="C224" s="23" t="s">
        <v>256</v>
      </c>
      <c r="D224" s="23"/>
      <c r="E224" s="62">
        <f>MROUND(MAX(E206,J205,O205,E219),5)</f>
        <v>75</v>
      </c>
    </row>
    <row r="225" spans="2:13">
      <c r="C225" s="11"/>
      <c r="D225" s="11"/>
      <c r="E225" s="11"/>
    </row>
    <row r="226" spans="2:13" ht="45">
      <c r="B226" s="184" t="s">
        <v>257</v>
      </c>
      <c r="C226" s="184"/>
      <c r="D226" s="121" t="s">
        <v>258</v>
      </c>
      <c r="E226" s="36" t="s">
        <v>96</v>
      </c>
      <c r="F226" s="119" t="s">
        <v>259</v>
      </c>
      <c r="G226" s="40" t="s">
        <v>107</v>
      </c>
      <c r="H226" s="120" t="s">
        <v>260</v>
      </c>
      <c r="I226" s="18" t="s">
        <v>261</v>
      </c>
      <c r="M226" s="11"/>
    </row>
    <row r="227" spans="2:13">
      <c r="B227" s="220" t="str">
        <f>B193</f>
        <v>Trajet 1-16</v>
      </c>
      <c r="C227" s="220"/>
      <c r="D227" s="15">
        <f>$E$224-E206</f>
        <v>0</v>
      </c>
      <c r="E227" s="15" t="str">
        <f>B205</f>
        <v>15-16.</v>
      </c>
      <c r="F227" s="10" t="s">
        <v>78</v>
      </c>
      <c r="G227" s="10" t="s">
        <v>78</v>
      </c>
      <c r="H227" s="10" t="s">
        <v>78</v>
      </c>
      <c r="I227" s="10" t="s">
        <v>78</v>
      </c>
      <c r="M227" s="11"/>
    </row>
    <row r="228" spans="2:13">
      <c r="B228" s="220" t="str">
        <f>G193</f>
        <v>Trajet 1-14</v>
      </c>
      <c r="C228" s="220"/>
      <c r="D228" s="15">
        <f>$E$224-J205</f>
        <v>5</v>
      </c>
      <c r="E228" s="15" t="str">
        <f>G204</f>
        <v>13-14.</v>
      </c>
      <c r="F228" s="45" t="s">
        <v>111</v>
      </c>
      <c r="G228" s="15">
        <f>'PDC répartie-Dimension gaine'!L145</f>
        <v>1.8518518518518519</v>
      </c>
      <c r="H228" s="15" t="s">
        <v>263</v>
      </c>
      <c r="I228" s="10">
        <v>26</v>
      </c>
      <c r="M228" s="11"/>
    </row>
    <row r="229" spans="2:13">
      <c r="B229" s="220" t="str">
        <f>L193</f>
        <v>Trajet 1-12</v>
      </c>
      <c r="C229" s="220"/>
      <c r="D229" s="15">
        <f>$E$224-O205</f>
        <v>5</v>
      </c>
      <c r="E229" s="15" t="str">
        <f>L204</f>
        <v>11-12.</v>
      </c>
      <c r="F229" s="45" t="s">
        <v>111</v>
      </c>
      <c r="G229" s="15">
        <f>'PDC répartie-Dimension gaine'!L144</f>
        <v>1.3888888888888888</v>
      </c>
      <c r="H229" s="15" t="s">
        <v>263</v>
      </c>
      <c r="I229" s="10">
        <v>32</v>
      </c>
      <c r="M229" s="11"/>
    </row>
    <row r="230" spans="2:13">
      <c r="B230" s="220" t="str">
        <f>B209</f>
        <v>Trajet 1-8</v>
      </c>
      <c r="C230" s="220"/>
      <c r="D230" s="15">
        <f>$E$224-E219</f>
        <v>15</v>
      </c>
      <c r="E230" s="15" t="str">
        <f>B218</f>
        <v>8-9.</v>
      </c>
      <c r="F230" s="45" t="s">
        <v>111</v>
      </c>
      <c r="G230" s="15">
        <f>'PDC répartie-Dimension gaine'!L142</f>
        <v>1.3888888888888888</v>
      </c>
      <c r="H230" s="15" t="s">
        <v>263</v>
      </c>
      <c r="I230" s="10">
        <v>42</v>
      </c>
      <c r="M230" s="11"/>
    </row>
    <row r="231" spans="2:13">
      <c r="M231" s="11"/>
    </row>
    <row r="232" spans="2:13">
      <c r="M232" s="11"/>
    </row>
    <row r="233" spans="2:13">
      <c r="M233" s="11"/>
    </row>
  </sheetData>
  <mergeCells count="80">
    <mergeCell ref="B191:N191"/>
    <mergeCell ref="L205:N205"/>
    <mergeCell ref="B206:D206"/>
    <mergeCell ref="G205:I205"/>
    <mergeCell ref="B222:N222"/>
    <mergeCell ref="B226:C226"/>
    <mergeCell ref="B227:C227"/>
    <mergeCell ref="B228:C228"/>
    <mergeCell ref="B229:C229"/>
    <mergeCell ref="B230:C230"/>
    <mergeCell ref="B87:C87"/>
    <mergeCell ref="B88:C88"/>
    <mergeCell ref="B89:C89"/>
    <mergeCell ref="B90:C90"/>
    <mergeCell ref="B91:C91"/>
    <mergeCell ref="B185:C185"/>
    <mergeCell ref="B186:C186"/>
    <mergeCell ref="B187:C187"/>
    <mergeCell ref="B75:C75"/>
    <mergeCell ref="B74:C74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180:C180"/>
    <mergeCell ref="B181:C181"/>
    <mergeCell ref="B182:C182"/>
    <mergeCell ref="B183:C183"/>
    <mergeCell ref="B184:C184"/>
    <mergeCell ref="B175:C175"/>
    <mergeCell ref="B176:C176"/>
    <mergeCell ref="B177:C177"/>
    <mergeCell ref="B178:C178"/>
    <mergeCell ref="B179:C179"/>
    <mergeCell ref="B170:C170"/>
    <mergeCell ref="B171:C171"/>
    <mergeCell ref="B172:C172"/>
    <mergeCell ref="B173:C173"/>
    <mergeCell ref="B174:C174"/>
    <mergeCell ref="B92:C92"/>
    <mergeCell ref="B93:C93"/>
    <mergeCell ref="V109:X109"/>
    <mergeCell ref="B168:C168"/>
    <mergeCell ref="B169:C169"/>
    <mergeCell ref="G112:I112"/>
    <mergeCell ref="L110:N110"/>
    <mergeCell ref="Q109:S109"/>
    <mergeCell ref="B111:D111"/>
    <mergeCell ref="B164:N164"/>
    <mergeCell ref="G51:I51"/>
    <mergeCell ref="L49:N49"/>
    <mergeCell ref="Q63:S63"/>
    <mergeCell ref="C68:O68"/>
    <mergeCell ref="C72:D72"/>
    <mergeCell ref="B65:D65"/>
    <mergeCell ref="G65:I65"/>
    <mergeCell ref="L65:N65"/>
    <mergeCell ref="J176:L180"/>
    <mergeCell ref="B1:N1"/>
    <mergeCell ref="B16:D16"/>
    <mergeCell ref="V12:X12"/>
    <mergeCell ref="L31:N31"/>
    <mergeCell ref="G14:I14"/>
    <mergeCell ref="L13:N13"/>
    <mergeCell ref="Q12:S12"/>
    <mergeCell ref="B28:D28"/>
    <mergeCell ref="Q31:S31"/>
    <mergeCell ref="B96:N96"/>
    <mergeCell ref="V31:X31"/>
    <mergeCell ref="Q46:S46"/>
    <mergeCell ref="V44:X44"/>
    <mergeCell ref="G29:I29"/>
    <mergeCell ref="B53:D5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78E6-7780-4B84-ACF1-AA439C4C194F}">
  <dimension ref="B2:N33"/>
  <sheetViews>
    <sheetView topLeftCell="A22" zoomScale="61" workbookViewId="0">
      <selection activeCell="K40" sqref="K40"/>
    </sheetView>
  </sheetViews>
  <sheetFormatPr baseColWidth="10" defaultColWidth="10.5703125" defaultRowHeight="15"/>
  <sheetData>
    <row r="2" spans="2:14">
      <c r="B2" s="180" t="s">
        <v>56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2"/>
    </row>
    <row r="3" spans="2:14" ht="15.75" thickBot="1"/>
    <row r="4" spans="2:14" ht="15.75" thickBot="1">
      <c r="B4" s="226" t="s">
        <v>244</v>
      </c>
      <c r="C4" s="227"/>
      <c r="D4" s="228"/>
    </row>
    <row r="5" spans="2:14">
      <c r="B5" s="229" t="s">
        <v>245</v>
      </c>
      <c r="C5" s="229"/>
      <c r="D5" s="67" t="s">
        <v>193</v>
      </c>
    </row>
    <row r="6" spans="2:14">
      <c r="B6" s="232" t="s">
        <v>246</v>
      </c>
      <c r="C6" s="233"/>
      <c r="D6" s="33">
        <v>212</v>
      </c>
    </row>
    <row r="7" spans="2:14">
      <c r="B7" s="232" t="s">
        <v>247</v>
      </c>
      <c r="C7" s="233"/>
      <c r="D7" s="33">
        <v>74</v>
      </c>
    </row>
    <row r="8" spans="2:14">
      <c r="B8" s="232" t="s">
        <v>248</v>
      </c>
      <c r="C8" s="233"/>
      <c r="D8" s="33">
        <v>69</v>
      </c>
    </row>
    <row r="9" spans="2:14">
      <c r="B9" s="232" t="s">
        <v>247</v>
      </c>
      <c r="C9" s="233"/>
      <c r="D9" s="33">
        <v>80</v>
      </c>
    </row>
    <row r="10" spans="2:14">
      <c r="B10" s="232" t="s">
        <v>249</v>
      </c>
      <c r="C10" s="233"/>
      <c r="D10" s="33">
        <f>SUM(D6:D9)</f>
        <v>435</v>
      </c>
    </row>
    <row r="12" spans="2:14">
      <c r="B12" s="189" t="s">
        <v>91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1"/>
    </row>
    <row r="13" spans="2:14" ht="15.75" thickBot="1"/>
    <row r="14" spans="2:14" ht="15.75" thickBot="1">
      <c r="B14" s="226" t="s">
        <v>244</v>
      </c>
      <c r="C14" s="228"/>
    </row>
    <row r="15" spans="2:14">
      <c r="B15" s="46" t="s">
        <v>245</v>
      </c>
      <c r="C15" s="46" t="s">
        <v>193</v>
      </c>
    </row>
    <row r="16" spans="2:14">
      <c r="B16" s="34" t="s">
        <v>246</v>
      </c>
      <c r="C16" s="34">
        <v>175</v>
      </c>
    </row>
    <row r="17" spans="2:9">
      <c r="B17" s="10" t="s">
        <v>249</v>
      </c>
      <c r="C17" s="10">
        <f>C16</f>
        <v>175</v>
      </c>
    </row>
    <row r="24" spans="2:9">
      <c r="B24" s="197" t="s">
        <v>511</v>
      </c>
      <c r="C24" s="197"/>
      <c r="D24" s="197"/>
      <c r="E24" s="197"/>
      <c r="F24" s="197"/>
      <c r="G24" s="197"/>
    </row>
    <row r="25" spans="2:9">
      <c r="B25" s="197"/>
      <c r="C25" s="197"/>
      <c r="D25" s="197"/>
      <c r="E25" s="197"/>
      <c r="F25" s="197"/>
      <c r="G25" s="197"/>
    </row>
    <row r="26" spans="2:9" ht="29.1" customHeight="1">
      <c r="B26" s="197" t="s">
        <v>518</v>
      </c>
      <c r="C26" s="197"/>
      <c r="D26" s="197"/>
      <c r="E26" s="197"/>
      <c r="F26" s="197"/>
      <c r="G26" s="197"/>
    </row>
    <row r="27" spans="2:9" ht="15.75" thickBot="1"/>
    <row r="28" spans="2:9" ht="28.7" customHeight="1">
      <c r="B28" s="224"/>
      <c r="C28" s="230" t="s">
        <v>512</v>
      </c>
      <c r="D28" s="230" t="s">
        <v>513</v>
      </c>
      <c r="E28" s="230" t="s">
        <v>516</v>
      </c>
      <c r="F28" s="230" t="s">
        <v>517</v>
      </c>
      <c r="G28" s="234" t="s">
        <v>264</v>
      </c>
      <c r="H28" s="222" t="s">
        <v>265</v>
      </c>
      <c r="I28" s="222" t="s">
        <v>266</v>
      </c>
    </row>
    <row r="29" spans="2:9" ht="15.75" thickBot="1">
      <c r="B29" s="225"/>
      <c r="C29" s="231"/>
      <c r="D29" s="231"/>
      <c r="E29" s="231"/>
      <c r="F29" s="231"/>
      <c r="G29" s="235"/>
      <c r="H29" s="223"/>
      <c r="I29" s="223"/>
    </row>
    <row r="30" spans="2:9" ht="15.75" thickBot="1">
      <c r="B30" s="137" t="s">
        <v>56</v>
      </c>
      <c r="C30" s="136">
        <f>'PDC répartie-Dimension gaine'!E127</f>
        <v>10944</v>
      </c>
      <c r="D30" s="136">
        <f>Données!I24</f>
        <v>6749</v>
      </c>
      <c r="E30" s="135">
        <f>D10+'PDC total-Equilibrage'!E72+75</f>
        <v>745</v>
      </c>
      <c r="F30" s="135">
        <f>E30+E30*0.15</f>
        <v>856.75</v>
      </c>
      <c r="G30" s="76" t="s">
        <v>522</v>
      </c>
      <c r="H30" s="77">
        <v>69</v>
      </c>
      <c r="I30" s="76">
        <v>3.5</v>
      </c>
    </row>
    <row r="31" spans="2:9" ht="15.75" thickBot="1">
      <c r="B31" s="138" t="s">
        <v>91</v>
      </c>
      <c r="C31" s="47">
        <f>'PDC répartie-Dimension gaine'!E127</f>
        <v>10944</v>
      </c>
      <c r="D31" s="49">
        <f>Données!I24</f>
        <v>6749</v>
      </c>
      <c r="E31" s="5">
        <f>C17+'PDC total-Equilibrage'!E166+75</f>
        <v>405</v>
      </c>
      <c r="F31" s="5">
        <f>E31+E31*0.15</f>
        <v>465.75</v>
      </c>
      <c r="G31" s="76" t="s">
        <v>522</v>
      </c>
      <c r="H31" s="43">
        <v>55</v>
      </c>
      <c r="I31" s="10">
        <v>2.4</v>
      </c>
    </row>
    <row r="32" spans="2:9" ht="15.75" thickBot="1">
      <c r="B32" s="149" t="s">
        <v>91</v>
      </c>
      <c r="C32" s="47">
        <f>'PDC répartie-Dimension gaine'!E150</f>
        <v>250</v>
      </c>
      <c r="D32" s="49">
        <f>'PDC répartie-Dimension gaine'!E150</f>
        <v>250</v>
      </c>
      <c r="E32" s="5">
        <f>C17+'PDC total-Equilibrage'!E167+75</f>
        <v>250</v>
      </c>
      <c r="F32" s="5">
        <f>E32+E32*0.15</f>
        <v>287.5</v>
      </c>
      <c r="G32" s="76"/>
      <c r="H32" s="43"/>
      <c r="I32" s="10"/>
    </row>
    <row r="33" spans="5:5">
      <c r="E33" t="s">
        <v>568</v>
      </c>
    </row>
  </sheetData>
  <mergeCells count="20">
    <mergeCell ref="I28:I29"/>
    <mergeCell ref="E28:E29"/>
    <mergeCell ref="G28:G29"/>
    <mergeCell ref="F28:F29"/>
    <mergeCell ref="B26:G26"/>
    <mergeCell ref="H28:H29"/>
    <mergeCell ref="B28:B29"/>
    <mergeCell ref="B2:N2"/>
    <mergeCell ref="B4:D4"/>
    <mergeCell ref="B5:C5"/>
    <mergeCell ref="B24:G25"/>
    <mergeCell ref="D28:D29"/>
    <mergeCell ref="B8:C8"/>
    <mergeCell ref="B6:C6"/>
    <mergeCell ref="B7:C7"/>
    <mergeCell ref="B9:C9"/>
    <mergeCell ref="B10:C10"/>
    <mergeCell ref="B12:N12"/>
    <mergeCell ref="B14:C14"/>
    <mergeCell ref="C28:C29"/>
  </mergeCells>
  <phoneticPr fontId="1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067D-ECDC-4317-B411-B3C701919FB7}">
  <dimension ref="B2:R47"/>
  <sheetViews>
    <sheetView topLeftCell="A23" zoomScaleNormal="85" workbookViewId="0">
      <selection activeCell="B32" sqref="B32"/>
    </sheetView>
  </sheetViews>
  <sheetFormatPr baseColWidth="10" defaultRowHeight="15"/>
  <cols>
    <col min="3" max="3" width="23.42578125" customWidth="1"/>
    <col min="12" max="12" width="23.5703125" customWidth="1"/>
  </cols>
  <sheetData>
    <row r="2" spans="2:11">
      <c r="E2" t="s">
        <v>523</v>
      </c>
      <c r="F2" t="s">
        <v>524</v>
      </c>
      <c r="G2" t="s">
        <v>525</v>
      </c>
      <c r="H2" t="s">
        <v>526</v>
      </c>
      <c r="I2" t="s">
        <v>530</v>
      </c>
      <c r="J2" t="s">
        <v>527</v>
      </c>
      <c r="K2" t="s">
        <v>528</v>
      </c>
    </row>
    <row r="4" spans="2:11">
      <c r="B4" t="s">
        <v>531</v>
      </c>
      <c r="D4" t="s">
        <v>532</v>
      </c>
    </row>
    <row r="5" spans="2:11">
      <c r="D5" t="s">
        <v>533</v>
      </c>
    </row>
    <row r="6" spans="2:11">
      <c r="D6" t="s">
        <v>534</v>
      </c>
    </row>
    <row r="7" spans="2:11">
      <c r="D7" t="s">
        <v>535</v>
      </c>
    </row>
    <row r="9" spans="2:11">
      <c r="D9" t="s">
        <v>536</v>
      </c>
    </row>
    <row r="10" spans="2:11">
      <c r="D10" t="s">
        <v>537</v>
      </c>
    </row>
    <row r="11" spans="2:11">
      <c r="D11" t="s">
        <v>538</v>
      </c>
    </row>
    <row r="12" spans="2:11">
      <c r="D12" t="s">
        <v>539</v>
      </c>
    </row>
    <row r="13" spans="2:11">
      <c r="D13" t="s">
        <v>540</v>
      </c>
    </row>
    <row r="14" spans="2:11">
      <c r="D14" t="s">
        <v>541</v>
      </c>
    </row>
    <row r="15" spans="2:11">
      <c r="D15" t="s">
        <v>542</v>
      </c>
    </row>
    <row r="16" spans="2:11">
      <c r="D16" t="s">
        <v>562</v>
      </c>
    </row>
    <row r="21" spans="3:18" ht="15.75" thickBot="1"/>
    <row r="22" spans="3:18" ht="15.75" thickBot="1">
      <c r="C22" s="236" t="s">
        <v>56</v>
      </c>
      <c r="D22" s="237"/>
      <c r="E22" s="237"/>
      <c r="F22" s="237"/>
      <c r="G22" s="237"/>
      <c r="H22" s="237"/>
      <c r="I22" s="238"/>
      <c r="J22" s="165"/>
      <c r="K22" s="165"/>
      <c r="L22" s="239" t="s">
        <v>91</v>
      </c>
      <c r="M22" s="240"/>
      <c r="N22" s="240"/>
      <c r="O22" s="240"/>
      <c r="P22" s="240"/>
      <c r="Q22" s="240"/>
      <c r="R22" s="241"/>
    </row>
    <row r="23" spans="3:18" ht="75.75" thickBot="1">
      <c r="C23" s="161" t="s">
        <v>544</v>
      </c>
      <c r="D23" s="162" t="s">
        <v>543</v>
      </c>
      <c r="E23" s="163" t="s">
        <v>104</v>
      </c>
      <c r="F23" s="163" t="s">
        <v>252</v>
      </c>
      <c r="G23" s="163" t="s">
        <v>253</v>
      </c>
      <c r="H23" s="163" t="s">
        <v>545</v>
      </c>
      <c r="I23" s="164" t="s">
        <v>546</v>
      </c>
      <c r="J23" s="166"/>
      <c r="K23" s="166"/>
      <c r="L23" s="161" t="s">
        <v>544</v>
      </c>
      <c r="M23" s="162" t="s">
        <v>543</v>
      </c>
      <c r="N23" s="163" t="s">
        <v>104</v>
      </c>
      <c r="O23" s="163" t="s">
        <v>252</v>
      </c>
      <c r="P23" s="163" t="s">
        <v>253</v>
      </c>
      <c r="Q23" s="163" t="s">
        <v>545</v>
      </c>
      <c r="R23" s="164" t="s">
        <v>546</v>
      </c>
    </row>
    <row r="24" spans="3:18">
      <c r="C24" s="159" t="s">
        <v>552</v>
      </c>
      <c r="D24" s="160">
        <f>'Bouche GP-GE '!E9</f>
        <v>550</v>
      </c>
      <c r="E24" s="167">
        <f>SUM('PDC total-Equilibrage'!W20:W30)</f>
        <v>14.349825000000003</v>
      </c>
      <c r="F24" s="167">
        <f>SUM('PDC total-Equilibrage'!X20:X30)</f>
        <v>37</v>
      </c>
      <c r="G24" s="167">
        <f>SUM('PDC total-Equilibrage'!Y20:Y29)</f>
        <v>181.17504811557035</v>
      </c>
      <c r="H24" s="78">
        <f>'PDC total-Equilibrage'!D84</f>
        <v>0</v>
      </c>
      <c r="I24" s="169">
        <f t="shared" ref="I24:I42" si="0">MROUND(SUM(E24:H24),5)</f>
        <v>235</v>
      </c>
      <c r="L24" s="159" t="s">
        <v>552</v>
      </c>
      <c r="M24" s="160">
        <f t="shared" ref="M24:M42" si="1">D24</f>
        <v>550</v>
      </c>
      <c r="N24" s="167">
        <f>SUM('PDC total-Equilibrage'!R116:R128)</f>
        <v>13.873000000000001</v>
      </c>
      <c r="O24" s="167">
        <f>SUM('PDC total-Equilibrage'!S116:S128)</f>
        <v>23</v>
      </c>
      <c r="P24" s="167">
        <f>SUM('PDC total-Equilibrage'!T116:T128)</f>
        <v>107.29885234788135</v>
      </c>
      <c r="Q24" s="78">
        <f>'PDC total-Equilibrage'!D177</f>
        <v>10</v>
      </c>
      <c r="R24" s="169">
        <f t="shared" ref="R24:R42" si="2">MROUND(SUM(N24:Q24),5)</f>
        <v>155</v>
      </c>
    </row>
    <row r="25" spans="3:18">
      <c r="C25" s="155" t="s">
        <v>551</v>
      </c>
      <c r="D25" s="160">
        <f>'Bouche GP-GE '!E10</f>
        <v>365</v>
      </c>
      <c r="E25" s="168">
        <f>SUM('PDC total-Equilibrage'!R20:R30)</f>
        <v>16.068025000000002</v>
      </c>
      <c r="F25" s="168">
        <f>SUM('PDC total-Equilibrage'!S20:S30)</f>
        <v>31</v>
      </c>
      <c r="G25" s="168">
        <f>SUM('PDC total-Equilibrage'!T20:T29)</f>
        <v>181.17504811557035</v>
      </c>
      <c r="H25" s="9">
        <f>'PDC total-Equilibrage'!D83</f>
        <v>5</v>
      </c>
      <c r="I25" s="169">
        <f t="shared" si="0"/>
        <v>235</v>
      </c>
      <c r="L25" s="155" t="s">
        <v>551</v>
      </c>
      <c r="M25" s="160">
        <f t="shared" si="1"/>
        <v>365</v>
      </c>
      <c r="N25" s="168">
        <f>SUM('PDC total-Equilibrage'!W116:W128)</f>
        <v>14.978000000000002</v>
      </c>
      <c r="O25" s="168">
        <f>SUM('PDC total-Equilibrage'!X116:X128)</f>
        <v>17.5</v>
      </c>
      <c r="P25" s="168">
        <f>SUM('PDC total-Equilibrage'!Y116:Y128)</f>
        <v>107.29885234788135</v>
      </c>
      <c r="Q25" s="9">
        <f>'PDC total-Equilibrage'!D178</f>
        <v>15</v>
      </c>
      <c r="R25" s="169">
        <f t="shared" si="2"/>
        <v>155</v>
      </c>
    </row>
    <row r="26" spans="3:18">
      <c r="C26" s="155" t="s">
        <v>550</v>
      </c>
      <c r="D26" s="160">
        <f>'Bouche GP-GE '!E12</f>
        <v>880</v>
      </c>
      <c r="E26" s="168">
        <f>SUM('PDC total-Equilibrage'!M20:M30)</f>
        <v>14.2544</v>
      </c>
      <c r="F26" s="168">
        <f>SUM('PDC total-Equilibrage'!N20:N30)</f>
        <v>23.5</v>
      </c>
      <c r="G26" s="168">
        <f>SUM('PDC total-Equilibrage'!O20:O29)</f>
        <v>118.23855393182546</v>
      </c>
      <c r="H26" s="9">
        <f>'PDC total-Equilibrage'!D82</f>
        <v>80</v>
      </c>
      <c r="I26" s="169">
        <f t="shared" si="0"/>
        <v>235</v>
      </c>
      <c r="L26" s="155" t="s">
        <v>550</v>
      </c>
      <c r="M26" s="160">
        <f t="shared" si="1"/>
        <v>880</v>
      </c>
      <c r="N26" s="168">
        <f>SUM('PDC total-Equilibrage'!M116:M127)</f>
        <v>11.423</v>
      </c>
      <c r="O26" s="168">
        <f>SUM('PDC total-Equilibrage'!N116:N127)</f>
        <v>15.25</v>
      </c>
      <c r="P26" s="168">
        <f>SUM('PDC total-Equilibrage'!O116:O127)</f>
        <v>108.46126900880915</v>
      </c>
      <c r="Q26" s="9">
        <f>'PDC total-Equilibrage'!D176</f>
        <v>20</v>
      </c>
      <c r="R26" s="169">
        <f t="shared" si="2"/>
        <v>155</v>
      </c>
    </row>
    <row r="27" spans="3:18">
      <c r="C27" s="155" t="s">
        <v>17</v>
      </c>
      <c r="D27" s="160">
        <f>'Bouche GP-GE '!E13</f>
        <v>575</v>
      </c>
      <c r="E27" s="168">
        <f>SUM('PDC total-Equilibrage'!H20:H28)</f>
        <v>12.867400000000002</v>
      </c>
      <c r="F27" s="168">
        <f>SUM('PDC total-Equilibrage'!I20:I28)</f>
        <v>30</v>
      </c>
      <c r="G27" s="168">
        <f>SUM('PDC total-Equilibrage'!J20:J27)</f>
        <v>105.66628309849213</v>
      </c>
      <c r="H27" s="9">
        <f>'PDC total-Equilibrage'!D81</f>
        <v>85</v>
      </c>
      <c r="I27" s="169">
        <f t="shared" si="0"/>
        <v>235</v>
      </c>
      <c r="L27" s="155" t="s">
        <v>17</v>
      </c>
      <c r="M27" s="160">
        <f t="shared" si="1"/>
        <v>575</v>
      </c>
      <c r="N27" s="168">
        <f>SUM('PDC total-Equilibrage'!C116:C125)</f>
        <v>9.3309999999999995</v>
      </c>
      <c r="O27" s="168">
        <f>SUM('PDC total-Equilibrage'!D116:D125)</f>
        <v>18.75</v>
      </c>
      <c r="P27" s="168">
        <f>SUM('PDC total-Equilibrage'!E116:E125)</f>
        <v>79.846089559220673</v>
      </c>
      <c r="Q27" s="9">
        <f>'PDC total-Equilibrage'!D174</f>
        <v>45</v>
      </c>
      <c r="R27" s="169">
        <f t="shared" si="2"/>
        <v>155</v>
      </c>
    </row>
    <row r="28" spans="3:18">
      <c r="C28" s="155" t="s">
        <v>18</v>
      </c>
      <c r="D28" s="160">
        <f>'Bouche GP-GE '!E14</f>
        <v>580</v>
      </c>
      <c r="E28" s="168">
        <f>SUM('PDC total-Equilibrage'!W5:W11)</f>
        <v>10.329900000000002</v>
      </c>
      <c r="F28" s="168">
        <f>SUM('PDC total-Equilibrage'!X5:X11)</f>
        <v>31</v>
      </c>
      <c r="G28" s="168">
        <f>SUM('PDC total-Equilibrage'!Y5:Y10)</f>
        <v>99.842587291682719</v>
      </c>
      <c r="H28" s="9">
        <f>'PDC total-Equilibrage'!D79</f>
        <v>95</v>
      </c>
      <c r="I28" s="169">
        <f t="shared" si="0"/>
        <v>235</v>
      </c>
      <c r="L28" s="155" t="s">
        <v>18</v>
      </c>
      <c r="M28" s="160">
        <f t="shared" si="1"/>
        <v>580</v>
      </c>
      <c r="N28" s="168">
        <f>SUM('PDC total-Equilibrage'!W100:W108)</f>
        <v>8.9459999999999997</v>
      </c>
      <c r="O28" s="168">
        <f>SUM('PDC total-Equilibrage'!X100:X108)</f>
        <v>18.8</v>
      </c>
      <c r="P28" s="168">
        <f>SUM('PDC total-Equilibrage'!Y100:Y108)</f>
        <v>72.713211955054007</v>
      </c>
      <c r="Q28" s="9">
        <f>'PDC total-Equilibrage'!D173</f>
        <v>55</v>
      </c>
      <c r="R28" s="169">
        <f t="shared" si="2"/>
        <v>155</v>
      </c>
    </row>
    <row r="29" spans="3:18">
      <c r="C29" s="155" t="s">
        <v>19</v>
      </c>
      <c r="D29" s="160">
        <f>'Bouche GP-GE '!E15</f>
        <v>580</v>
      </c>
      <c r="E29" s="168">
        <f>SUM('PDC total-Equilibrage'!M5:M12)</f>
        <v>10.9689</v>
      </c>
      <c r="F29" s="168">
        <f>SUM('PDC total-Equilibrage'!N5:N12)</f>
        <v>33</v>
      </c>
      <c r="G29" s="168">
        <f>SUM('PDC total-Equilibrage'!O5:O11)</f>
        <v>106.5330979374196</v>
      </c>
      <c r="H29" s="9">
        <f>'PDC total-Equilibrage'!D77</f>
        <v>85</v>
      </c>
      <c r="I29" s="169">
        <f t="shared" si="0"/>
        <v>235</v>
      </c>
      <c r="L29" s="155" t="s">
        <v>19</v>
      </c>
      <c r="M29" s="160">
        <f t="shared" si="1"/>
        <v>580</v>
      </c>
      <c r="N29" s="168">
        <f>SUM('PDC total-Equilibrage'!M100:M109)</f>
        <v>13.621500000000001</v>
      </c>
      <c r="O29" s="168">
        <f>SUM('PDC total-Equilibrage'!N100:N109)</f>
        <v>20.8</v>
      </c>
      <c r="P29" s="168">
        <f>SUM('PDC total-Equilibrage'!O100:O109)</f>
        <v>62.973635115258467</v>
      </c>
      <c r="Q29" s="9">
        <f>'PDC total-Equilibrage'!D171</f>
        <v>60</v>
      </c>
      <c r="R29" s="169">
        <f t="shared" si="2"/>
        <v>155</v>
      </c>
    </row>
    <row r="30" spans="3:18">
      <c r="C30" s="155" t="s">
        <v>20</v>
      </c>
      <c r="D30" s="160">
        <f>'Bouche GP-GE '!E16</f>
        <v>965</v>
      </c>
      <c r="E30" s="168">
        <f>SUM('PDC total-Equilibrage'!C5:C15)</f>
        <v>12.25625</v>
      </c>
      <c r="F30" s="168">
        <f>SUM('PDC total-Equilibrage'!D5:D15)</f>
        <v>29</v>
      </c>
      <c r="G30" s="168">
        <f>SUM('PDC total-Equilibrage'!E5:E15)</f>
        <v>116.386880199027</v>
      </c>
      <c r="H30" s="9">
        <f>'PDC total-Equilibrage'!D75</f>
        <v>75</v>
      </c>
      <c r="I30" s="169">
        <f t="shared" si="0"/>
        <v>235</v>
      </c>
      <c r="L30" s="155" t="s">
        <v>20</v>
      </c>
      <c r="M30" s="160">
        <f t="shared" si="1"/>
        <v>965</v>
      </c>
      <c r="N30" s="168">
        <f>SUM('PDC total-Equilibrage'!C100:C110)</f>
        <v>13.4435</v>
      </c>
      <c r="O30" s="168">
        <f>SUM('PDC total-Equilibrage'!D100:D110)</f>
        <v>18.5</v>
      </c>
      <c r="P30" s="168">
        <f>SUM('PDC total-Equilibrage'!E100:E110)</f>
        <v>69.667336339780405</v>
      </c>
      <c r="Q30" s="9">
        <f>'PDC total-Equilibrage'!D169</f>
        <v>55</v>
      </c>
      <c r="R30" s="169">
        <f t="shared" si="2"/>
        <v>155</v>
      </c>
    </row>
    <row r="31" spans="3:18">
      <c r="C31" s="155" t="s">
        <v>547</v>
      </c>
      <c r="D31" s="160">
        <f>'Bouche GP-GE '!E17/2</f>
        <v>687.5</v>
      </c>
      <c r="E31" s="168">
        <f>SUM('PDC total-Equilibrage'!R5:R11)</f>
        <v>8.7351499999999991</v>
      </c>
      <c r="F31" s="168">
        <f>SUM('PDC total-Equilibrage'!S5:S11)</f>
        <v>27.5</v>
      </c>
      <c r="G31" s="168">
        <f>SUM('PDC total-Equilibrage'!T5:T11)</f>
        <v>104.60682346307546</v>
      </c>
      <c r="H31" s="9">
        <f>'PDC total-Equilibrage'!D78</f>
        <v>95</v>
      </c>
      <c r="I31" s="169">
        <f t="shared" si="0"/>
        <v>235</v>
      </c>
      <c r="L31" s="155" t="s">
        <v>558</v>
      </c>
      <c r="M31" s="160">
        <f t="shared" si="1"/>
        <v>687.5</v>
      </c>
      <c r="N31" s="168">
        <f>SUM('PDC total-Equilibrage'!R100:R108)</f>
        <v>12.711499999999999</v>
      </c>
      <c r="O31" s="168">
        <f>SUM('PDC total-Equilibrage'!S100:S108)</f>
        <v>25.5</v>
      </c>
      <c r="P31" s="168">
        <f>SUM('PDC total-Equilibrage'!T100:T108)</f>
        <v>59.771562391493035</v>
      </c>
      <c r="Q31" s="9">
        <f>'PDC total-Equilibrage'!D172</f>
        <v>55</v>
      </c>
      <c r="R31" s="169">
        <f t="shared" si="2"/>
        <v>155</v>
      </c>
    </row>
    <row r="32" spans="3:18">
      <c r="C32" s="155" t="s">
        <v>548</v>
      </c>
      <c r="D32" s="160">
        <f>D31</f>
        <v>687.5</v>
      </c>
      <c r="E32" s="168">
        <f>SUM('PDC total-Equilibrage'!C20:C27)</f>
        <v>10.50615</v>
      </c>
      <c r="F32" s="168">
        <f>SUM('PDC total-Equilibrage'!D20:D27)</f>
        <v>25.5</v>
      </c>
      <c r="G32" s="168">
        <f>SUM('PDC total-Equilibrage'!E20:'PDC total-Equilibrage'!E20:E27)</f>
        <v>104.34294847915056</v>
      </c>
      <c r="H32" s="9">
        <f>'PDC total-Equilibrage'!D80</f>
        <v>95</v>
      </c>
      <c r="I32" s="169">
        <f t="shared" si="0"/>
        <v>235</v>
      </c>
      <c r="L32" s="155" t="s">
        <v>559</v>
      </c>
      <c r="M32" s="160">
        <f t="shared" si="1"/>
        <v>687.5</v>
      </c>
      <c r="N32" s="168">
        <f>SUM('PDC total-Equilibrage'!H116:H126)</f>
        <v>9.8629999999999995</v>
      </c>
      <c r="O32" s="168">
        <f>SUM('PDC total-Equilibrage'!I116:I126)</f>
        <v>23.5</v>
      </c>
      <c r="P32" s="168">
        <f>SUM('PDC total-Equilibrage'!J116:J126)</f>
        <v>91.939313633294745</v>
      </c>
      <c r="Q32" s="9">
        <f>'PDC total-Equilibrage'!D175</f>
        <v>30</v>
      </c>
      <c r="R32" s="169">
        <f t="shared" si="2"/>
        <v>155</v>
      </c>
    </row>
    <row r="33" spans="3:18">
      <c r="C33" s="155" t="s">
        <v>23</v>
      </c>
      <c r="D33" s="160">
        <f>'Bouche GP-GE '!E18</f>
        <v>54</v>
      </c>
      <c r="E33" s="168">
        <f>SUM('PDC total-Equilibrage'!H5:H13)</f>
        <v>9.7166499999999996</v>
      </c>
      <c r="F33" s="168">
        <f>SUM('PDC total-Equilibrage'!I5:I13)</f>
        <v>19</v>
      </c>
      <c r="G33" s="168">
        <f>SUM('PDC total-Equilibrage'!J5:J12)</f>
        <v>107.86843872960067</v>
      </c>
      <c r="H33" s="9">
        <f>'PDC total-Equilibrage'!D76</f>
        <v>100</v>
      </c>
      <c r="I33" s="169">
        <f t="shared" si="0"/>
        <v>235</v>
      </c>
      <c r="L33" s="155" t="s">
        <v>23</v>
      </c>
      <c r="M33" s="160">
        <f t="shared" si="1"/>
        <v>54</v>
      </c>
      <c r="N33" s="168">
        <f>SUM('PDC total-Equilibrage'!H100:H111)</f>
        <v>13.040699999999999</v>
      </c>
      <c r="O33" s="168">
        <f>SUM('PDC total-Equilibrage'!I100:I111)</f>
        <v>20</v>
      </c>
      <c r="P33" s="168">
        <f>SUM('PDC total-Equilibrage'!J100:J111)</f>
        <v>70.072336339780406</v>
      </c>
      <c r="Q33" s="9">
        <f>'PDC total-Equilibrage'!D170</f>
        <v>50</v>
      </c>
      <c r="R33" s="169">
        <f t="shared" si="2"/>
        <v>155</v>
      </c>
    </row>
    <row r="34" spans="3:18" ht="15.95" customHeight="1">
      <c r="C34" s="156" t="s">
        <v>384</v>
      </c>
      <c r="D34" s="160">
        <f>'Bouche GP-GE '!E19</f>
        <v>125</v>
      </c>
      <c r="E34" s="168">
        <f>SUM('PDC total-Equilibrage'!C36:C52)</f>
        <v>20.411299999999994</v>
      </c>
      <c r="F34" s="168">
        <f>SUM('PDC total-Equilibrage'!D36:D52)</f>
        <v>30.5</v>
      </c>
      <c r="G34" s="168">
        <f>SUM('PDC total-Equilibrage'!E36:E52)</f>
        <v>131.08193842092538</v>
      </c>
      <c r="H34" s="9">
        <f>'PDC total-Equilibrage'!D85</f>
        <v>55</v>
      </c>
      <c r="I34" s="169">
        <f t="shared" si="0"/>
        <v>235</v>
      </c>
      <c r="L34" s="156" t="s">
        <v>384</v>
      </c>
      <c r="M34" s="160">
        <f t="shared" si="1"/>
        <v>125</v>
      </c>
      <c r="N34" s="168">
        <f>SUM('PDC total-Equilibrage'!C133:C147)</f>
        <v>20.363499999999998</v>
      </c>
      <c r="O34" s="168">
        <f>SUM('PDC total-Equilibrage'!D133:D147)</f>
        <v>27</v>
      </c>
      <c r="P34" s="168">
        <f>SUM('PDC total-Equilibrage'!E133:E147)</f>
        <v>107.51636132677811</v>
      </c>
      <c r="Q34" s="9">
        <f>'PDC total-Equilibrage'!D179</f>
        <v>0</v>
      </c>
      <c r="R34" s="169">
        <f t="shared" si="2"/>
        <v>155</v>
      </c>
    </row>
    <row r="35" spans="3:18" ht="15.95" customHeight="1">
      <c r="C35" s="157" t="s">
        <v>85</v>
      </c>
      <c r="D35" s="160">
        <f>'Bouche GP-GE '!E20</f>
        <v>300</v>
      </c>
      <c r="E35" s="168">
        <f>SUM('PDC total-Equilibrage'!H36:H50)</f>
        <v>17.214299999999998</v>
      </c>
      <c r="F35" s="168">
        <f>SUM('PDC total-Equilibrage'!I36:I50)</f>
        <v>40.5</v>
      </c>
      <c r="G35" s="168">
        <f>SUM('PDC total-Equilibrage'!J36:J50)</f>
        <v>125.31788886260571</v>
      </c>
      <c r="H35" s="9">
        <f>'PDC total-Equilibrage'!D86</f>
        <v>50</v>
      </c>
      <c r="I35" s="169">
        <f t="shared" si="0"/>
        <v>235</v>
      </c>
      <c r="L35" s="157" t="s">
        <v>85</v>
      </c>
      <c r="M35" s="160">
        <f t="shared" si="1"/>
        <v>300</v>
      </c>
      <c r="N35" s="168">
        <f>SUM('PDC total-Equilibrage'!H133:H146)</f>
        <v>18.612999999999996</v>
      </c>
      <c r="O35" s="168">
        <f>SUM('PDC total-Equilibrage'!I133:I146)</f>
        <v>26</v>
      </c>
      <c r="P35" s="168">
        <f>SUM('PDC total-Equilibrage'!J133:J146)</f>
        <v>101.75231176845844</v>
      </c>
      <c r="Q35" s="9">
        <f>'PDC total-Equilibrage'!D180</f>
        <v>10</v>
      </c>
      <c r="R35" s="169">
        <f t="shared" si="2"/>
        <v>155</v>
      </c>
    </row>
    <row r="36" spans="3:18" ht="15.95" customHeight="1">
      <c r="C36" s="157" t="s">
        <v>385</v>
      </c>
      <c r="D36" s="160">
        <f>'Bouche GP-GE '!E21</f>
        <v>125</v>
      </c>
      <c r="E36" s="168">
        <f>SUM('PDC total-Equilibrage'!M36:M48)</f>
        <v>16.109299999999998</v>
      </c>
      <c r="F36" s="168">
        <f>SUM('PDC total-Equilibrage'!N36:N48)</f>
        <v>35.5</v>
      </c>
      <c r="G36" s="168">
        <f>SUM('PDC total-Equilibrage'!O36:O48)</f>
        <v>121.86933898069337</v>
      </c>
      <c r="H36" s="9">
        <f>'PDC total-Equilibrage'!D87</f>
        <v>60</v>
      </c>
      <c r="I36" s="169">
        <f t="shared" si="0"/>
        <v>235</v>
      </c>
      <c r="L36" s="157" t="s">
        <v>385</v>
      </c>
      <c r="M36" s="160">
        <f t="shared" si="1"/>
        <v>125</v>
      </c>
      <c r="N36" s="168">
        <f>SUM('PDC total-Equilibrage'!M133:M145)</f>
        <v>14.730999999999998</v>
      </c>
      <c r="O36" s="168">
        <f>SUM('PDC total-Equilibrage'!N133:N145)</f>
        <v>27</v>
      </c>
      <c r="P36" s="168">
        <f>SUM('PDC total-Equilibrage'!O133:O145)</f>
        <v>100.90796857143896</v>
      </c>
      <c r="Q36" s="9">
        <f>'PDC total-Equilibrage'!D181</f>
        <v>10</v>
      </c>
      <c r="R36" s="169">
        <f t="shared" si="2"/>
        <v>155</v>
      </c>
    </row>
    <row r="37" spans="3:18">
      <c r="C37" s="155" t="s">
        <v>26</v>
      </c>
      <c r="D37" s="160">
        <f>'Bouche GP-GE '!E22</f>
        <v>160</v>
      </c>
      <c r="E37" s="69">
        <f>SUM('PDC total-Equilibrage'!W36:W43)</f>
        <v>12.966799999999999</v>
      </c>
      <c r="F37" s="69">
        <f>SUM('PDC total-Equilibrage'!X36:X43)</f>
        <v>37</v>
      </c>
      <c r="G37" s="168">
        <f>SUM('PDC total-Equilibrage'!Y36:Y43)</f>
        <v>105.57008294753085</v>
      </c>
      <c r="H37" s="9">
        <f>'PDC total-Equilibrage'!D89</f>
        <v>80</v>
      </c>
      <c r="I37" s="169">
        <f t="shared" si="0"/>
        <v>235</v>
      </c>
      <c r="L37" s="155" t="s">
        <v>26</v>
      </c>
      <c r="M37" s="160">
        <f t="shared" si="1"/>
        <v>160</v>
      </c>
      <c r="N37" s="69">
        <f>SUM('PDC total-Equilibrage'!W133:W143)</f>
        <v>16.479999999999997</v>
      </c>
      <c r="O37" s="69">
        <f>SUM('PDC total-Equilibrage'!X133:X143)</f>
        <v>27.5</v>
      </c>
      <c r="P37" s="69">
        <f>SUM('PDC total-Equilibrage'!Y133:Y143)</f>
        <v>81.847159135178913</v>
      </c>
      <c r="Q37" s="9">
        <f>'PDC total-Equilibrage'!D183</f>
        <v>30</v>
      </c>
      <c r="R37" s="169">
        <f t="shared" si="2"/>
        <v>155</v>
      </c>
    </row>
    <row r="38" spans="3:18">
      <c r="C38" s="155" t="s">
        <v>28</v>
      </c>
      <c r="D38" s="160">
        <f>'Bouche GP-GE '!E23</f>
        <v>960</v>
      </c>
      <c r="E38" s="168">
        <f>SUM('PDC total-Equilibrage'!R36:R45)</f>
        <v>14.247799999999998</v>
      </c>
      <c r="F38" s="168">
        <f>SUM('PDC total-Equilibrage'!S36:S45)</f>
        <v>25.5</v>
      </c>
      <c r="G38" s="168">
        <f>SUM('PDC total-Equilibrage'!T36:T45)</f>
        <v>111.02002039485029</v>
      </c>
      <c r="H38" s="9">
        <f>'PDC total-Equilibrage'!D88</f>
        <v>85</v>
      </c>
      <c r="I38" s="169">
        <f t="shared" si="0"/>
        <v>235</v>
      </c>
      <c r="L38" s="155" t="s">
        <v>28</v>
      </c>
      <c r="M38" s="160">
        <f t="shared" si="1"/>
        <v>960</v>
      </c>
      <c r="N38" s="168">
        <f>SUM('PDC total-Equilibrage'!R133:R143)</f>
        <v>12.962499999999999</v>
      </c>
      <c r="O38" s="168">
        <f>SUM('PDC total-Equilibrage'!S133:S143)</f>
        <v>17</v>
      </c>
      <c r="P38" s="168">
        <f>SUM('PDC total-Equilibrage'!T133:T143)</f>
        <v>79.696669605238952</v>
      </c>
      <c r="Q38" s="9">
        <f>'PDC total-Equilibrage'!D182</f>
        <v>45</v>
      </c>
      <c r="R38" s="169">
        <f t="shared" si="2"/>
        <v>155</v>
      </c>
    </row>
    <row r="39" spans="3:18">
      <c r="C39" s="155" t="s">
        <v>553</v>
      </c>
      <c r="D39" s="160">
        <f>('Bouche GP-GE '!E24)/2</f>
        <v>790</v>
      </c>
      <c r="E39" s="168">
        <f>SUM('PDC total-Equilibrage'!H57:H64)</f>
        <v>14.481200000000001</v>
      </c>
      <c r="F39" s="168">
        <f>SUM('PDC total-Equilibrage'!I57:I64)</f>
        <v>27.5</v>
      </c>
      <c r="G39" s="168">
        <f>SUM('PDC total-Equilibrage'!J57:J64)</f>
        <v>123.23314225823043</v>
      </c>
      <c r="H39" s="9">
        <f>'PDC total-Equilibrage'!D91</f>
        <v>70</v>
      </c>
      <c r="I39" s="169">
        <f t="shared" si="0"/>
        <v>235</v>
      </c>
      <c r="L39" s="155" t="s">
        <v>561</v>
      </c>
      <c r="M39" s="160">
        <f t="shared" si="1"/>
        <v>790</v>
      </c>
      <c r="N39" s="168">
        <f>SUM('PDC total-Equilibrage'!H152:H161)</f>
        <v>12.838000000000003</v>
      </c>
      <c r="O39" s="168">
        <f>SUM('PDC total-Equilibrage'!I152:I161)</f>
        <v>18</v>
      </c>
      <c r="P39" s="168">
        <f>SUM('PDC total-Equilibrage'!J152:J161)</f>
        <v>64.74826576220913</v>
      </c>
      <c r="Q39" s="9">
        <f>'PDC total-Equilibrage'!D185</f>
        <v>60</v>
      </c>
      <c r="R39" s="169">
        <f t="shared" si="2"/>
        <v>155</v>
      </c>
    </row>
    <row r="40" spans="3:18">
      <c r="C40" s="155" t="s">
        <v>554</v>
      </c>
      <c r="D40" s="160">
        <f>('Bouche GP-GE '!E24)/2</f>
        <v>790</v>
      </c>
      <c r="E40" s="168">
        <f>SUM('PDC total-Equilibrage'!M57:M64)</f>
        <v>14.0982</v>
      </c>
      <c r="F40" s="168">
        <f>SUM('PDC total-Equilibrage'!N57:N64)</f>
        <v>27.5</v>
      </c>
      <c r="G40" s="168">
        <f>SUM('PDC total-Equilibrage'!O57:O64)</f>
        <v>126.88904966563783</v>
      </c>
      <c r="H40" s="9">
        <f>'PDC total-Equilibrage'!D92</f>
        <v>65</v>
      </c>
      <c r="I40" s="169">
        <f t="shared" si="0"/>
        <v>235</v>
      </c>
      <c r="L40" s="155" t="s">
        <v>560</v>
      </c>
      <c r="M40" s="160">
        <f t="shared" si="1"/>
        <v>790</v>
      </c>
      <c r="N40" s="168">
        <f>SUM('PDC total-Equilibrage'!R152:R160)</f>
        <v>14.598000000000003</v>
      </c>
      <c r="O40" s="168">
        <f>SUM('PDC total-Equilibrage'!S152:S160)</f>
        <v>18</v>
      </c>
      <c r="P40" s="168">
        <f>SUM('PDC total-Equilibrage'!T152:T160)</f>
        <v>64.74826576220913</v>
      </c>
      <c r="Q40" s="9">
        <f>'PDC total-Equilibrage'!D187</f>
        <v>60</v>
      </c>
      <c r="R40" s="169">
        <f t="shared" si="2"/>
        <v>155</v>
      </c>
    </row>
    <row r="41" spans="3:18">
      <c r="C41" s="155" t="s">
        <v>555</v>
      </c>
      <c r="D41" s="160">
        <f>('Bouche GP-GE '!E25)/2</f>
        <v>885</v>
      </c>
      <c r="E41" s="168">
        <f>SUM('PDC total-Equilibrage'!R57:R62)</f>
        <v>8.9001999999999999</v>
      </c>
      <c r="F41" s="168">
        <f>SUM('PDC total-Equilibrage'!S57:S62)</f>
        <v>43</v>
      </c>
      <c r="G41" s="168">
        <f>SUM('PDC total-Equilibrage'!T57:T62)</f>
        <v>90.520979295267466</v>
      </c>
      <c r="H41" s="9">
        <f>'PDC total-Equilibrage'!D93</f>
        <v>95</v>
      </c>
      <c r="I41" s="169">
        <f t="shared" si="0"/>
        <v>235</v>
      </c>
      <c r="L41" s="155" t="s">
        <v>556</v>
      </c>
      <c r="M41" s="160">
        <f t="shared" si="1"/>
        <v>885</v>
      </c>
      <c r="N41" s="168">
        <f>SUM('PDC total-Equilibrage'!M152:M160)</f>
        <v>10.714000000000002</v>
      </c>
      <c r="O41" s="168">
        <f>SUM('PDC total-Equilibrage'!N152:N160)</f>
        <v>19</v>
      </c>
      <c r="P41" s="168">
        <f>SUM('PDC total-Equilibrage'!O152:O160)</f>
        <v>55.117092922702952</v>
      </c>
      <c r="Q41" s="9">
        <f>'PDC total-Equilibrage'!D186</f>
        <v>70</v>
      </c>
      <c r="R41" s="169">
        <f t="shared" si="2"/>
        <v>155</v>
      </c>
    </row>
    <row r="42" spans="3:18" ht="15.75" thickBot="1">
      <c r="C42" s="158" t="s">
        <v>549</v>
      </c>
      <c r="D42" s="170">
        <f>('Bouche GP-GE '!E25)/2</f>
        <v>885</v>
      </c>
      <c r="E42" s="171">
        <f>SUM('PDC total-Equilibrage'!C57:C64)</f>
        <v>13.7852</v>
      </c>
      <c r="F42" s="171">
        <f>SUM('PDC total-Equilibrage'!D57:D64)</f>
        <v>28</v>
      </c>
      <c r="G42" s="171">
        <f>SUM('PDC total-Equilibrage'!E57:E64)</f>
        <v>123.23314225823043</v>
      </c>
      <c r="H42" s="172">
        <f>'PDC total-Equilibrage'!D90</f>
        <v>70</v>
      </c>
      <c r="I42" s="173">
        <f t="shared" si="0"/>
        <v>235</v>
      </c>
      <c r="L42" s="158" t="s">
        <v>557</v>
      </c>
      <c r="M42" s="170">
        <f t="shared" si="1"/>
        <v>885</v>
      </c>
      <c r="N42" s="171">
        <f>SUM('PDC total-Equilibrage'!C152:C159)</f>
        <v>11.319999999999999</v>
      </c>
      <c r="O42" s="171">
        <f>SUM('PDC total-Equilibrage'!D152:D159)</f>
        <v>19</v>
      </c>
      <c r="P42" s="173">
        <f>MROUND(SUM(L42:O42),5)</f>
        <v>915</v>
      </c>
      <c r="Q42" s="173">
        <f>MROUND(SUM(M42:P42),5)</f>
        <v>1830</v>
      </c>
      <c r="R42" s="173">
        <f t="shared" si="2"/>
        <v>2775</v>
      </c>
    </row>
    <row r="43" spans="3:18">
      <c r="E43" s="69"/>
    </row>
    <row r="44" spans="3:18" ht="15.75" thickBot="1"/>
    <row r="45" spans="3:18" ht="75.75" thickBot="1">
      <c r="C45" s="161" t="s">
        <v>544</v>
      </c>
      <c r="D45" s="162" t="s">
        <v>543</v>
      </c>
      <c r="E45" s="163" t="s">
        <v>104</v>
      </c>
      <c r="F45" s="163" t="s">
        <v>252</v>
      </c>
      <c r="G45" s="163" t="s">
        <v>253</v>
      </c>
      <c r="H45" s="164" t="s">
        <v>546</v>
      </c>
      <c r="L45" s="154" t="s">
        <v>544</v>
      </c>
      <c r="M45" s="176" t="s">
        <v>543</v>
      </c>
      <c r="N45" s="177" t="s">
        <v>104</v>
      </c>
      <c r="O45" s="177" t="s">
        <v>252</v>
      </c>
      <c r="P45" s="177" t="s">
        <v>253</v>
      </c>
      <c r="Q45" s="178" t="s">
        <v>546</v>
      </c>
    </row>
    <row r="46" spans="3:18">
      <c r="C46" s="174" t="s">
        <v>552</v>
      </c>
      <c r="D46" s="160">
        <v>550</v>
      </c>
      <c r="E46" s="167">
        <v>14.349825000000003</v>
      </c>
      <c r="F46" s="167">
        <v>37</v>
      </c>
      <c r="G46" s="167">
        <v>181.17504811557035</v>
      </c>
      <c r="H46" s="169">
        <f>I24</f>
        <v>235</v>
      </c>
      <c r="L46" s="179" t="s">
        <v>384</v>
      </c>
      <c r="M46" s="9">
        <v>125</v>
      </c>
      <c r="N46" s="168">
        <v>20.363499999999998</v>
      </c>
      <c r="O46" s="168">
        <v>27</v>
      </c>
      <c r="P46" s="168">
        <v>136.39636132677808</v>
      </c>
      <c r="Q46" s="9">
        <v>185</v>
      </c>
    </row>
    <row r="47" spans="3:18">
      <c r="C47" s="175" t="s">
        <v>566</v>
      </c>
      <c r="D47" s="9"/>
      <c r="E47" s="168">
        <f>(E46/$H$46)*100</f>
        <v>6.106308510638299</v>
      </c>
      <c r="F47" s="168">
        <f>(F46/$H$46)*100</f>
        <v>15.74468085106383</v>
      </c>
      <c r="G47" s="168">
        <f>(G46/$H$46)*100</f>
        <v>77.09576515556185</v>
      </c>
      <c r="H47" s="168">
        <f>(H46/$H$46)*100</f>
        <v>100</v>
      </c>
      <c r="L47" s="179" t="s">
        <v>566</v>
      </c>
      <c r="M47" s="9"/>
      <c r="N47" s="168">
        <f>(N46/$Q$46)*100</f>
        <v>11.007297297297297</v>
      </c>
      <c r="O47" s="168">
        <f>(O46/$Q$46)*100</f>
        <v>14.594594594594595</v>
      </c>
      <c r="P47" s="168">
        <f>(P46/$Q$46)*100</f>
        <v>73.727762879339494</v>
      </c>
      <c r="Q47" s="168">
        <f>(Q46/$Q$46)*100</f>
        <v>100</v>
      </c>
    </row>
  </sheetData>
  <mergeCells count="2">
    <mergeCell ref="C22:I22"/>
    <mergeCell ref="L22:R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FB51-CA4D-4F4C-9BFB-03B1116BA02D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63D7-BC9E-5E46-8BC0-1657E85A4EE4}">
  <dimension ref="A7:K117"/>
  <sheetViews>
    <sheetView zoomScale="35" zoomScaleNormal="55" workbookViewId="0">
      <selection activeCell="M88" sqref="M88"/>
    </sheetView>
  </sheetViews>
  <sheetFormatPr baseColWidth="10" defaultColWidth="10.5703125" defaultRowHeight="15"/>
  <cols>
    <col min="2" max="2" width="9.42578125" customWidth="1"/>
    <col min="4" max="4" width="13.42578125" customWidth="1"/>
    <col min="5" max="5" width="19" customWidth="1"/>
    <col min="6" max="6" width="13.42578125" customWidth="1"/>
    <col min="7" max="8" width="22.5703125" customWidth="1"/>
    <col min="12" max="12" width="10.5703125" bestFit="1" customWidth="1"/>
    <col min="13" max="13" width="13.42578125" customWidth="1"/>
    <col min="14" max="14" width="19" customWidth="1"/>
    <col min="15" max="15" width="13.42578125" customWidth="1"/>
    <col min="16" max="17" width="22.5703125" customWidth="1"/>
    <col min="20" max="24" width="10.5703125" bestFit="1" customWidth="1"/>
  </cols>
  <sheetData>
    <row r="7" spans="1:9" ht="33" customHeight="1">
      <c r="D7" s="267" t="s">
        <v>267</v>
      </c>
      <c r="E7" s="267"/>
      <c r="F7" s="184"/>
      <c r="G7" s="184"/>
      <c r="H7" s="184" t="s">
        <v>268</v>
      </c>
      <c r="I7" s="184"/>
    </row>
    <row r="8" spans="1:9" ht="23.1" customHeight="1">
      <c r="D8" s="186" t="s">
        <v>232</v>
      </c>
      <c r="E8" s="186"/>
      <c r="F8" s="58" t="s">
        <v>270</v>
      </c>
      <c r="G8" s="51"/>
      <c r="H8" s="10" t="s">
        <v>234</v>
      </c>
      <c r="I8" s="10"/>
    </row>
    <row r="9" spans="1:9" ht="23.1" customHeight="1">
      <c r="D9" s="186"/>
      <c r="E9" s="186"/>
      <c r="F9" s="58" t="s">
        <v>272</v>
      </c>
      <c r="G9" s="51">
        <v>4</v>
      </c>
      <c r="H9" s="10"/>
      <c r="I9" s="10"/>
    </row>
    <row r="10" spans="1:9" ht="15" customHeight="1">
      <c r="A10" s="11"/>
      <c r="D10" s="186"/>
      <c r="E10" s="186"/>
      <c r="F10" s="127" t="s">
        <v>273</v>
      </c>
      <c r="G10" s="47"/>
      <c r="H10" s="43" t="s">
        <v>235</v>
      </c>
      <c r="I10" s="47"/>
    </row>
    <row r="11" spans="1:9">
      <c r="A11" s="11"/>
      <c r="D11" s="186"/>
      <c r="E11" s="186"/>
      <c r="F11" s="58" t="s">
        <v>272</v>
      </c>
      <c r="G11" s="51">
        <v>3</v>
      </c>
      <c r="H11" s="10"/>
      <c r="I11" s="10"/>
    </row>
    <row r="12" spans="1:9">
      <c r="A12" s="11"/>
      <c r="D12" s="186"/>
      <c r="E12" s="186"/>
      <c r="F12" s="47" t="s">
        <v>274</v>
      </c>
      <c r="G12" s="10"/>
      <c r="H12" s="10" t="s">
        <v>236</v>
      </c>
      <c r="I12" s="10"/>
    </row>
    <row r="13" spans="1:9">
      <c r="A13" s="11"/>
      <c r="D13" s="186"/>
      <c r="E13" s="186"/>
      <c r="F13" s="58" t="s">
        <v>272</v>
      </c>
      <c r="G13" s="51">
        <v>1</v>
      </c>
      <c r="H13" s="10"/>
      <c r="I13" s="10"/>
    </row>
    <row r="14" spans="1:9">
      <c r="A14" s="11"/>
      <c r="D14" s="186"/>
      <c r="E14" s="186"/>
      <c r="F14" s="47" t="s">
        <v>275</v>
      </c>
      <c r="G14" s="10"/>
      <c r="H14" s="10" t="s">
        <v>237</v>
      </c>
      <c r="I14" s="10"/>
    </row>
    <row r="15" spans="1:9" ht="16.350000000000001" customHeight="1">
      <c r="A15" s="11"/>
      <c r="D15" s="186"/>
      <c r="E15" s="186"/>
      <c r="F15" s="58" t="s">
        <v>272</v>
      </c>
      <c r="G15" s="51">
        <v>6</v>
      </c>
      <c r="H15" s="10"/>
      <c r="I15" s="10"/>
    </row>
    <row r="16" spans="1:9">
      <c r="A16" s="11"/>
      <c r="D16" s="186"/>
      <c r="E16" s="186"/>
      <c r="F16" s="47" t="s">
        <v>276</v>
      </c>
      <c r="G16" s="10"/>
      <c r="H16" s="10" t="s">
        <v>82</v>
      </c>
      <c r="I16" s="10"/>
    </row>
    <row r="17" spans="1:9">
      <c r="A17" s="11"/>
      <c r="D17" s="186"/>
      <c r="E17" s="186"/>
      <c r="F17" s="58" t="s">
        <v>272</v>
      </c>
      <c r="G17" s="51">
        <v>4</v>
      </c>
      <c r="H17" s="10"/>
      <c r="I17" s="10"/>
    </row>
    <row r="18" spans="1:9">
      <c r="A18" s="11"/>
      <c r="D18" s="186"/>
      <c r="E18" s="186"/>
      <c r="F18" s="47" t="s">
        <v>277</v>
      </c>
      <c r="G18" s="10"/>
      <c r="H18" s="10" t="s">
        <v>79</v>
      </c>
      <c r="I18" s="10"/>
    </row>
    <row r="19" spans="1:9">
      <c r="A19" s="11"/>
      <c r="D19" s="186"/>
      <c r="E19" s="186"/>
      <c r="F19" s="58" t="s">
        <v>272</v>
      </c>
      <c r="G19" s="51">
        <v>1</v>
      </c>
      <c r="H19" s="10"/>
      <c r="I19" s="10"/>
    </row>
    <row r="20" spans="1:9">
      <c r="A20" s="11"/>
      <c r="D20" s="268"/>
      <c r="E20" s="269"/>
      <c r="F20" s="18" t="s">
        <v>271</v>
      </c>
      <c r="G20" s="18">
        <f>SUM(G9,G11,G13,G15,G17,G19)</f>
        <v>19</v>
      </c>
      <c r="H20" s="247"/>
      <c r="I20" s="248"/>
    </row>
    <row r="21" spans="1:9">
      <c r="A21" s="11"/>
      <c r="D21" s="251"/>
      <c r="E21" s="252"/>
      <c r="F21" s="252"/>
      <c r="G21" s="252"/>
      <c r="H21" s="252"/>
      <c r="I21" s="253"/>
    </row>
    <row r="22" spans="1:9">
      <c r="A22" s="11"/>
      <c r="D22" s="260" t="s">
        <v>233</v>
      </c>
      <c r="E22" s="261"/>
      <c r="F22" s="58" t="s">
        <v>270</v>
      </c>
      <c r="G22" s="51"/>
      <c r="H22" s="10" t="s">
        <v>234</v>
      </c>
      <c r="I22" s="10"/>
    </row>
    <row r="23" spans="1:9">
      <c r="A23" s="11"/>
      <c r="D23" s="213"/>
      <c r="E23" s="262"/>
      <c r="F23" s="58" t="s">
        <v>272</v>
      </c>
      <c r="G23" s="51">
        <v>4</v>
      </c>
      <c r="H23" s="10"/>
      <c r="I23" s="10"/>
    </row>
    <row r="24" spans="1:9">
      <c r="A24" s="11"/>
      <c r="D24" s="213"/>
      <c r="E24" s="262"/>
      <c r="F24" s="10" t="s">
        <v>273</v>
      </c>
      <c r="G24" s="47"/>
      <c r="H24" s="43" t="s">
        <v>235</v>
      </c>
      <c r="I24" s="47"/>
    </row>
    <row r="25" spans="1:9">
      <c r="A25" s="11"/>
      <c r="D25" s="213"/>
      <c r="E25" s="262"/>
      <c r="F25" s="58" t="s">
        <v>272</v>
      </c>
      <c r="G25" s="51">
        <v>3</v>
      </c>
      <c r="H25" s="10"/>
      <c r="I25" s="10"/>
    </row>
    <row r="26" spans="1:9" ht="32.1" customHeight="1">
      <c r="A26" s="11"/>
      <c r="D26" s="213"/>
      <c r="E26" s="262"/>
      <c r="F26" s="47" t="s">
        <v>274</v>
      </c>
      <c r="G26" s="10"/>
      <c r="H26" s="10" t="s">
        <v>236</v>
      </c>
      <c r="I26" s="10"/>
    </row>
    <row r="27" spans="1:9">
      <c r="A27" s="11"/>
      <c r="D27" s="213"/>
      <c r="E27" s="262"/>
      <c r="F27" s="58" t="s">
        <v>272</v>
      </c>
      <c r="G27" s="51">
        <v>1</v>
      </c>
      <c r="H27" s="10"/>
      <c r="I27" s="10"/>
    </row>
    <row r="28" spans="1:9">
      <c r="A28" s="11"/>
      <c r="D28" s="213"/>
      <c r="E28" s="262"/>
      <c r="F28" s="47" t="s">
        <v>275</v>
      </c>
      <c r="G28" s="10"/>
      <c r="H28" s="10" t="s">
        <v>237</v>
      </c>
      <c r="I28" s="10"/>
    </row>
    <row r="29" spans="1:9">
      <c r="A29" s="11"/>
      <c r="D29" s="213"/>
      <c r="E29" s="262"/>
      <c r="F29" s="58" t="s">
        <v>272</v>
      </c>
      <c r="G29" s="51">
        <v>6</v>
      </c>
      <c r="H29" s="10"/>
      <c r="I29" s="10"/>
    </row>
    <row r="30" spans="1:9">
      <c r="A30" s="11"/>
      <c r="D30" s="213"/>
      <c r="E30" s="262"/>
      <c r="F30" s="47" t="s">
        <v>276</v>
      </c>
      <c r="G30" s="10"/>
      <c r="H30" s="10" t="s">
        <v>82</v>
      </c>
      <c r="I30" s="10"/>
    </row>
    <row r="31" spans="1:9">
      <c r="A31" s="11"/>
      <c r="D31" s="213"/>
      <c r="E31" s="262"/>
      <c r="F31" s="58" t="s">
        <v>272</v>
      </c>
      <c r="G31" s="51">
        <v>4</v>
      </c>
      <c r="H31" s="10"/>
      <c r="I31" s="10"/>
    </row>
    <row r="32" spans="1:9">
      <c r="A32" s="11"/>
      <c r="D32" s="213"/>
      <c r="E32" s="262"/>
      <c r="F32" s="47" t="s">
        <v>277</v>
      </c>
      <c r="G32" s="10"/>
      <c r="H32" s="10" t="s">
        <v>79</v>
      </c>
      <c r="I32" s="10"/>
    </row>
    <row r="33" spans="1:9">
      <c r="A33" s="11"/>
      <c r="D33" s="213"/>
      <c r="E33" s="262"/>
      <c r="F33" s="58" t="s">
        <v>272</v>
      </c>
      <c r="G33" s="51">
        <v>1</v>
      </c>
      <c r="H33" s="34"/>
      <c r="I33" s="10"/>
    </row>
    <row r="34" spans="1:9">
      <c r="D34" s="213"/>
      <c r="E34" s="262"/>
      <c r="F34" s="47" t="s">
        <v>278</v>
      </c>
      <c r="G34" s="128"/>
      <c r="H34" s="129" t="s">
        <v>300</v>
      </c>
      <c r="I34" s="130"/>
    </row>
    <row r="35" spans="1:9">
      <c r="D35" s="213"/>
      <c r="E35" s="262"/>
      <c r="F35" s="58" t="s">
        <v>272</v>
      </c>
      <c r="G35" s="61">
        <v>3</v>
      </c>
      <c r="H35" s="76"/>
      <c r="I35" s="47"/>
    </row>
    <row r="36" spans="1:9" ht="18" customHeight="1">
      <c r="D36" s="213"/>
      <c r="E36" s="262"/>
      <c r="F36" s="127" t="s">
        <v>282</v>
      </c>
      <c r="G36" s="139"/>
      <c r="H36" s="140" t="s">
        <v>301</v>
      </c>
      <c r="I36" s="130"/>
    </row>
    <row r="37" spans="1:9">
      <c r="D37" s="251"/>
      <c r="E37" s="253"/>
      <c r="F37" s="58" t="s">
        <v>272</v>
      </c>
      <c r="G37" s="57">
        <v>1</v>
      </c>
      <c r="H37" s="10"/>
      <c r="I37" s="10"/>
    </row>
    <row r="38" spans="1:9">
      <c r="D38" s="133"/>
      <c r="E38" s="134"/>
      <c r="F38" s="18" t="s">
        <v>271</v>
      </c>
      <c r="G38" s="18">
        <f>SUM(G23,G25,G27,G29,G31,G33,G35,G37)</f>
        <v>23</v>
      </c>
      <c r="H38" s="131"/>
      <c r="I38" s="132"/>
    </row>
    <row r="39" spans="1:9" ht="17.100000000000001" customHeight="1">
      <c r="A39" s="53"/>
      <c r="D39" s="251"/>
      <c r="E39" s="252"/>
      <c r="F39" s="183"/>
      <c r="G39" s="252"/>
      <c r="H39" s="252"/>
      <c r="I39" s="253"/>
    </row>
    <row r="40" spans="1:9">
      <c r="D40" s="260" t="s">
        <v>176</v>
      </c>
      <c r="E40" s="270"/>
      <c r="F40" s="51" t="s">
        <v>270</v>
      </c>
      <c r="G40" s="141"/>
      <c r="H40" s="185" t="s">
        <v>184</v>
      </c>
      <c r="I40" s="185"/>
    </row>
    <row r="41" spans="1:9">
      <c r="A41" s="55"/>
      <c r="D41" s="213"/>
      <c r="E41" s="262"/>
      <c r="F41" s="143" t="s">
        <v>272</v>
      </c>
      <c r="G41" s="51">
        <v>4</v>
      </c>
      <c r="H41" s="185"/>
      <c r="I41" s="185"/>
    </row>
    <row r="42" spans="1:9">
      <c r="D42" s="213"/>
      <c r="E42" s="183"/>
      <c r="F42" s="10" t="s">
        <v>273</v>
      </c>
      <c r="G42" s="142"/>
      <c r="H42" s="250" t="s">
        <v>308</v>
      </c>
      <c r="I42" s="249"/>
    </row>
    <row r="43" spans="1:9">
      <c r="A43" s="56"/>
      <c r="D43" s="213"/>
      <c r="E43" s="262"/>
      <c r="F43" s="143" t="s">
        <v>272</v>
      </c>
      <c r="G43" s="51">
        <v>6</v>
      </c>
      <c r="H43" s="185"/>
      <c r="I43" s="185"/>
    </row>
    <row r="44" spans="1:9" ht="32.1" customHeight="1">
      <c r="D44" s="213"/>
      <c r="E44" s="183"/>
      <c r="F44" s="10" t="s">
        <v>274</v>
      </c>
      <c r="G44" s="142"/>
      <c r="H44" s="185" t="s">
        <v>185</v>
      </c>
      <c r="I44" s="185"/>
    </row>
    <row r="45" spans="1:9">
      <c r="D45" s="213"/>
      <c r="E45" s="262"/>
      <c r="F45" s="59" t="s">
        <v>272</v>
      </c>
      <c r="G45" s="51">
        <v>3</v>
      </c>
      <c r="H45" s="185"/>
      <c r="I45" s="185"/>
    </row>
    <row r="46" spans="1:9">
      <c r="D46" s="213"/>
      <c r="E46" s="262"/>
      <c r="F46" s="47" t="s">
        <v>275</v>
      </c>
      <c r="G46" s="13"/>
      <c r="H46" s="185" t="s">
        <v>311</v>
      </c>
      <c r="I46" s="185"/>
    </row>
    <row r="47" spans="1:9">
      <c r="D47" s="213"/>
      <c r="E47" s="262"/>
      <c r="F47" s="58" t="s">
        <v>272</v>
      </c>
      <c r="G47" s="51">
        <v>2</v>
      </c>
      <c r="H47" s="185"/>
      <c r="I47" s="185"/>
    </row>
    <row r="48" spans="1:9">
      <c r="D48" s="213"/>
      <c r="E48" s="262"/>
      <c r="F48" s="47" t="s">
        <v>276</v>
      </c>
      <c r="G48" s="13"/>
      <c r="H48" s="185" t="s">
        <v>313</v>
      </c>
      <c r="I48" s="185"/>
    </row>
    <row r="49" spans="4:9">
      <c r="D49" s="213"/>
      <c r="E49" s="262"/>
      <c r="F49" s="58" t="s">
        <v>272</v>
      </c>
      <c r="G49" s="51">
        <v>1</v>
      </c>
      <c r="H49" s="250"/>
      <c r="I49" s="249"/>
    </row>
    <row r="50" spans="4:9">
      <c r="D50" s="213"/>
      <c r="E50" s="262"/>
      <c r="F50" s="47" t="s">
        <v>277</v>
      </c>
      <c r="G50" s="7"/>
      <c r="H50" s="266" t="s">
        <v>326</v>
      </c>
      <c r="I50" s="266"/>
    </row>
    <row r="51" spans="4:9">
      <c r="D51" s="213"/>
      <c r="E51" s="262"/>
      <c r="F51" s="58" t="s">
        <v>272</v>
      </c>
      <c r="G51" s="54">
        <v>2</v>
      </c>
      <c r="H51" s="232"/>
      <c r="I51" s="233"/>
    </row>
    <row r="52" spans="4:9">
      <c r="D52" s="213"/>
      <c r="E52" s="262"/>
      <c r="F52" s="47" t="s">
        <v>278</v>
      </c>
      <c r="G52" s="7"/>
      <c r="H52" s="266" t="s">
        <v>421</v>
      </c>
      <c r="I52" s="266"/>
    </row>
    <row r="53" spans="4:9" ht="17.100000000000001" customHeight="1">
      <c r="D53" s="213"/>
      <c r="E53" s="262"/>
      <c r="F53" s="60" t="s">
        <v>272</v>
      </c>
      <c r="G53" s="61">
        <v>2</v>
      </c>
      <c r="H53" s="264"/>
      <c r="I53" s="265"/>
    </row>
    <row r="54" spans="4:9">
      <c r="D54" s="247"/>
      <c r="E54" s="263"/>
      <c r="F54" s="18" t="s">
        <v>271</v>
      </c>
      <c r="G54" s="18">
        <f>SUM(G41,G43,G45,G47,G49,G51,G53)</f>
        <v>20</v>
      </c>
      <c r="H54" s="263"/>
      <c r="I54" s="248"/>
    </row>
    <row r="55" spans="4:9">
      <c r="D55" s="213"/>
      <c r="E55" s="183"/>
      <c r="F55" s="252"/>
      <c r="G55" s="252"/>
      <c r="H55" s="252"/>
      <c r="I55" s="253"/>
    </row>
    <row r="56" spans="4:9" ht="29.1" customHeight="1">
      <c r="D56" s="186" t="s">
        <v>281</v>
      </c>
      <c r="E56" s="186"/>
      <c r="F56" s="258" t="s">
        <v>270</v>
      </c>
      <c r="G56" s="259"/>
      <c r="H56" s="185" t="s">
        <v>486</v>
      </c>
      <c r="I56" s="185"/>
    </row>
    <row r="57" spans="4:9">
      <c r="D57" s="186"/>
      <c r="E57" s="186"/>
      <c r="F57" s="58" t="s">
        <v>272</v>
      </c>
      <c r="G57" s="51">
        <v>9</v>
      </c>
      <c r="H57" s="185"/>
      <c r="I57" s="185"/>
    </row>
    <row r="58" spans="4:9">
      <c r="D58" s="186"/>
      <c r="E58" s="186"/>
      <c r="F58" s="244" t="s">
        <v>273</v>
      </c>
      <c r="G58" s="249"/>
      <c r="H58" s="185" t="s">
        <v>113</v>
      </c>
      <c r="I58" s="185"/>
    </row>
    <row r="59" spans="4:9">
      <c r="D59" s="186"/>
      <c r="E59" s="186"/>
      <c r="F59" s="58" t="s">
        <v>272</v>
      </c>
      <c r="G59" s="51">
        <v>5</v>
      </c>
      <c r="H59" s="185"/>
      <c r="I59" s="185"/>
    </row>
    <row r="60" spans="4:9">
      <c r="D60" s="186"/>
      <c r="E60" s="186"/>
      <c r="F60" s="249" t="s">
        <v>274</v>
      </c>
      <c r="G60" s="185"/>
      <c r="H60" s="185" t="s">
        <v>115</v>
      </c>
      <c r="I60" s="185"/>
    </row>
    <row r="61" spans="4:9">
      <c r="D61" s="186"/>
      <c r="E61" s="186"/>
      <c r="F61" s="58" t="s">
        <v>272</v>
      </c>
      <c r="G61" s="51">
        <v>9</v>
      </c>
      <c r="H61" s="185"/>
      <c r="I61" s="185"/>
    </row>
    <row r="62" spans="4:9">
      <c r="D62" s="186"/>
      <c r="E62" s="186"/>
      <c r="F62" s="249" t="s">
        <v>275</v>
      </c>
      <c r="G62" s="185"/>
      <c r="H62" s="185" t="s">
        <v>122</v>
      </c>
      <c r="I62" s="185"/>
    </row>
    <row r="63" spans="4:9">
      <c r="D63" s="186"/>
      <c r="E63" s="186"/>
      <c r="F63" s="58" t="s">
        <v>272</v>
      </c>
      <c r="G63" s="51">
        <v>4</v>
      </c>
      <c r="H63" s="185"/>
      <c r="I63" s="185"/>
    </row>
    <row r="64" spans="4:9">
      <c r="D64" s="186"/>
      <c r="E64" s="186"/>
      <c r="F64" s="249" t="s">
        <v>276</v>
      </c>
      <c r="G64" s="185"/>
      <c r="H64" s="185" t="s">
        <v>409</v>
      </c>
      <c r="I64" s="185"/>
    </row>
    <row r="65" spans="4:9">
      <c r="D65" s="186"/>
      <c r="E65" s="186"/>
      <c r="F65" s="58" t="s">
        <v>272</v>
      </c>
      <c r="G65" s="51">
        <v>4</v>
      </c>
      <c r="H65" s="185"/>
      <c r="I65" s="185"/>
    </row>
    <row r="66" spans="4:9">
      <c r="D66" s="186"/>
      <c r="E66" s="186"/>
      <c r="F66" s="249"/>
      <c r="G66" s="185"/>
      <c r="H66" s="185" t="s">
        <v>127</v>
      </c>
      <c r="I66" s="185"/>
    </row>
    <row r="67" spans="4:9">
      <c r="D67" s="186"/>
      <c r="E67" s="186"/>
      <c r="F67" s="58" t="s">
        <v>272</v>
      </c>
      <c r="G67" s="51">
        <v>4</v>
      </c>
      <c r="H67" s="185"/>
      <c r="I67" s="185"/>
    </row>
    <row r="68" spans="4:9">
      <c r="D68" s="186"/>
      <c r="E68" s="186"/>
      <c r="F68" s="249" t="s">
        <v>278</v>
      </c>
      <c r="G68" s="185"/>
      <c r="H68" s="254" t="s">
        <v>129</v>
      </c>
      <c r="I68" s="254"/>
    </row>
    <row r="69" spans="4:9">
      <c r="D69" s="186"/>
      <c r="E69" s="186"/>
      <c r="F69" s="58" t="s">
        <v>272</v>
      </c>
      <c r="G69" s="51">
        <v>4</v>
      </c>
      <c r="H69" s="185"/>
      <c r="I69" s="185"/>
    </row>
    <row r="70" spans="4:9">
      <c r="D70" s="186"/>
      <c r="E70" s="186"/>
      <c r="F70" s="249" t="s">
        <v>282</v>
      </c>
      <c r="G70" s="185"/>
      <c r="H70" s="255" t="s">
        <v>131</v>
      </c>
      <c r="I70" s="255"/>
    </row>
    <row r="71" spans="4:9">
      <c r="D71" s="186"/>
      <c r="E71" s="186"/>
      <c r="F71" s="58" t="s">
        <v>272</v>
      </c>
      <c r="G71" s="51">
        <v>11</v>
      </c>
      <c r="H71" s="185"/>
      <c r="I71" s="185"/>
    </row>
    <row r="72" spans="4:9">
      <c r="D72" s="186"/>
      <c r="E72" s="186"/>
      <c r="F72" s="249" t="s">
        <v>283</v>
      </c>
      <c r="G72" s="185"/>
      <c r="H72" s="185" t="s">
        <v>134</v>
      </c>
      <c r="I72" s="185"/>
    </row>
    <row r="73" spans="4:9">
      <c r="D73" s="186"/>
      <c r="E73" s="186"/>
      <c r="F73" s="58" t="s">
        <v>272</v>
      </c>
      <c r="G73" s="51">
        <v>4</v>
      </c>
      <c r="H73" s="185"/>
      <c r="I73" s="185"/>
    </row>
    <row r="74" spans="4:9">
      <c r="D74" s="186"/>
      <c r="E74" s="186"/>
      <c r="F74" s="249" t="s">
        <v>284</v>
      </c>
      <c r="G74" s="185"/>
      <c r="H74" s="185" t="s">
        <v>307</v>
      </c>
      <c r="I74" s="185"/>
    </row>
    <row r="75" spans="4:9">
      <c r="D75" s="186"/>
      <c r="E75" s="186"/>
      <c r="F75" s="58" t="s">
        <v>272</v>
      </c>
      <c r="G75" s="51">
        <v>8</v>
      </c>
      <c r="H75" s="185"/>
      <c r="I75" s="185"/>
    </row>
    <row r="76" spans="4:9">
      <c r="D76" s="186"/>
      <c r="E76" s="186"/>
      <c r="F76" s="249" t="s">
        <v>285</v>
      </c>
      <c r="G76" s="185"/>
      <c r="H76" s="185" t="s">
        <v>158</v>
      </c>
      <c r="I76" s="185"/>
    </row>
    <row r="77" spans="4:9">
      <c r="D77" s="186"/>
      <c r="E77" s="186"/>
      <c r="F77" s="58" t="s">
        <v>272</v>
      </c>
      <c r="G77" s="51">
        <v>3</v>
      </c>
      <c r="H77" s="185"/>
      <c r="I77" s="185"/>
    </row>
    <row r="78" spans="4:9" ht="14.45" customHeight="1">
      <c r="D78" s="186"/>
      <c r="E78" s="186"/>
      <c r="F78" s="249" t="s">
        <v>286</v>
      </c>
      <c r="G78" s="185"/>
      <c r="H78" s="185" t="s">
        <v>162</v>
      </c>
      <c r="I78" s="185"/>
    </row>
    <row r="79" spans="4:9" ht="32.1" customHeight="1">
      <c r="D79" s="186"/>
      <c r="E79" s="186"/>
      <c r="F79" s="58" t="s">
        <v>272</v>
      </c>
      <c r="G79" s="54">
        <v>3</v>
      </c>
      <c r="H79" s="256"/>
      <c r="I79" s="257"/>
    </row>
    <row r="80" spans="4:9">
      <c r="D80" s="186"/>
      <c r="E80" s="186"/>
      <c r="F80" s="244" t="s">
        <v>287</v>
      </c>
      <c r="G80" s="249"/>
      <c r="H80" s="250" t="s">
        <v>315</v>
      </c>
      <c r="I80" s="249"/>
    </row>
    <row r="81" spans="4:9">
      <c r="D81" s="186"/>
      <c r="E81" s="186"/>
      <c r="F81" s="58" t="s">
        <v>272</v>
      </c>
      <c r="G81" s="54">
        <v>8</v>
      </c>
      <c r="H81" s="256"/>
      <c r="I81" s="257"/>
    </row>
    <row r="82" spans="4:9">
      <c r="D82" s="186"/>
      <c r="E82" s="186"/>
      <c r="F82" s="244" t="s">
        <v>288</v>
      </c>
      <c r="G82" s="249"/>
      <c r="H82" s="250" t="s">
        <v>164</v>
      </c>
      <c r="I82" s="249"/>
    </row>
    <row r="83" spans="4:9">
      <c r="D83" s="186"/>
      <c r="E83" s="186"/>
      <c r="F83" s="58" t="s">
        <v>272</v>
      </c>
      <c r="G83" s="54">
        <v>6</v>
      </c>
      <c r="H83" s="256"/>
      <c r="I83" s="257"/>
    </row>
    <row r="84" spans="4:9">
      <c r="D84" s="186"/>
      <c r="E84" s="186"/>
      <c r="F84" s="244" t="s">
        <v>289</v>
      </c>
      <c r="G84" s="249"/>
      <c r="H84" s="250" t="s">
        <v>329</v>
      </c>
      <c r="I84" s="249"/>
    </row>
    <row r="85" spans="4:9">
      <c r="D85" s="186"/>
      <c r="E85" s="186"/>
      <c r="F85" s="58" t="s">
        <v>272</v>
      </c>
      <c r="G85" s="54">
        <v>2</v>
      </c>
      <c r="H85" s="256"/>
      <c r="I85" s="257"/>
    </row>
    <row r="86" spans="4:9">
      <c r="D86" s="186"/>
      <c r="E86" s="186"/>
      <c r="F86" s="244" t="s">
        <v>292</v>
      </c>
      <c r="G86" s="249"/>
      <c r="H86" s="250" t="s">
        <v>325</v>
      </c>
      <c r="I86" s="249"/>
    </row>
    <row r="87" spans="4:9">
      <c r="D87" s="186"/>
      <c r="E87" s="186"/>
      <c r="F87" s="58" t="s">
        <v>272</v>
      </c>
      <c r="G87" s="54">
        <v>6</v>
      </c>
      <c r="H87" s="256"/>
      <c r="I87" s="257"/>
    </row>
    <row r="88" spans="4:9">
      <c r="D88" s="186"/>
      <c r="E88" s="186"/>
      <c r="F88" s="244" t="s">
        <v>294</v>
      </c>
      <c r="G88" s="249"/>
      <c r="H88" s="250" t="s">
        <v>420</v>
      </c>
      <c r="I88" s="249"/>
    </row>
    <row r="89" spans="4:9">
      <c r="D89" s="186"/>
      <c r="E89" s="186"/>
      <c r="F89" s="58" t="s">
        <v>272</v>
      </c>
      <c r="G89" s="54">
        <v>1</v>
      </c>
      <c r="H89" s="256"/>
      <c r="I89" s="257"/>
    </row>
    <row r="90" spans="4:9">
      <c r="D90" s="186"/>
      <c r="E90" s="186"/>
      <c r="F90" s="244" t="s">
        <v>296</v>
      </c>
      <c r="G90" s="249"/>
      <c r="H90" s="250" t="s">
        <v>124</v>
      </c>
      <c r="I90" s="249"/>
    </row>
    <row r="91" spans="4:9">
      <c r="D91" s="186"/>
      <c r="E91" s="186"/>
      <c r="F91" s="58" t="s">
        <v>272</v>
      </c>
      <c r="G91" s="54">
        <v>1</v>
      </c>
      <c r="H91" s="256"/>
      <c r="I91" s="257"/>
    </row>
    <row r="92" spans="4:9">
      <c r="D92" s="186"/>
      <c r="E92" s="186"/>
      <c r="F92" s="244" t="s">
        <v>520</v>
      </c>
      <c r="G92" s="249"/>
      <c r="H92" s="250" t="s">
        <v>499</v>
      </c>
      <c r="I92" s="249"/>
    </row>
    <row r="93" spans="4:9">
      <c r="D93" s="186"/>
      <c r="E93" s="186"/>
      <c r="F93" s="58" t="s">
        <v>272</v>
      </c>
      <c r="G93" s="54">
        <v>1</v>
      </c>
      <c r="H93" s="256"/>
      <c r="I93" s="257"/>
    </row>
    <row r="94" spans="4:9">
      <c r="D94" s="186"/>
      <c r="E94" s="186"/>
      <c r="F94" s="244" t="s">
        <v>521</v>
      </c>
      <c r="G94" s="249"/>
      <c r="H94" s="250" t="s">
        <v>497</v>
      </c>
      <c r="I94" s="249"/>
    </row>
    <row r="95" spans="4:9">
      <c r="D95" s="186"/>
      <c r="E95" s="186"/>
      <c r="F95" s="58" t="s">
        <v>272</v>
      </c>
      <c r="G95" s="54">
        <v>5</v>
      </c>
      <c r="H95" s="256"/>
      <c r="I95" s="257"/>
    </row>
    <row r="96" spans="4:9">
      <c r="D96" s="131"/>
      <c r="E96" s="132"/>
      <c r="F96" s="18" t="s">
        <v>271</v>
      </c>
      <c r="G96" s="18">
        <f>SUM(G57,G59,G61,G63,G65,G67,G69,G71,G73,G75,G77,G79,G81,G83,G85,G87,G89,G91,G93+G95)</f>
        <v>98</v>
      </c>
      <c r="H96" s="131"/>
      <c r="I96" s="132"/>
    </row>
    <row r="97" spans="4:11">
      <c r="D97" s="213"/>
      <c r="E97" s="183"/>
      <c r="F97" s="252"/>
      <c r="G97" s="252"/>
      <c r="H97" s="252"/>
      <c r="I97" s="253"/>
    </row>
    <row r="98" spans="4:11">
      <c r="D98" s="186" t="s">
        <v>290</v>
      </c>
      <c r="E98" s="186"/>
      <c r="F98" s="258" t="s">
        <v>270</v>
      </c>
      <c r="G98" s="259"/>
      <c r="H98" s="185" t="s">
        <v>291</v>
      </c>
      <c r="I98" s="185"/>
    </row>
    <row r="99" spans="4:11">
      <c r="D99" s="186"/>
      <c r="E99" s="186"/>
      <c r="F99" s="58" t="s">
        <v>272</v>
      </c>
      <c r="G99" s="51">
        <v>2</v>
      </c>
      <c r="H99" s="185"/>
      <c r="I99" s="185"/>
    </row>
    <row r="100" spans="4:11">
      <c r="D100" s="186"/>
      <c r="E100" s="186"/>
      <c r="F100" s="244" t="s">
        <v>273</v>
      </c>
      <c r="G100" s="249"/>
      <c r="H100" s="185" t="s">
        <v>293</v>
      </c>
      <c r="I100" s="185"/>
    </row>
    <row r="101" spans="4:11">
      <c r="D101" s="186"/>
      <c r="E101" s="186"/>
      <c r="F101" s="58" t="s">
        <v>272</v>
      </c>
      <c r="G101" s="51">
        <v>7</v>
      </c>
      <c r="H101" s="185"/>
      <c r="I101" s="185"/>
    </row>
    <row r="102" spans="4:11">
      <c r="D102" s="186"/>
      <c r="E102" s="186"/>
      <c r="F102" s="249" t="s">
        <v>274</v>
      </c>
      <c r="G102" s="185"/>
      <c r="H102" s="185" t="s">
        <v>295</v>
      </c>
      <c r="I102" s="185"/>
    </row>
    <row r="103" spans="4:11">
      <c r="D103" s="186"/>
      <c r="E103" s="186"/>
      <c r="F103" s="58" t="s">
        <v>272</v>
      </c>
      <c r="G103" s="51">
        <v>5</v>
      </c>
      <c r="H103" s="185"/>
      <c r="I103" s="185"/>
    </row>
    <row r="104" spans="4:11">
      <c r="D104" s="186"/>
      <c r="E104" s="186"/>
      <c r="F104" s="249" t="s">
        <v>275</v>
      </c>
      <c r="G104" s="185"/>
      <c r="H104" s="185" t="s">
        <v>297</v>
      </c>
      <c r="I104" s="185"/>
    </row>
    <row r="105" spans="4:11">
      <c r="D105" s="186"/>
      <c r="E105" s="186"/>
      <c r="F105" s="58" t="s">
        <v>272</v>
      </c>
      <c r="G105" s="51">
        <v>5</v>
      </c>
      <c r="H105" s="185"/>
      <c r="I105" s="185"/>
    </row>
    <row r="106" spans="4:11">
      <c r="D106" s="186"/>
      <c r="E106" s="186"/>
      <c r="F106" s="244" t="s">
        <v>276</v>
      </c>
      <c r="G106" s="249"/>
      <c r="H106" s="250" t="s">
        <v>487</v>
      </c>
      <c r="I106" s="249"/>
    </row>
    <row r="107" spans="4:11">
      <c r="D107" s="186"/>
      <c r="E107" s="186"/>
      <c r="F107" s="58" t="s">
        <v>272</v>
      </c>
      <c r="G107" s="51">
        <v>7</v>
      </c>
      <c r="H107" s="250"/>
      <c r="I107" s="249"/>
    </row>
    <row r="108" spans="4:11">
      <c r="D108" s="247"/>
      <c r="E108" s="248"/>
      <c r="F108" s="18" t="s">
        <v>271</v>
      </c>
      <c r="G108" s="18">
        <f>SUM(G99,G101,G103,G105,G107)</f>
        <v>26</v>
      </c>
      <c r="H108" s="247"/>
      <c r="I108" s="248"/>
    </row>
    <row r="109" spans="4:11">
      <c r="D109" s="251"/>
      <c r="E109" s="252"/>
      <c r="F109" s="252"/>
      <c r="G109" s="252"/>
      <c r="H109" s="252"/>
      <c r="I109" s="253"/>
    </row>
    <row r="110" spans="4:11">
      <c r="D110" s="260" t="s">
        <v>279</v>
      </c>
      <c r="E110" s="261"/>
      <c r="F110" s="258" t="s">
        <v>270</v>
      </c>
      <c r="G110" s="259"/>
      <c r="H110" s="185" t="s">
        <v>263</v>
      </c>
      <c r="I110" s="185"/>
    </row>
    <row r="111" spans="4:11">
      <c r="D111" s="213"/>
      <c r="E111" s="262"/>
      <c r="F111" s="58" t="s">
        <v>272</v>
      </c>
      <c r="G111" s="51">
        <f>30+8</f>
        <v>38</v>
      </c>
      <c r="H111" s="185"/>
      <c r="I111" s="185"/>
      <c r="K111" t="s">
        <v>519</v>
      </c>
    </row>
    <row r="112" spans="4:11">
      <c r="D112" s="213"/>
      <c r="E112" s="262"/>
      <c r="F112" s="244" t="s">
        <v>273</v>
      </c>
      <c r="G112" s="249"/>
      <c r="H112" s="250" t="s">
        <v>262</v>
      </c>
      <c r="I112" s="249"/>
    </row>
    <row r="113" spans="4:9">
      <c r="D113" s="213"/>
      <c r="E113" s="262"/>
      <c r="F113" s="58" t="s">
        <v>272</v>
      </c>
      <c r="G113" s="51">
        <v>9</v>
      </c>
      <c r="H113" s="185"/>
      <c r="I113" s="185"/>
    </row>
    <row r="114" spans="4:9">
      <c r="D114" s="247"/>
      <c r="E114" s="248"/>
      <c r="F114" s="18" t="s">
        <v>271</v>
      </c>
      <c r="G114" s="18">
        <f>SUM(G111,G113)</f>
        <v>47</v>
      </c>
      <c r="H114" s="247"/>
      <c r="I114" s="248"/>
    </row>
    <row r="115" spans="4:9">
      <c r="D115" s="186" t="s">
        <v>280</v>
      </c>
      <c r="E115" s="186"/>
      <c r="F115" s="249" t="s">
        <v>269</v>
      </c>
      <c r="G115" s="185"/>
      <c r="H115" s="185"/>
      <c r="I115" s="185"/>
    </row>
    <row r="116" spans="4:9">
      <c r="D116" s="186"/>
      <c r="E116" s="186"/>
      <c r="F116" s="50" t="s">
        <v>271</v>
      </c>
      <c r="G116" s="41"/>
      <c r="H116" s="264"/>
      <c r="I116" s="265"/>
    </row>
    <row r="117" spans="4:9">
      <c r="D117" s="242"/>
      <c r="E117" s="243"/>
      <c r="F117" s="244"/>
      <c r="G117" s="244"/>
      <c r="H117" s="245"/>
      <c r="I117" s="246"/>
    </row>
  </sheetData>
  <mergeCells count="121">
    <mergeCell ref="D7:G7"/>
    <mergeCell ref="H7:I7"/>
    <mergeCell ref="D8:E19"/>
    <mergeCell ref="H60:I60"/>
    <mergeCell ref="F56:G56"/>
    <mergeCell ref="H56:I56"/>
    <mergeCell ref="F64:G64"/>
    <mergeCell ref="F62:G62"/>
    <mergeCell ref="F60:G60"/>
    <mergeCell ref="F58:G58"/>
    <mergeCell ref="H62:I62"/>
    <mergeCell ref="H63:I63"/>
    <mergeCell ref="H64:I64"/>
    <mergeCell ref="H59:I59"/>
    <mergeCell ref="H20:I20"/>
    <mergeCell ref="D21:I21"/>
    <mergeCell ref="D20:E20"/>
    <mergeCell ref="D39:I39"/>
    <mergeCell ref="D22:E37"/>
    <mergeCell ref="H54:I54"/>
    <mergeCell ref="D40:E53"/>
    <mergeCell ref="H43:I43"/>
    <mergeCell ref="H40:I40"/>
    <mergeCell ref="H41:I41"/>
    <mergeCell ref="H42:I42"/>
    <mergeCell ref="F80:G80"/>
    <mergeCell ref="H80:I80"/>
    <mergeCell ref="H81:I81"/>
    <mergeCell ref="H50:I50"/>
    <mergeCell ref="H51:I51"/>
    <mergeCell ref="H52:I52"/>
    <mergeCell ref="H44:I44"/>
    <mergeCell ref="H45:I45"/>
    <mergeCell ref="H46:I46"/>
    <mergeCell ref="H47:I47"/>
    <mergeCell ref="H48:I48"/>
    <mergeCell ref="H49:I49"/>
    <mergeCell ref="H61:I61"/>
    <mergeCell ref="D55:I55"/>
    <mergeCell ref="F94:G94"/>
    <mergeCell ref="H94:I94"/>
    <mergeCell ref="H95:I95"/>
    <mergeCell ref="D56:E95"/>
    <mergeCell ref="D54:E54"/>
    <mergeCell ref="H66:I66"/>
    <mergeCell ref="H53:I53"/>
    <mergeCell ref="H115:I115"/>
    <mergeCell ref="F115:G115"/>
    <mergeCell ref="D115:E116"/>
    <mergeCell ref="F92:G92"/>
    <mergeCell ref="H85:I85"/>
    <mergeCell ref="H91:I91"/>
    <mergeCell ref="H98:I98"/>
    <mergeCell ref="H110:I110"/>
    <mergeCell ref="H100:I100"/>
    <mergeCell ref="H57:I57"/>
    <mergeCell ref="F84:G84"/>
    <mergeCell ref="H92:I92"/>
    <mergeCell ref="D110:E113"/>
    <mergeCell ref="F78:G78"/>
    <mergeCell ref="H78:I78"/>
    <mergeCell ref="H79:I79"/>
    <mergeCell ref="H73:I73"/>
    <mergeCell ref="F74:G74"/>
    <mergeCell ref="H74:I74"/>
    <mergeCell ref="H75:I75"/>
    <mergeCell ref="F76:G76"/>
    <mergeCell ref="D108:E108"/>
    <mergeCell ref="F88:G88"/>
    <mergeCell ref="H88:I88"/>
    <mergeCell ref="H89:I89"/>
    <mergeCell ref="D97:I97"/>
    <mergeCell ref="F100:G100"/>
    <mergeCell ref="H99:I99"/>
    <mergeCell ref="H93:I93"/>
    <mergeCell ref="H58:I58"/>
    <mergeCell ref="F90:G90"/>
    <mergeCell ref="F68:G68"/>
    <mergeCell ref="H71:I71"/>
    <mergeCell ref="H72:I72"/>
    <mergeCell ref="H68:I68"/>
    <mergeCell ref="F72:G72"/>
    <mergeCell ref="F70:G70"/>
    <mergeCell ref="H70:I70"/>
    <mergeCell ref="F66:G66"/>
    <mergeCell ref="H77:I77"/>
    <mergeCell ref="H90:I90"/>
    <mergeCell ref="F82:G82"/>
    <mergeCell ref="H82:I82"/>
    <mergeCell ref="H83:I83"/>
    <mergeCell ref="H84:I84"/>
    <mergeCell ref="H65:I65"/>
    <mergeCell ref="H67:I67"/>
    <mergeCell ref="F86:G86"/>
    <mergeCell ref="H86:I86"/>
    <mergeCell ref="H87:I87"/>
    <mergeCell ref="H76:I76"/>
    <mergeCell ref="H69:I69"/>
    <mergeCell ref="D117:I117"/>
    <mergeCell ref="H108:I108"/>
    <mergeCell ref="H105:I105"/>
    <mergeCell ref="H101:I101"/>
    <mergeCell ref="F102:G102"/>
    <mergeCell ref="H102:I102"/>
    <mergeCell ref="H103:I103"/>
    <mergeCell ref="F104:G104"/>
    <mergeCell ref="H104:I104"/>
    <mergeCell ref="F112:G112"/>
    <mergeCell ref="H113:I113"/>
    <mergeCell ref="D114:E114"/>
    <mergeCell ref="H114:I114"/>
    <mergeCell ref="H111:I111"/>
    <mergeCell ref="H112:I112"/>
    <mergeCell ref="D109:I109"/>
    <mergeCell ref="F106:G106"/>
    <mergeCell ref="H106:I106"/>
    <mergeCell ref="H107:I107"/>
    <mergeCell ref="D98:E107"/>
    <mergeCell ref="F98:G98"/>
    <mergeCell ref="F110:G110"/>
    <mergeCell ref="H116:I1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003-A8AB-47EB-A5DE-78C02E6C1687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a26963-9f1c-41ce-b32f-bd6ae39f9e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9D57887C8E047A522BE8783315FD5" ma:contentTypeVersion="10" ma:contentTypeDescription="Crée un document." ma:contentTypeScope="" ma:versionID="b6d573cdf87c766dfe5efab7c91f3c60">
  <xsd:schema xmlns:xsd="http://www.w3.org/2001/XMLSchema" xmlns:xs="http://www.w3.org/2001/XMLSchema" xmlns:p="http://schemas.microsoft.com/office/2006/metadata/properties" xmlns:ns3="98a26963-9f1c-41ce-b32f-bd6ae39f9e45" targetNamespace="http://schemas.microsoft.com/office/2006/metadata/properties" ma:root="true" ma:fieldsID="8b8a00d191a547cf9ddabb970b1cfe46" ns3:_="">
    <xsd:import namespace="98a26963-9f1c-41ce-b32f-bd6ae39f9e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26963-9f1c-41ce-b32f-bd6ae39f9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79E90F-2C5C-4638-8A78-35FDE27CED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123B5D-8A25-4333-8845-EB152A65DC86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8a26963-9f1c-41ce-b32f-bd6ae39f9e45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80CC26-482A-4A7B-B927-CBA7E336C0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26963-9f1c-41ce-b32f-bd6ae39f9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3d6f09e-9ba9-4a36-ad75-d9039be4fe29}" enabled="0" method="" siteId="{e3d6f09e-9ba9-4a36-ad75-d9039be4fe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Données</vt:lpstr>
      <vt:lpstr>Bouche GP-GE </vt:lpstr>
      <vt:lpstr>PDC répartie-Dimension gaine</vt:lpstr>
      <vt:lpstr>PDC singuliere-Clapet</vt:lpstr>
      <vt:lpstr>PDC total-Equilibrage</vt:lpstr>
      <vt:lpstr>Ventilateur</vt:lpstr>
      <vt:lpstr>PRESENTATION</vt:lpstr>
      <vt:lpstr>Feuil1</vt:lpstr>
      <vt:lpstr>Métré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Marouane Azouaoui</dc:creator>
  <cp:keywords/>
  <dc:description/>
  <cp:lastModifiedBy>Walid Abdelkhalek</cp:lastModifiedBy>
  <cp:revision/>
  <dcterms:created xsi:type="dcterms:W3CDTF">2025-02-05T07:42:40Z</dcterms:created>
  <dcterms:modified xsi:type="dcterms:W3CDTF">2026-09-03T18:13:27Z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0x0101004E09D57887C8E047A522BE8783315FD5</vt:lpwstr>
  </property>
</Properties>
</file>