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ink/ink3.xml" ContentType="application/inkml+xml"/>
  <Override PartName="/xl/ink/ink4.xml" ContentType="application/inkml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e4e9057fa51e59/Documents/"/>
    </mc:Choice>
  </mc:AlternateContent>
  <xr:revisionPtr revIDLastSave="0" documentId="8_{14BE41E4-EC7B-4D1D-899F-38393E893253}" xr6:coauthVersionLast="47" xr6:coauthVersionMax="47" xr10:uidLastSave="{00000000-0000-0000-0000-000000000000}"/>
  <bookViews>
    <workbookView xWindow="-120" yWindow="-120" windowWidth="29040" windowHeight="15840" activeTab="3" xr2:uid="{059BD9A4-0666-4AF2-84B4-4AC4C47F87D1}"/>
  </bookViews>
  <sheets>
    <sheet name="Damètre conduites" sheetId="3" r:id="rId1"/>
    <sheet name="Choix des organes" sheetId="4" r:id="rId2"/>
    <sheet name="PDC singuliere-repartie" sheetId="7" r:id="rId3"/>
    <sheet name="Choix des organes (2)" sheetId="8" r:id="rId4"/>
    <sheet name="Feuil1" sheetId="9" r:id="rId5"/>
    <sheet name="Métré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8" l="1"/>
  <c r="E49" i="8"/>
  <c r="F49" i="8" s="1"/>
  <c r="D68" i="8"/>
  <c r="F45" i="8"/>
  <c r="L27" i="3"/>
  <c r="R37" i="8"/>
  <c r="S35" i="8"/>
  <c r="R35" i="8"/>
  <c r="G39" i="8"/>
  <c r="F39" i="8"/>
  <c r="Q34" i="7"/>
  <c r="E31" i="4"/>
  <c r="L24" i="3"/>
  <c r="G24" i="3"/>
  <c r="F24" i="3"/>
  <c r="E24" i="3"/>
  <c r="F50" i="8" l="1"/>
  <c r="I25" i="3"/>
  <c r="F31" i="3"/>
  <c r="Q57" i="7"/>
  <c r="C24" i="3"/>
  <c r="F28" i="6"/>
  <c r="F21" i="6"/>
  <c r="AR12" i="8" l="1"/>
  <c r="H74" i="8"/>
  <c r="G74" i="8"/>
  <c r="C74" i="8"/>
  <c r="C73" i="8"/>
  <c r="E68" i="8"/>
  <c r="C68" i="8"/>
  <c r="AQ4" i="8" l="1"/>
  <c r="H34" i="4"/>
  <c r="G70" i="7"/>
  <c r="G71" i="7"/>
  <c r="G72" i="7"/>
  <c r="G73" i="7"/>
  <c r="G74" i="7"/>
  <c r="G75" i="7"/>
  <c r="G76" i="7"/>
  <c r="G69" i="7"/>
  <c r="G52" i="7"/>
  <c r="G53" i="7"/>
  <c r="G54" i="7"/>
  <c r="G55" i="7"/>
  <c r="G56" i="7"/>
  <c r="G57" i="7"/>
  <c r="G58" i="7"/>
  <c r="G59" i="7"/>
  <c r="G51" i="7"/>
  <c r="G41" i="7"/>
  <c r="G38" i="7"/>
  <c r="G39" i="7"/>
  <c r="G40" i="7"/>
  <c r="G37" i="7"/>
  <c r="G36" i="7"/>
  <c r="G32" i="7"/>
  <c r="G33" i="7"/>
  <c r="G86" i="7" s="1"/>
  <c r="G34" i="7"/>
  <c r="G35" i="7"/>
  <c r="D62" i="8"/>
  <c r="E62" i="8"/>
  <c r="E45" i="8"/>
  <c r="U37" i="8"/>
  <c r="U38" i="8" s="1"/>
  <c r="V35" i="8"/>
  <c r="U35" i="8"/>
  <c r="C84" i="7"/>
  <c r="F84" i="7" s="1"/>
  <c r="C76" i="7"/>
  <c r="C68" i="7"/>
  <c r="C59" i="7"/>
  <c r="F59" i="7" s="1"/>
  <c r="F82" i="7"/>
  <c r="F83" i="7"/>
  <c r="E82" i="7"/>
  <c r="E83" i="7"/>
  <c r="E84" i="7"/>
  <c r="E85" i="7"/>
  <c r="D83" i="7"/>
  <c r="D84" i="7"/>
  <c r="F75" i="7"/>
  <c r="F76" i="7"/>
  <c r="E75" i="7"/>
  <c r="E77" i="7" s="1"/>
  <c r="E76" i="7"/>
  <c r="D75" i="7"/>
  <c r="D77" i="7" s="1"/>
  <c r="D76" i="7"/>
  <c r="E67" i="7"/>
  <c r="F67" i="7" s="1"/>
  <c r="E68" i="7"/>
  <c r="D67" i="7"/>
  <c r="D68" i="7"/>
  <c r="F65" i="7"/>
  <c r="F66" i="7"/>
  <c r="F58" i="7"/>
  <c r="E58" i="7"/>
  <c r="E60" i="7" s="1"/>
  <c r="E59" i="7"/>
  <c r="D58" i="7"/>
  <c r="D60" i="7" s="1"/>
  <c r="D59" i="7"/>
  <c r="L83" i="7"/>
  <c r="M83" i="7" s="1"/>
  <c r="L80" i="7"/>
  <c r="L79" i="7"/>
  <c r="L77" i="7"/>
  <c r="M80" i="7" s="1"/>
  <c r="M72" i="7"/>
  <c r="M73" i="7"/>
  <c r="M74" i="7"/>
  <c r="M75" i="7"/>
  <c r="M76" i="7"/>
  <c r="L76" i="7"/>
  <c r="L72" i="7"/>
  <c r="L73" i="7"/>
  <c r="L75" i="7"/>
  <c r="L70" i="7"/>
  <c r="M70" i="7" s="1"/>
  <c r="M64" i="7"/>
  <c r="M65" i="7"/>
  <c r="M66" i="7"/>
  <c r="M67" i="7"/>
  <c r="L64" i="7"/>
  <c r="L65" i="7"/>
  <c r="L66" i="7"/>
  <c r="L67" i="7"/>
  <c r="N58" i="7"/>
  <c r="M55" i="7"/>
  <c r="M56" i="7"/>
  <c r="M57" i="7"/>
  <c r="M46" i="7"/>
  <c r="M47" i="7"/>
  <c r="M48" i="7"/>
  <c r="L46" i="7"/>
  <c r="L47" i="7" s="1"/>
  <c r="L48" i="7" s="1"/>
  <c r="L39" i="7"/>
  <c r="N39" i="7"/>
  <c r="I32" i="3"/>
  <c r="F35" i="8"/>
  <c r="F34" i="8"/>
  <c r="E56" i="8" s="1"/>
  <c r="F31" i="8"/>
  <c r="F33" i="8" s="1"/>
  <c r="E44" i="8"/>
  <c r="S37" i="8"/>
  <c r="S38" i="8" s="1"/>
  <c r="L59" i="7"/>
  <c r="L58" i="7"/>
  <c r="M58" i="7" s="1"/>
  <c r="L69" i="7"/>
  <c r="M69" i="7" s="1"/>
  <c r="J59" i="7"/>
  <c r="K50" i="7"/>
  <c r="E70" i="7"/>
  <c r="E69" i="7" s="1"/>
  <c r="AR16" i="8"/>
  <c r="AP12" i="8"/>
  <c r="AR36" i="8" s="1"/>
  <c r="E41" i="7"/>
  <c r="F41" i="7" s="1"/>
  <c r="D41" i="7"/>
  <c r="D39" i="8"/>
  <c r="C39" i="8"/>
  <c r="C62" i="8" s="1"/>
  <c r="C44" i="8"/>
  <c r="D98" i="7"/>
  <c r="E98" i="7"/>
  <c r="F98" i="7" s="1"/>
  <c r="D99" i="7"/>
  <c r="E99" i="7"/>
  <c r="F99" i="7" s="1"/>
  <c r="D100" i="7"/>
  <c r="E100" i="7"/>
  <c r="F100" i="7" s="1"/>
  <c r="C101" i="7"/>
  <c r="C61" i="7" s="1"/>
  <c r="C78" i="7" s="1"/>
  <c r="D101" i="7"/>
  <c r="E101" i="7"/>
  <c r="C102" i="7"/>
  <c r="D102" i="7"/>
  <c r="E102" i="7"/>
  <c r="C103" i="7"/>
  <c r="D103" i="7"/>
  <c r="E103" i="7"/>
  <c r="D104" i="7"/>
  <c r="E104" i="7"/>
  <c r="D105" i="7"/>
  <c r="E105" i="7"/>
  <c r="F105" i="7" s="1"/>
  <c r="C106" i="7"/>
  <c r="D106" i="7"/>
  <c r="E106" i="7"/>
  <c r="D107" i="7"/>
  <c r="D108" i="7" s="1"/>
  <c r="D109" i="7" s="1"/>
  <c r="E107" i="7"/>
  <c r="C108" i="7"/>
  <c r="E108" i="7"/>
  <c r="E109" i="7" s="1"/>
  <c r="F109" i="7" s="1"/>
  <c r="C35" i="8"/>
  <c r="C34" i="8"/>
  <c r="C31" i="8"/>
  <c r="C32" i="8" s="1"/>
  <c r="C33" i="8" s="1"/>
  <c r="C51" i="8" s="1"/>
  <c r="D35" i="8"/>
  <c r="D34" i="8"/>
  <c r="D56" i="8" s="1"/>
  <c r="D31" i="8"/>
  <c r="D32" i="8" s="1"/>
  <c r="D33" i="8" s="1"/>
  <c r="D51" i="8" s="1"/>
  <c r="D57" i="8"/>
  <c r="C57" i="8"/>
  <c r="C56" i="8"/>
  <c r="L34" i="7"/>
  <c r="L32" i="7"/>
  <c r="M32" i="7" s="1"/>
  <c r="C49" i="7"/>
  <c r="C48" i="7"/>
  <c r="C47" i="7"/>
  <c r="C35" i="7"/>
  <c r="C45" i="7" s="1"/>
  <c r="C69" i="7"/>
  <c r="C51" i="7" s="1"/>
  <c r="C32" i="7"/>
  <c r="C42" i="7" s="1"/>
  <c r="Q56" i="7"/>
  <c r="L28" i="3"/>
  <c r="R33" i="4"/>
  <c r="D31" i="4" s="1"/>
  <c r="Q54" i="7"/>
  <c r="R54" i="7" s="1"/>
  <c r="Q55" i="7"/>
  <c r="R55" i="7" s="1"/>
  <c r="Q53" i="7"/>
  <c r="R53" i="7" s="1"/>
  <c r="Q45" i="7"/>
  <c r="Q46" i="7"/>
  <c r="R46" i="7" s="1"/>
  <c r="Q47" i="7"/>
  <c r="R47" i="7" s="1"/>
  <c r="Q48" i="7"/>
  <c r="R48" i="7" s="1"/>
  <c r="Q49" i="7"/>
  <c r="R49" i="7" s="1"/>
  <c r="Q44" i="7"/>
  <c r="R44" i="7" s="1"/>
  <c r="Q33" i="7"/>
  <c r="R33" i="7" s="1"/>
  <c r="R34" i="7"/>
  <c r="Q35" i="7"/>
  <c r="R35" i="7" s="1"/>
  <c r="Q36" i="7"/>
  <c r="R36" i="7" s="1"/>
  <c r="Q37" i="7"/>
  <c r="R37" i="7" s="1"/>
  <c r="Q38" i="7"/>
  <c r="R38" i="7" s="1"/>
  <c r="Q39" i="7"/>
  <c r="R39" i="7" s="1"/>
  <c r="Q40" i="7"/>
  <c r="R40" i="7" s="1"/>
  <c r="Q32" i="7"/>
  <c r="R32" i="7" s="1"/>
  <c r="L60" i="7"/>
  <c r="M60" i="7" s="1"/>
  <c r="M88" i="7" s="1"/>
  <c r="L71" i="7"/>
  <c r="M71" i="7" s="1"/>
  <c r="L62" i="7"/>
  <c r="M62" i="7" s="1"/>
  <c r="L63" i="7"/>
  <c r="M63" i="7" s="1"/>
  <c r="L61" i="7"/>
  <c r="M61" i="7" s="1"/>
  <c r="C74" i="7"/>
  <c r="C75" i="7"/>
  <c r="C79" i="7"/>
  <c r="C66" i="7"/>
  <c r="E37" i="7"/>
  <c r="E39" i="7" s="1"/>
  <c r="E32" i="7"/>
  <c r="E42" i="7" s="1"/>
  <c r="C58" i="7"/>
  <c r="F85" i="7"/>
  <c r="D85" i="7"/>
  <c r="C56" i="7"/>
  <c r="D82" i="7"/>
  <c r="D66" i="7"/>
  <c r="C81" i="7"/>
  <c r="C73" i="7" s="1"/>
  <c r="E71" i="7"/>
  <c r="E72" i="7"/>
  <c r="E73" i="7"/>
  <c r="E74" i="7"/>
  <c r="E78" i="7"/>
  <c r="E79" i="7"/>
  <c r="E80" i="7"/>
  <c r="E81" i="7"/>
  <c r="D71" i="7"/>
  <c r="D72" i="7"/>
  <c r="D73" i="7"/>
  <c r="D74" i="7"/>
  <c r="D78" i="7"/>
  <c r="D79" i="7"/>
  <c r="D80" i="7"/>
  <c r="D81" i="7"/>
  <c r="D70" i="7"/>
  <c r="D69" i="7" s="1"/>
  <c r="C55" i="7"/>
  <c r="E53" i="7"/>
  <c r="E54" i="7"/>
  <c r="E55" i="7"/>
  <c r="E56" i="7"/>
  <c r="E57" i="7"/>
  <c r="E61" i="7"/>
  <c r="E62" i="7"/>
  <c r="E63" i="7"/>
  <c r="E64" i="7"/>
  <c r="E65" i="7"/>
  <c r="E66" i="7"/>
  <c r="E52" i="7"/>
  <c r="E51" i="7" s="1"/>
  <c r="D53" i="7"/>
  <c r="D54" i="7"/>
  <c r="D55" i="7"/>
  <c r="D56" i="7"/>
  <c r="D57" i="7"/>
  <c r="D61" i="7"/>
  <c r="D62" i="7"/>
  <c r="D63" i="7"/>
  <c r="D64" i="7"/>
  <c r="D65" i="7"/>
  <c r="D52" i="7"/>
  <c r="D51" i="7" s="1"/>
  <c r="C80" i="7"/>
  <c r="C63" i="7"/>
  <c r="C72" i="7"/>
  <c r="E36" i="7"/>
  <c r="E46" i="7" s="1"/>
  <c r="D37" i="7"/>
  <c r="D47" i="7" s="1"/>
  <c r="C71" i="7"/>
  <c r="D36" i="7"/>
  <c r="D46" i="7" s="1"/>
  <c r="D32" i="7"/>
  <c r="D34" i="7" s="1"/>
  <c r="D44" i="7" s="1"/>
  <c r="M54" i="7"/>
  <c r="M53" i="7"/>
  <c r="M52" i="7"/>
  <c r="N68" i="7" l="1"/>
  <c r="AQ8" i="8"/>
  <c r="AP8" i="8" s="1"/>
  <c r="AS36" i="8" s="1"/>
  <c r="C49" i="8"/>
  <c r="C50" i="8"/>
  <c r="D49" i="8"/>
  <c r="V37" i="8"/>
  <c r="V38" i="8" s="1"/>
  <c r="U39" i="8" s="1"/>
  <c r="D50" i="8"/>
  <c r="F32" i="8"/>
  <c r="F68" i="7"/>
  <c r="M59" i="7"/>
  <c r="F51" i="7"/>
  <c r="F69" i="7"/>
  <c r="F103" i="7"/>
  <c r="F102" i="7"/>
  <c r="F101" i="7"/>
  <c r="F106" i="7"/>
  <c r="F108" i="7"/>
  <c r="C104" i="7"/>
  <c r="C43" i="7"/>
  <c r="C44" i="7"/>
  <c r="C60" i="7"/>
  <c r="L81" i="7"/>
  <c r="M81" i="7" s="1"/>
  <c r="C46" i="7"/>
  <c r="C36" i="7"/>
  <c r="C33" i="7"/>
  <c r="C34" i="7"/>
  <c r="R45" i="7"/>
  <c r="R38" i="8"/>
  <c r="R39" i="8" s="1"/>
  <c r="D32" i="4"/>
  <c r="D33" i="4"/>
  <c r="E47" i="7"/>
  <c r="E40" i="7"/>
  <c r="E34" i="7"/>
  <c r="E44" i="7" s="1"/>
  <c r="E35" i="7"/>
  <c r="E45" i="7" s="1"/>
  <c r="E38" i="7"/>
  <c r="E48" i="7" s="1"/>
  <c r="E49" i="7" s="1"/>
  <c r="D38" i="7"/>
  <c r="D48" i="7" s="1"/>
  <c r="D49" i="7" s="1"/>
  <c r="D50" i="7" s="1"/>
  <c r="D42" i="7"/>
  <c r="E33" i="7"/>
  <c r="E43" i="7" s="1"/>
  <c r="D33" i="7"/>
  <c r="D43" i="7" s="1"/>
  <c r="D35" i="7"/>
  <c r="D45" i="7" s="1"/>
  <c r="AP19" i="8" l="1"/>
  <c r="AP22" i="8" s="1"/>
  <c r="AR22" i="8" s="1"/>
  <c r="F40" i="8"/>
  <c r="C77" i="7"/>
  <c r="F77" i="7" s="1"/>
  <c r="F60" i="7"/>
  <c r="F49" i="7"/>
  <c r="E50" i="7"/>
  <c r="F50" i="7" s="1"/>
  <c r="C107" i="7"/>
  <c r="F104" i="7"/>
  <c r="F34" i="7"/>
  <c r="D39" i="7"/>
  <c r="D40" i="7" s="1"/>
  <c r="F79" i="7"/>
  <c r="F80" i="7"/>
  <c r="F81" i="7"/>
  <c r="F54" i="7"/>
  <c r="F55" i="7"/>
  <c r="F56" i="7"/>
  <c r="F57" i="7"/>
  <c r="F61" i="7"/>
  <c r="F62" i="7"/>
  <c r="F63" i="7"/>
  <c r="F64" i="7"/>
  <c r="F72" i="7"/>
  <c r="F73" i="7"/>
  <c r="F74" i="7"/>
  <c r="F53" i="7"/>
  <c r="F71" i="7"/>
  <c r="F45" i="7"/>
  <c r="F42" i="7"/>
  <c r="F40" i="7"/>
  <c r="F39" i="7"/>
  <c r="F37" i="7"/>
  <c r="F32" i="7"/>
  <c r="J56" i="3"/>
  <c r="G40" i="8" l="1"/>
  <c r="C52" i="7"/>
  <c r="F107" i="7"/>
  <c r="F78" i="7"/>
  <c r="F43" i="7"/>
  <c r="F48" i="7"/>
  <c r="F36" i="7"/>
  <c r="F47" i="7"/>
  <c r="F44" i="7"/>
  <c r="F38" i="7"/>
  <c r="F35" i="7"/>
  <c r="F33" i="7"/>
  <c r="F46" i="7"/>
  <c r="I24" i="3"/>
  <c r="C70" i="7" l="1"/>
  <c r="F70" i="7" s="1"/>
  <c r="F52" i="7"/>
  <c r="F86" i="7" l="1"/>
  <c r="D24" i="3"/>
  <c r="C31" i="4"/>
  <c r="E33" i="4"/>
  <c r="Q52" i="7" s="1"/>
  <c r="R52" i="7" s="1"/>
  <c r="E32" i="4"/>
  <c r="Q51" i="7" s="1"/>
  <c r="R51" i="7" s="1"/>
  <c r="Q50" i="7"/>
  <c r="R50" i="7" s="1"/>
  <c r="R58" i="7" l="1"/>
  <c r="J24" i="3"/>
  <c r="C53" i="4" l="1"/>
  <c r="C29" i="3"/>
  <c r="C30" i="3"/>
  <c r="C54" i="4" l="1"/>
  <c r="C25" i="3"/>
  <c r="C26" i="3"/>
  <c r="C33" i="4" s="1"/>
  <c r="I31" i="3"/>
  <c r="I30" i="3"/>
  <c r="D30" i="3"/>
  <c r="J30" i="3" s="1"/>
  <c r="I29" i="3"/>
  <c r="D29" i="3"/>
  <c r="J29" i="3" s="1"/>
  <c r="C31" i="3"/>
  <c r="D31" i="3" s="1"/>
  <c r="I28" i="3"/>
  <c r="D28" i="3"/>
  <c r="J28" i="3" s="1"/>
  <c r="C68" i="4" s="1"/>
  <c r="I27" i="3"/>
  <c r="D27" i="3"/>
  <c r="J27" i="3" s="1"/>
  <c r="C65" i="4" s="1"/>
  <c r="I26" i="3"/>
  <c r="C69" i="4" l="1"/>
  <c r="C70" i="4"/>
  <c r="D25" i="3"/>
  <c r="C32" i="4"/>
  <c r="L29" i="3"/>
  <c r="D26" i="3"/>
  <c r="J26" i="3" s="1"/>
  <c r="L26" i="3" s="1"/>
  <c r="M34" i="7" s="1"/>
  <c r="C55" i="4"/>
  <c r="C66" i="4"/>
  <c r="C67" i="4"/>
  <c r="L30" i="3"/>
  <c r="E26" i="3"/>
  <c r="F26" i="3" s="1"/>
  <c r="G26" i="3" s="1"/>
  <c r="J31" i="3"/>
  <c r="E31" i="3"/>
  <c r="G31" i="3" s="1"/>
  <c r="E28" i="3"/>
  <c r="F28" i="3" s="1"/>
  <c r="G28" i="3" s="1"/>
  <c r="E29" i="3"/>
  <c r="F29" i="3" s="1"/>
  <c r="G29" i="3" s="1"/>
  <c r="E30" i="3"/>
  <c r="F30" i="3" s="1"/>
  <c r="G30" i="3" s="1"/>
  <c r="E27" i="3"/>
  <c r="F27" i="3" s="1"/>
  <c r="G27" i="3" s="1"/>
  <c r="L41" i="7" l="1"/>
  <c r="E68" i="4"/>
  <c r="J25" i="3"/>
  <c r="L25" i="3" s="1"/>
  <c r="L33" i="7" s="1"/>
  <c r="E25" i="3"/>
  <c r="F25" i="3" s="1"/>
  <c r="G25" i="3" s="1"/>
  <c r="L31" i="3"/>
  <c r="C56" i="4"/>
  <c r="L51" i="7"/>
  <c r="E66" i="4"/>
  <c r="E65" i="4"/>
  <c r="E67" i="4" s="1"/>
  <c r="M51" i="7" l="1"/>
  <c r="L49" i="7"/>
  <c r="M33" i="7"/>
  <c r="L78" i="7"/>
  <c r="L35" i="7"/>
  <c r="E56" i="4"/>
  <c r="E70" i="4"/>
  <c r="E69" i="4"/>
  <c r="C58" i="4"/>
  <c r="C59" i="4"/>
  <c r="C61" i="4"/>
  <c r="C60" i="4"/>
  <c r="C57" i="4"/>
  <c r="L42" i="7"/>
  <c r="M41" i="7"/>
  <c r="F111" i="6"/>
  <c r="F99" i="6"/>
  <c r="F11" i="6"/>
  <c r="F41" i="6"/>
  <c r="F47" i="6"/>
  <c r="F44" i="6"/>
  <c r="F24" i="6"/>
  <c r="M42" i="7" l="1"/>
  <c r="L43" i="7"/>
  <c r="E59" i="4"/>
  <c r="E57" i="4"/>
  <c r="E61" i="4"/>
  <c r="E60" i="4"/>
  <c r="E58" i="4"/>
  <c r="L36" i="7"/>
  <c r="M77" i="7" s="1"/>
  <c r="M35" i="7"/>
  <c r="L37" i="7" l="1"/>
  <c r="M36" i="7"/>
  <c r="M43" i="7"/>
  <c r="L44" i="7"/>
  <c r="M37" i="7" l="1"/>
  <c r="L38" i="7"/>
  <c r="M78" i="7"/>
  <c r="M44" i="7"/>
  <c r="L45" i="7"/>
  <c r="E50" i="8" l="1"/>
  <c r="M79" i="7"/>
  <c r="L68" i="7"/>
  <c r="M68" i="7" s="1"/>
  <c r="M38" i="7"/>
  <c r="M45" i="7"/>
  <c r="F51" i="8" l="1"/>
  <c r="L82" i="7"/>
  <c r="L40" i="7" l="1"/>
  <c r="M40" i="7" s="1"/>
  <c r="M82" i="7"/>
  <c r="M39" i="7" l="1"/>
  <c r="M49" i="7" l="1"/>
  <c r="L50" i="7"/>
  <c r="M50" i="7" l="1"/>
  <c r="N49" i="7"/>
  <c r="F44" i="8"/>
  <c r="M86" i="7"/>
  <c r="G44" i="8" l="1"/>
  <c r="G45" i="8" l="1"/>
  <c r="E57" i="8"/>
  <c r="D73" i="8" l="1"/>
  <c r="F62" i="8"/>
  <c r="G62" i="8" s="1"/>
  <c r="E73" i="8" l="1"/>
  <c r="E74" i="8" s="1"/>
  <c r="D74" i="8"/>
</calcChain>
</file>

<file path=xl/sharedStrings.xml><?xml version="1.0" encoding="utf-8"?>
<sst xmlns="http://schemas.openxmlformats.org/spreadsheetml/2006/main" count="513" uniqueCount="323">
  <si>
    <t>Longueur [m]</t>
  </si>
  <si>
    <t>v réelle [m/s]</t>
  </si>
  <si>
    <t>𝛏</t>
  </si>
  <si>
    <t>/</t>
  </si>
  <si>
    <t>Total</t>
  </si>
  <si>
    <t>Puissance [kw]</t>
  </si>
  <si>
    <t>Débits [kg/s]</t>
  </si>
  <si>
    <t>Section [m²]</t>
  </si>
  <si>
    <t>Débits [kg/h]</t>
  </si>
  <si>
    <t>DN abaques</t>
  </si>
  <si>
    <t>PDC [Pa/m]</t>
  </si>
  <si>
    <t>Chaudière 1</t>
  </si>
  <si>
    <t>Chaudière 2</t>
  </si>
  <si>
    <t>Chaudière 3</t>
  </si>
  <si>
    <t>Postchauffe</t>
  </si>
  <si>
    <t>Débits [m³/s]</t>
  </si>
  <si>
    <t>DN&gt;32</t>
  </si>
  <si>
    <t>Circuit Chaud -Départ</t>
  </si>
  <si>
    <r>
      <t>V</t>
    </r>
    <r>
      <rPr>
        <sz val="9"/>
        <color theme="1"/>
        <rFont val="Aptos Narrow"/>
        <family val="2"/>
        <scheme val="minor"/>
      </rPr>
      <t>max</t>
    </r>
    <r>
      <rPr>
        <sz val="11"/>
        <color theme="1"/>
        <rFont val="Aptos Narrow"/>
        <family val="2"/>
        <scheme val="minor"/>
      </rPr>
      <t xml:space="preserve"> collecteur</t>
    </r>
  </si>
  <si>
    <r>
      <t>V</t>
    </r>
    <r>
      <rPr>
        <sz val="9"/>
        <color theme="1"/>
        <rFont val="Aptos Narrow"/>
        <family val="2"/>
        <scheme val="minor"/>
      </rPr>
      <t>max</t>
    </r>
    <r>
      <rPr>
        <sz val="11"/>
        <color theme="1"/>
        <rFont val="Aptos Narrow"/>
        <family val="2"/>
        <scheme val="minor"/>
      </rPr>
      <t xml:space="preserve"> consommateur</t>
    </r>
  </si>
  <si>
    <t>Circuit Froid -Retour</t>
  </si>
  <si>
    <t>DN &lt; 32</t>
  </si>
  <si>
    <r>
      <t xml:space="preserve">Cp </t>
    </r>
    <r>
      <rPr>
        <sz val="9"/>
        <color theme="1"/>
        <rFont val="Aptos Narrow"/>
        <family val="2"/>
        <scheme val="minor"/>
      </rPr>
      <t>eau</t>
    </r>
  </si>
  <si>
    <r>
      <t>∆</t>
    </r>
    <r>
      <rPr>
        <sz val="10"/>
        <color theme="1"/>
        <rFont val="Aptos Narrow"/>
        <family val="2"/>
      </rPr>
      <t>T</t>
    </r>
  </si>
  <si>
    <t>°C</t>
  </si>
  <si>
    <r>
      <rPr>
        <sz val="11"/>
        <color theme="1"/>
        <rFont val="Aptos Narrow"/>
        <family val="2"/>
      </rPr>
      <t>ρ</t>
    </r>
    <r>
      <rPr>
        <sz val="6.6"/>
        <color theme="1"/>
        <rFont val="Aptos Narrow"/>
        <family val="2"/>
      </rPr>
      <t>eau</t>
    </r>
  </si>
  <si>
    <t xml:space="preserve">Pdc max </t>
  </si>
  <si>
    <t>[Pa/m]</t>
  </si>
  <si>
    <t>Information</t>
  </si>
  <si>
    <t>D calculé[mm]</t>
  </si>
  <si>
    <r>
      <t>[kg/m</t>
    </r>
    <r>
      <rPr>
        <vertAlign val="superscript"/>
        <sz val="11"/>
        <color theme="1"/>
        <rFont val="Aptos Narrow (Corps)"/>
      </rPr>
      <t>3</t>
    </r>
    <r>
      <rPr>
        <sz val="11"/>
        <color theme="1"/>
        <rFont val="Aptos Narrow"/>
        <family val="2"/>
        <scheme val="minor"/>
      </rPr>
      <t>]</t>
    </r>
  </si>
  <si>
    <t>[°C]</t>
  </si>
  <si>
    <t>[J/kg.K]</t>
  </si>
  <si>
    <t>[m/s]</t>
  </si>
  <si>
    <t>Collecteur</t>
  </si>
  <si>
    <t>Section corrigé</t>
  </si>
  <si>
    <t>Régime</t>
  </si>
  <si>
    <t>Chaudière n°1</t>
  </si>
  <si>
    <t>Chaudière n°2</t>
  </si>
  <si>
    <t>Chaudière n°3</t>
  </si>
  <si>
    <t>Choix des chaudières</t>
  </si>
  <si>
    <t>Régime 70/50[kW]</t>
  </si>
  <si>
    <t>70/50</t>
  </si>
  <si>
    <t>Type</t>
  </si>
  <si>
    <t>Vanne d'isolement manuelle</t>
  </si>
  <si>
    <t>n°</t>
  </si>
  <si>
    <t>DN [mm]</t>
  </si>
  <si>
    <t>ΔPdC[bar]</t>
  </si>
  <si>
    <t>Nom</t>
  </si>
  <si>
    <t>Eau de ville</t>
  </si>
  <si>
    <t>Vase d'expansion</t>
  </si>
  <si>
    <t>JIP-FF PN 16 065N0850</t>
  </si>
  <si>
    <t>JIP-FF PN 40 065N0325</t>
  </si>
  <si>
    <t>JIP-FF PN 40 065N0320</t>
  </si>
  <si>
    <r>
      <t>Q [m</t>
    </r>
    <r>
      <rPr>
        <b/>
        <vertAlign val="superscript"/>
        <sz val="11"/>
        <color theme="1"/>
        <rFont val="Aptos Narrow (Corps)"/>
      </rPr>
      <t>3</t>
    </r>
    <r>
      <rPr>
        <b/>
        <sz val="11"/>
        <color theme="1"/>
        <rFont val="Aptos Narrow (Corps)"/>
      </rPr>
      <t>/h]</t>
    </r>
  </si>
  <si>
    <t>Vanne d'isolement motorisée</t>
  </si>
  <si>
    <t>JIP-FF PN 16 065N0232</t>
  </si>
  <si>
    <r>
      <t>Q [m</t>
    </r>
    <r>
      <rPr>
        <b/>
        <vertAlign val="superscript"/>
        <sz val="11"/>
        <color rgb="FF000000"/>
        <rFont val="Aptos Narrow"/>
        <scheme val="minor"/>
      </rPr>
      <t>3</t>
    </r>
    <r>
      <rPr>
        <b/>
        <sz val="11"/>
        <color rgb="FF000000"/>
        <rFont val="Aptos Narrow"/>
        <scheme val="minor"/>
      </rPr>
      <t>/h]</t>
    </r>
  </si>
  <si>
    <t>Vanne de régulation 2 voies</t>
  </si>
  <si>
    <t>Vanne de régulation 3 voies</t>
  </si>
  <si>
    <t>Vanne d'équilibrage</t>
  </si>
  <si>
    <t>Pompe</t>
  </si>
  <si>
    <t>Circulateur</t>
  </si>
  <si>
    <t>Pertes de charges singulières organes</t>
  </si>
  <si>
    <t>Types</t>
  </si>
  <si>
    <t>ΔPdC[Pa]</t>
  </si>
  <si>
    <t>Chaudière</t>
  </si>
  <si>
    <t>Perte de charges singulières (coudes,…)</t>
  </si>
  <si>
    <t>ρ [kg/m^3]</t>
  </si>
  <si>
    <t>Préchauffe</t>
  </si>
  <si>
    <t>v  [m/s]</t>
  </si>
  <si>
    <t>Pertes de charges réparties</t>
  </si>
  <si>
    <t>Conduit</t>
  </si>
  <si>
    <t>PdC  répartie[Pa/m]</t>
  </si>
  <si>
    <t>DN</t>
  </si>
  <si>
    <r>
      <t xml:space="preserve">ΔPdC </t>
    </r>
    <r>
      <rPr>
        <b/>
        <vertAlign val="subscript"/>
        <sz val="11"/>
        <color theme="1"/>
        <rFont val="Aptos Narrow (Corps)"/>
      </rPr>
      <t>vanne</t>
    </r>
    <r>
      <rPr>
        <b/>
        <sz val="11"/>
        <color theme="1"/>
        <rFont val="Aptos Narrow"/>
        <family val="2"/>
        <scheme val="minor"/>
      </rPr>
      <t>[bar]</t>
    </r>
  </si>
  <si>
    <t>a</t>
  </si>
  <si>
    <t>Chaudières</t>
  </si>
  <si>
    <t>Quantité</t>
  </si>
  <si>
    <t>Quantité Total</t>
  </si>
  <si>
    <t>Types / Quantité</t>
  </si>
  <si>
    <t>ΔP [bar]</t>
  </si>
  <si>
    <t>Modèle n°1</t>
  </si>
  <si>
    <t>Modèlen°1</t>
  </si>
  <si>
    <t>Modèle n°2</t>
  </si>
  <si>
    <t>Modèle n°3</t>
  </si>
  <si>
    <t>Modèle n°4</t>
  </si>
  <si>
    <t>Modèle n°5</t>
  </si>
  <si>
    <t>ΔPdC [bar]</t>
  </si>
  <si>
    <t>Hydraulique</t>
  </si>
  <si>
    <t>Caractéristique</t>
  </si>
  <si>
    <t>150mm x 5m</t>
  </si>
  <si>
    <t>Modèle n°6</t>
  </si>
  <si>
    <t>65mm x 7,34m</t>
  </si>
  <si>
    <t>65mm x 5,36m</t>
  </si>
  <si>
    <t>65mm x 1,83m</t>
  </si>
  <si>
    <t>65mm x 5,08m</t>
  </si>
  <si>
    <t>Modèle n°7</t>
  </si>
  <si>
    <t>Modèle n°8</t>
  </si>
  <si>
    <t>Modèle n°9</t>
  </si>
  <si>
    <t>Modèle n°10</t>
  </si>
  <si>
    <t>Modèle n°11</t>
  </si>
  <si>
    <t>Modèle n°12</t>
  </si>
  <si>
    <t>Modèle n°13</t>
  </si>
  <si>
    <t>Modèle n°14</t>
  </si>
  <si>
    <t>Modèle n°15</t>
  </si>
  <si>
    <t>Modèle n°16</t>
  </si>
  <si>
    <t>Modèle n°17</t>
  </si>
  <si>
    <t>Modèle n°18</t>
  </si>
  <si>
    <t>Modèle n°19</t>
  </si>
  <si>
    <t>Modèle n°20</t>
  </si>
  <si>
    <t>65mm x 1,98m</t>
  </si>
  <si>
    <t>65mm x 5,50m</t>
  </si>
  <si>
    <t>65mm x 6,63m</t>
  </si>
  <si>
    <t>65mm x 2,26m</t>
  </si>
  <si>
    <t>65mm x 5,22m</t>
  </si>
  <si>
    <t>65mm x 6,77m</t>
  </si>
  <si>
    <t>65mm x 2,82m</t>
  </si>
  <si>
    <t>40mm x 10,16m</t>
  </si>
  <si>
    <t>40mm x 6,49m</t>
  </si>
  <si>
    <t>40mm x 3,10m</t>
  </si>
  <si>
    <t>40mm x 10,44m</t>
  </si>
  <si>
    <t>40mm x 3,67m</t>
  </si>
  <si>
    <t>50mm x 9,88m</t>
  </si>
  <si>
    <t>50mm x 9,59m</t>
  </si>
  <si>
    <t>50mm x 1,55m</t>
  </si>
  <si>
    <t>50mm x 1,69m</t>
  </si>
  <si>
    <t>50mm x 10,16m</t>
  </si>
  <si>
    <t>50mm x 2,12m</t>
  </si>
  <si>
    <t>50mm x 1,83m</t>
  </si>
  <si>
    <t>Modèle n°21</t>
  </si>
  <si>
    <t>Modèle n°22</t>
  </si>
  <si>
    <t>Modèle n°23</t>
  </si>
  <si>
    <t>Modèle n°24</t>
  </si>
  <si>
    <t>Modèle n°25</t>
  </si>
  <si>
    <t>DN 150 / T</t>
  </si>
  <si>
    <t>DN 150 / Coude</t>
  </si>
  <si>
    <t>DN 50 / T</t>
  </si>
  <si>
    <t>DN 50 / Coude</t>
  </si>
  <si>
    <t>DN 40 / Coude</t>
  </si>
  <si>
    <t>Singularité</t>
  </si>
  <si>
    <t>Départ 2</t>
  </si>
  <si>
    <t>Départ 1</t>
  </si>
  <si>
    <t>page 46 tableau du haut et 48 du mt 31</t>
  </si>
  <si>
    <t>page 46 tableau du bas et 48 du mt 31</t>
  </si>
  <si>
    <t>couloir 1400</t>
  </si>
  <si>
    <t>donc avec isolant on est large pour tout faire passer dans le couloir</t>
  </si>
  <si>
    <t>mettre collecteur coller aux murs</t>
  </si>
  <si>
    <t>mettres les departs dans la tremie proche des murs et pas au mileu</t>
  </si>
  <si>
    <t xml:space="preserve">ne pas passer au dessus de la porte du local hvac </t>
  </si>
  <si>
    <t>U-V</t>
  </si>
  <si>
    <t>AA-BB</t>
  </si>
  <si>
    <t>CC-DD</t>
  </si>
  <si>
    <t>AA'-BB'</t>
  </si>
  <si>
    <t>depart chaudiere-collecteur rouge</t>
  </si>
  <si>
    <t>depart chaudiere-collecteur bleu</t>
  </si>
  <si>
    <t>A-B</t>
  </si>
  <si>
    <t>B-C</t>
  </si>
  <si>
    <t>C-D</t>
  </si>
  <si>
    <t>A'-B'</t>
  </si>
  <si>
    <t>B'-C'</t>
  </si>
  <si>
    <t>C'-D'</t>
  </si>
  <si>
    <t>K-L</t>
  </si>
  <si>
    <t>L-M</t>
  </si>
  <si>
    <t>M-N</t>
  </si>
  <si>
    <t>K'-L'</t>
  </si>
  <si>
    <t>L'-M'</t>
  </si>
  <si>
    <t>E-F</t>
  </si>
  <si>
    <t>F-G</t>
  </si>
  <si>
    <t>G-H</t>
  </si>
  <si>
    <t>H-I</t>
  </si>
  <si>
    <t>I-J</t>
  </si>
  <si>
    <t>J-K</t>
  </si>
  <si>
    <t>E'-F'</t>
  </si>
  <si>
    <t>F'-G'</t>
  </si>
  <si>
    <t>G'-H'</t>
  </si>
  <si>
    <t>H'-I'</t>
  </si>
  <si>
    <t>postchauffe en bleu</t>
  </si>
  <si>
    <t>postchauffe en rouge</t>
  </si>
  <si>
    <t>EE-FF</t>
  </si>
  <si>
    <t>BB-DD</t>
  </si>
  <si>
    <t>DD-FF</t>
  </si>
  <si>
    <t>FF-GG</t>
  </si>
  <si>
    <t>GG-HH</t>
  </si>
  <si>
    <t>HH-II</t>
  </si>
  <si>
    <t>II-JJ</t>
  </si>
  <si>
    <t>CC'-DD'</t>
  </si>
  <si>
    <t>EE'-FF'</t>
  </si>
  <si>
    <t>BB'-DD'</t>
  </si>
  <si>
    <t>DD'-FF'</t>
  </si>
  <si>
    <t>FF'-GG'</t>
  </si>
  <si>
    <t>GG'-HH'</t>
  </si>
  <si>
    <t>O-P</t>
  </si>
  <si>
    <t>P-Q</t>
  </si>
  <si>
    <t>Q-R</t>
  </si>
  <si>
    <t>R-S</t>
  </si>
  <si>
    <t>S-T</t>
  </si>
  <si>
    <t>T-U</t>
  </si>
  <si>
    <t>O'-P'</t>
  </si>
  <si>
    <t>P'-Q'</t>
  </si>
  <si>
    <t>Q'-R'</t>
  </si>
  <si>
    <t>R'-S'</t>
  </si>
  <si>
    <t>prechauffe en rouge</t>
  </si>
  <si>
    <t>prechauffe en bleu</t>
  </si>
  <si>
    <t>BB</t>
  </si>
  <si>
    <t>DD</t>
  </si>
  <si>
    <t>FF</t>
  </si>
  <si>
    <t>GG</t>
  </si>
  <si>
    <t>HH</t>
  </si>
  <si>
    <t>II</t>
  </si>
  <si>
    <t>F</t>
  </si>
  <si>
    <t>G</t>
  </si>
  <si>
    <t>H</t>
  </si>
  <si>
    <t>I</t>
  </si>
  <si>
    <t>J</t>
  </si>
  <si>
    <t>K</t>
  </si>
  <si>
    <t>F'</t>
  </si>
  <si>
    <t>G'</t>
  </si>
  <si>
    <t>H'</t>
  </si>
  <si>
    <t>I'</t>
  </si>
  <si>
    <t>M</t>
  </si>
  <si>
    <t>P</t>
  </si>
  <si>
    <t>Q</t>
  </si>
  <si>
    <t>R</t>
  </si>
  <si>
    <t>S</t>
  </si>
  <si>
    <t>T</t>
  </si>
  <si>
    <t>U</t>
  </si>
  <si>
    <t>P'</t>
  </si>
  <si>
    <t>Q'</t>
  </si>
  <si>
    <t>R'</t>
  </si>
  <si>
    <t>S'</t>
  </si>
  <si>
    <t>Entre chaudière 2 et 3</t>
  </si>
  <si>
    <t>I'-KK</t>
  </si>
  <si>
    <t>M'-N'</t>
  </si>
  <si>
    <t>KK-J'</t>
  </si>
  <si>
    <t>S'-LL</t>
  </si>
  <si>
    <t>LL-T'</t>
  </si>
  <si>
    <t>KK-LL</t>
  </si>
  <si>
    <t>INTERPOLATION POUR TROUVER LA PUISSANCE EN 70/50; HYPOTHESE QUE LA TEMPERATURE DES FUMEES EST DE 150°C</t>
  </si>
  <si>
    <t>Vitocrossal 200;294kW; CM2</t>
  </si>
  <si>
    <t>Vitocrossal 200; 294kW; CM2</t>
  </si>
  <si>
    <t>KK</t>
  </si>
  <si>
    <t>evasement</t>
  </si>
  <si>
    <t>contraction</t>
  </si>
  <si>
    <t>A</t>
  </si>
  <si>
    <t>xsi</t>
  </si>
  <si>
    <t>w</t>
  </si>
  <si>
    <t>si le a n est pas entre 0,4 et 0,6 faut changer DN et donc perte de charge vanne augmentes</t>
  </si>
  <si>
    <t>position</t>
  </si>
  <si>
    <t>JIP-FF PN 16 065N4282</t>
  </si>
  <si>
    <t>JIP-FF PN 50 065N0325</t>
  </si>
  <si>
    <t>JJ-KK</t>
  </si>
  <si>
    <t>HH'-II'</t>
  </si>
  <si>
    <t>II'-JJ'</t>
  </si>
  <si>
    <t>JJ</t>
  </si>
  <si>
    <t>BB'</t>
  </si>
  <si>
    <t>DD'</t>
  </si>
  <si>
    <t>FF'</t>
  </si>
  <si>
    <t>GG'</t>
  </si>
  <si>
    <t>HH'</t>
  </si>
  <si>
    <t>II'</t>
  </si>
  <si>
    <t>KK'</t>
  </si>
  <si>
    <t>LL'</t>
  </si>
  <si>
    <t>MM'</t>
  </si>
  <si>
    <t>j'ai calculé avec la plus grosse chaudiere</t>
  </si>
  <si>
    <t>aw</t>
  </si>
  <si>
    <t>Vanne d'équilibrage de base</t>
  </si>
  <si>
    <t>ΔPdC circuit debit variable [bar]</t>
  </si>
  <si>
    <t>Vnet</t>
  </si>
  <si>
    <t>Vinst</t>
  </si>
  <si>
    <t>C expansion</t>
  </si>
  <si>
    <r>
      <t xml:space="preserve">ΔPdC </t>
    </r>
    <r>
      <rPr>
        <b/>
        <vertAlign val="subscript"/>
        <sz val="11"/>
        <color theme="1"/>
        <rFont val="Aptos Narrow (Corps)"/>
      </rPr>
      <t xml:space="preserve">vanne </t>
    </r>
    <r>
      <rPr>
        <b/>
        <sz val="11"/>
        <color theme="1"/>
        <rFont val="Aptos Narrow"/>
        <family val="2"/>
        <scheme val="minor"/>
      </rPr>
      <t>[bar]</t>
    </r>
  </si>
  <si>
    <t>QQ-O</t>
  </si>
  <si>
    <t>600 car  installation de 600KW</t>
  </si>
  <si>
    <t>Pgonflage</t>
  </si>
  <si>
    <t>KK'-E</t>
  </si>
  <si>
    <t>h</t>
  </si>
  <si>
    <t>Pmax</t>
  </si>
  <si>
    <t>OO-O'</t>
  </si>
  <si>
    <t>Vreel</t>
  </si>
  <si>
    <t>Pfin</t>
  </si>
  <si>
    <t>Vreserve</t>
  </si>
  <si>
    <t>Pini</t>
  </si>
  <si>
    <t>MM'-E'</t>
  </si>
  <si>
    <t>E</t>
  </si>
  <si>
    <t>E'</t>
  </si>
  <si>
    <t>OO</t>
  </si>
  <si>
    <t>O'</t>
  </si>
  <si>
    <t>QQ</t>
  </si>
  <si>
    <t>O</t>
  </si>
  <si>
    <t>L</t>
  </si>
  <si>
    <t>V</t>
  </si>
  <si>
    <t>J'</t>
  </si>
  <si>
    <t>K'</t>
  </si>
  <si>
    <t>W</t>
  </si>
  <si>
    <t>LL</t>
  </si>
  <si>
    <t>T'</t>
  </si>
  <si>
    <t>U'</t>
  </si>
  <si>
    <t>V-W</t>
  </si>
  <si>
    <t>T'-U'</t>
  </si>
  <si>
    <t>J'-K'</t>
  </si>
  <si>
    <r>
      <t>VFFF31.25 DN25 K</t>
    </r>
    <r>
      <rPr>
        <vertAlign val="subscript"/>
        <sz val="11"/>
        <color theme="1"/>
        <rFont val="Aptos Narrow (Corps)"/>
      </rPr>
      <t>vs5</t>
    </r>
  </si>
  <si>
    <t>TA-BVS 240- DN40 Kv10,2 position 6,5</t>
  </si>
  <si>
    <t>TA-BVS 240- DN50 Kv14 position 6</t>
  </si>
  <si>
    <t>verification de l autorite des 2 vannes apres equilibrage</t>
  </si>
  <si>
    <t>LITRE DEAU DANS TYX</t>
  </si>
  <si>
    <t>Volume [L]</t>
  </si>
  <si>
    <t>V Bat</t>
  </si>
  <si>
    <t>ΔPdC circuit [bar]</t>
  </si>
  <si>
    <t>TA-BVS 240- DN65 Kv25,2 position 6</t>
  </si>
  <si>
    <t>TA-BVS 240- DN65 Kv61,2 position 9</t>
  </si>
  <si>
    <t>H[m]</t>
  </si>
  <si>
    <t>Wilo-Stratos 50/1-10 P = 55 W</t>
  </si>
  <si>
    <t>Rendement</t>
  </si>
  <si>
    <t>P [kW]</t>
  </si>
  <si>
    <t>Wilo-CrolLine-IL-E 150/200-7,5/4 (P=2 kW n =69%)</t>
  </si>
  <si>
    <t>effet utile</t>
  </si>
  <si>
    <t>volume total</t>
  </si>
  <si>
    <t>VFFF31.25 DN25 Kvs5</t>
  </si>
  <si>
    <t>VFFF31.40 DN40 Kvs12</t>
  </si>
  <si>
    <t xml:space="preserve">tout sauf orechauf </t>
  </si>
  <si>
    <t xml:space="preserve">only prechauffe </t>
  </si>
  <si>
    <r>
      <t>VXF31.40 DN40 K</t>
    </r>
    <r>
      <rPr>
        <vertAlign val="subscript"/>
        <sz val="11"/>
        <color theme="1"/>
        <rFont val="Aptos Narrow (Corps)"/>
      </rPr>
      <t>vs12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</si>
</sst>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"/>
    <numFmt numFmtId="167" formatCode="0.0000"/>
  </numFmts>
  <fonts count="23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 (Corps)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vertAlign val="superscript"/>
      <sz val="11"/>
      <color theme="1"/>
      <name val="Aptos Narrow (Corps)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charset val="1"/>
      <scheme val="minor"/>
    </font>
    <font>
      <b/>
      <sz val="11"/>
      <color theme="1"/>
      <name val="Aptos Narrow"/>
      <scheme val="minor"/>
    </font>
    <font>
      <b/>
      <vertAlign val="subscript"/>
      <sz val="11"/>
      <color theme="1"/>
      <name val="Aptos Narrow (Corps)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9"/>
      <color theme="1"/>
      <name val="Aptos Narrow"/>
      <family val="2"/>
      <scheme val="minor"/>
    </font>
    <font>
      <sz val="6.6"/>
      <color theme="1"/>
      <name val="Aptos Narrow"/>
      <family val="2"/>
    </font>
    <font>
      <sz val="11"/>
      <color theme="1"/>
      <name val="Aptos Narrow"/>
    </font>
    <font>
      <sz val="10"/>
      <color theme="1"/>
      <name val="Aptos Narrow"/>
      <family val="2"/>
    </font>
    <font>
      <vertAlign val="subscript"/>
      <sz val="11"/>
      <color theme="1"/>
      <name val="Aptos Narrow (Corps)"/>
    </font>
    <font>
      <b/>
      <sz val="11"/>
      <color theme="1"/>
      <name val="Aptos Narrow (Corps)"/>
    </font>
    <font>
      <sz val="11"/>
      <color rgb="FFFFFFFF"/>
      <name val="Aptos Narrow"/>
      <family val="2"/>
      <charset val="1"/>
      <scheme val="minor"/>
    </font>
    <font>
      <b/>
      <sz val="11"/>
      <color rgb="FF000000"/>
      <name val="Aptos Narrow"/>
      <family val="2"/>
      <charset val="1"/>
      <scheme val="minor"/>
    </font>
    <font>
      <b/>
      <sz val="11"/>
      <color rgb="FF000000"/>
      <name val="Aptos Narrow"/>
      <scheme val="minor"/>
    </font>
    <font>
      <b/>
      <vertAlign val="superscript"/>
      <sz val="11"/>
      <color rgb="FF000000"/>
      <name val="Aptos Narrow"/>
      <scheme val="minor"/>
    </font>
    <font>
      <b/>
      <sz val="15"/>
      <color theme="1"/>
      <name val="Aptos Narrow"/>
      <scheme val="minor"/>
    </font>
    <font>
      <sz val="11"/>
      <color rgb="FF00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393939"/>
        <bgColor rgb="FF000000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3" tint="0.74999237037263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9">
    <xf numFmtId="0" fontId="0" fillId="0" borderId="0" xfId="0"/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2" borderId="0" xfId="0" applyFill="1"/>
    <xf numFmtId="165" fontId="0" fillId="2" borderId="1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7" fillId="0" borderId="1" xfId="0" applyFont="1" applyBorder="1"/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/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3" fillId="0" borderId="20" xfId="0" applyFont="1" applyBorder="1"/>
    <xf numFmtId="0" fontId="13" fillId="0" borderId="21" xfId="0" applyFont="1" applyBorder="1"/>
    <xf numFmtId="0" fontId="0" fillId="0" borderId="21" xfId="0" applyBorder="1"/>
    <xf numFmtId="0" fontId="0" fillId="0" borderId="16" xfId="0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/>
    <xf numFmtId="0" fontId="0" fillId="0" borderId="17" xfId="0" applyBorder="1" applyAlignment="1">
      <alignment horizontal="center"/>
    </xf>
    <xf numFmtId="167" fontId="0" fillId="0" borderId="7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/>
    </xf>
    <xf numFmtId="2" fontId="6" fillId="0" borderId="25" xfId="0" applyNumberFormat="1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2" xfId="0" applyBorder="1" applyAlignment="1">
      <alignment vertical="center"/>
    </xf>
    <xf numFmtId="2" fontId="6" fillId="0" borderId="1" xfId="0" applyNumberFormat="1" applyFont="1" applyBorder="1" applyAlignment="1">
      <alignment horizontal="center"/>
    </xf>
    <xf numFmtId="2" fontId="6" fillId="0" borderId="25" xfId="0" applyNumberFormat="1" applyFont="1" applyBorder="1" applyAlignment="1">
      <alignment horizontal="center" vertical="center"/>
    </xf>
    <xf numFmtId="0" fontId="0" fillId="0" borderId="22" xfId="0" applyBorder="1"/>
    <xf numFmtId="0" fontId="0" fillId="2" borderId="5" xfId="0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2" fontId="7" fillId="0" borderId="1" xfId="0" applyNumberFormat="1" applyFont="1" applyBorder="1"/>
    <xf numFmtId="166" fontId="7" fillId="2" borderId="1" xfId="0" applyNumberFormat="1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0" fillId="3" borderId="3" xfId="0" applyFill="1" applyBorder="1"/>
    <xf numFmtId="0" fontId="0" fillId="0" borderId="0" xfId="0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" fontId="0" fillId="9" borderId="1" xfId="0" applyNumberForma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31" xfId="0" applyFont="1" applyFill="1" applyBorder="1"/>
    <xf numFmtId="0" fontId="0" fillId="7" borderId="2" xfId="0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7" fontId="0" fillId="0" borderId="1" xfId="0" applyNumberFormat="1" applyBorder="1"/>
    <xf numFmtId="166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center" wrapText="1"/>
    </xf>
    <xf numFmtId="165" fontId="0" fillId="0" borderId="3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65" fontId="0" fillId="0" borderId="2" xfId="0" applyNumberForma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0" fillId="0" borderId="6" xfId="0" applyBorder="1"/>
    <xf numFmtId="0" fontId="0" fillId="0" borderId="2" xfId="0" applyBorder="1"/>
    <xf numFmtId="0" fontId="0" fillId="10" borderId="2" xfId="0" applyFill="1" applyBorder="1" applyAlignment="1">
      <alignment horizontal="center"/>
    </xf>
    <xf numFmtId="2" fontId="0" fillId="10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7" fontId="0" fillId="10" borderId="1" xfId="0" applyNumberFormat="1" applyFill="1" applyBorder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18" fillId="0" borderId="3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7" borderId="7" xfId="0" applyFill="1" applyBorder="1" applyAlignment="1">
      <alignment horizontal="center" vertical="center"/>
    </xf>
    <xf numFmtId="166" fontId="0" fillId="2" borderId="7" xfId="0" applyNumberForma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165" fontId="0" fillId="2" borderId="10" xfId="0" applyNumberFormat="1" applyFill="1" applyBorder="1" applyAlignment="1">
      <alignment horizontal="center" vertical="center"/>
    </xf>
    <xf numFmtId="166" fontId="0" fillId="2" borderId="10" xfId="0" applyNumberForma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10" borderId="10" xfId="0" applyFill="1" applyBorder="1"/>
    <xf numFmtId="0" fontId="0" fillId="0" borderId="1" xfId="0" applyBorder="1" applyAlignment="1">
      <alignment wrapText="1"/>
    </xf>
    <xf numFmtId="166" fontId="0" fillId="0" borderId="24" xfId="0" applyNumberFormat="1" applyBorder="1" applyAlignment="1">
      <alignment horizontal="center"/>
    </xf>
    <xf numFmtId="0" fontId="0" fillId="2" borderId="0" xfId="0" applyFill="1" applyAlignment="1">
      <alignment vertical="center" wrapText="1"/>
    </xf>
    <xf numFmtId="165" fontId="0" fillId="0" borderId="1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2" fontId="0" fillId="0" borderId="0" xfId="0" applyNumberFormat="1"/>
    <xf numFmtId="165" fontId="0" fillId="0" borderId="1" xfId="0" applyNumberFormat="1" applyBorder="1"/>
    <xf numFmtId="0" fontId="0" fillId="0" borderId="3" xfId="0" applyBorder="1"/>
    <xf numFmtId="0" fontId="6" fillId="0" borderId="2" xfId="0" applyFont="1" applyBorder="1" applyAlignment="1">
      <alignment horizontal="center"/>
    </xf>
    <xf numFmtId="165" fontId="6" fillId="0" borderId="25" xfId="0" applyNumberFormat="1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5" borderId="11" xfId="0" applyFont="1" applyFill="1" applyBorder="1" applyAlignment="1">
      <alignment horizontal="center" vertical="center"/>
    </xf>
    <xf numFmtId="0" fontId="17" fillId="6" borderId="11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18" fillId="0" borderId="7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9" borderId="15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0" fillId="2" borderId="3" xfId="0" applyNumberFormat="1" applyFill="1" applyBorder="1" applyAlignment="1">
      <alignment horizontal="center" vertical="center"/>
    </xf>
    <xf numFmtId="2" fontId="0" fillId="2" borderId="6" xfId="0" applyNumberFormat="1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2" fillId="14" borderId="30" xfId="0" applyFont="1" applyFill="1" applyBorder="1" applyAlignment="1">
      <alignment horizontal="center"/>
    </xf>
    <xf numFmtId="0" fontId="7" fillId="14" borderId="15" xfId="0" applyFont="1" applyFill="1" applyBorder="1" applyAlignment="1">
      <alignment horizontal="center"/>
    </xf>
    <xf numFmtId="0" fontId="7" fillId="14" borderId="30" xfId="0" applyFont="1" applyFill="1" applyBorder="1" applyAlignment="1">
      <alignment horizontal="center"/>
    </xf>
    <xf numFmtId="0" fontId="7" fillId="0" borderId="7" xfId="0" applyFont="1" applyBorder="1" applyAlignment="1">
      <alignment horizontal="center" textRotation="90"/>
    </xf>
    <xf numFmtId="0" fontId="7" fillId="0" borderId="7" xfId="0" applyFont="1" applyBorder="1" applyAlignment="1">
      <alignment horizontal="center" textRotation="90" wrapText="1"/>
    </xf>
    <xf numFmtId="0" fontId="21" fillId="0" borderId="7" xfId="0" applyFont="1" applyBorder="1" applyAlignment="1">
      <alignment horizontal="center" vertical="center" textRotation="90"/>
    </xf>
    <xf numFmtId="0" fontId="21" fillId="0" borderId="12" xfId="0" applyFont="1" applyBorder="1" applyAlignment="1">
      <alignment horizontal="center" vertical="center" textRotation="90"/>
    </xf>
    <xf numFmtId="0" fontId="21" fillId="0" borderId="10" xfId="0" applyFont="1" applyBorder="1" applyAlignment="1">
      <alignment horizontal="center" vertical="center" textRotation="90"/>
    </xf>
    <xf numFmtId="0" fontId="0" fillId="2" borderId="4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22" fillId="0" borderId="3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2" fillId="0" borderId="1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68B"/>
      <color rgb="FFFFF97F"/>
      <color rgb="FFF15D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ustomXml" Target="../ink/ink2.xml"/><Relationship Id="rId11" Type="http://schemas.openxmlformats.org/officeDocument/2006/relationships/image" Target="../media/image9.png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customXml" Target="../ink/ink1.xml"/><Relationship Id="rId9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13" Type="http://schemas.openxmlformats.org/officeDocument/2006/relationships/image" Target="../media/image17.png"/><Relationship Id="rId3" Type="http://schemas.openxmlformats.org/officeDocument/2006/relationships/image" Target="../media/image12.png"/><Relationship Id="rId7" Type="http://schemas.openxmlformats.org/officeDocument/2006/relationships/image" Target="../media/image124.png"/><Relationship Id="rId12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customXml" Target="../ink/ink3.xml"/><Relationship Id="rId10" Type="http://schemas.openxmlformats.org/officeDocument/2006/relationships/image" Target="../media/image14.png"/><Relationship Id="rId4" Type="http://schemas.openxmlformats.org/officeDocument/2006/relationships/image" Target="../media/image13.png"/><Relationship Id="rId9" Type="http://schemas.openxmlformats.org/officeDocument/2006/relationships/image" Target="../media/image12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png"/><Relationship Id="rId3" Type="http://schemas.openxmlformats.org/officeDocument/2006/relationships/image" Target="../media/image16.png"/><Relationship Id="rId7" Type="http://schemas.openxmlformats.org/officeDocument/2006/relationships/image" Target="../media/image24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23.png"/><Relationship Id="rId5" Type="http://schemas.openxmlformats.org/officeDocument/2006/relationships/image" Target="../media/image22.png"/><Relationship Id="rId10" Type="http://schemas.openxmlformats.org/officeDocument/2006/relationships/image" Target="../media/image26.png"/><Relationship Id="rId4" Type="http://schemas.openxmlformats.org/officeDocument/2006/relationships/image" Target="../media/image21.png"/><Relationship Id="rId9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83821</xdr:colOff>
      <xdr:row>1</xdr:row>
      <xdr:rowOff>114680</xdr:rowOff>
    </xdr:from>
    <xdr:to>
      <xdr:col>11</xdr:col>
      <xdr:colOff>708661</xdr:colOff>
      <xdr:row>10</xdr:row>
      <xdr:rowOff>31788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2D3F799-2732-05D1-3EAA-1281CFB36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5221" y="305180"/>
          <a:ext cx="5692140" cy="1699146"/>
        </a:xfrm>
        <a:prstGeom prst="rect">
          <a:avLst/>
        </a:prstGeom>
      </xdr:spPr>
    </xdr:pic>
    <xdr:clientData/>
  </xdr:twoCellAnchor>
  <xdr:twoCellAnchor editAs="oneCell">
    <xdr:from>
      <xdr:col>5</xdr:col>
      <xdr:colOff>15241</xdr:colOff>
      <xdr:row>10</xdr:row>
      <xdr:rowOff>50321</xdr:rowOff>
    </xdr:from>
    <xdr:to>
      <xdr:col>12</xdr:col>
      <xdr:colOff>338049</xdr:colOff>
      <xdr:row>18</xdr:row>
      <xdr:rowOff>77360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17BA711-D63B-16B3-1B18-7C94BE229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06241" y="1933755"/>
          <a:ext cx="6310978" cy="1507907"/>
        </a:xfrm>
        <a:prstGeom prst="rect">
          <a:avLst/>
        </a:prstGeom>
      </xdr:spPr>
    </xdr:pic>
    <xdr:clientData/>
  </xdr:twoCellAnchor>
  <xdr:twoCellAnchor editAs="oneCell">
    <xdr:from>
      <xdr:col>12</xdr:col>
      <xdr:colOff>257070</xdr:colOff>
      <xdr:row>15</xdr:row>
      <xdr:rowOff>44522</xdr:rowOff>
    </xdr:from>
    <xdr:to>
      <xdr:col>20</xdr:col>
      <xdr:colOff>228935</xdr:colOff>
      <xdr:row>24</xdr:row>
      <xdr:rowOff>92131</xdr:rowOff>
    </xdr:to>
    <xdr:pic>
      <xdr:nvPicPr>
        <xdr:cNvPr id="5" name="Image 8">
          <a:extLst>
            <a:ext uri="{FF2B5EF4-FFF2-40B4-BE49-F238E27FC236}">
              <a16:creationId xmlns:a16="http://schemas.microsoft.com/office/drawing/2014/main" id="{44D49736-A345-7EDB-88E9-06A4AA8DD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58993" y="3303258"/>
          <a:ext cx="5686865" cy="1762108"/>
        </a:xfrm>
        <a:prstGeom prst="rect">
          <a:avLst/>
        </a:prstGeom>
      </xdr:spPr>
    </xdr:pic>
    <xdr:clientData/>
  </xdr:twoCellAnchor>
  <xdr:twoCellAnchor editAs="oneCell">
    <xdr:from>
      <xdr:col>13</xdr:col>
      <xdr:colOff>50820</xdr:colOff>
      <xdr:row>22</xdr:row>
      <xdr:rowOff>89880</xdr:rowOff>
    </xdr:from>
    <xdr:to>
      <xdr:col>13</xdr:col>
      <xdr:colOff>307140</xdr:colOff>
      <xdr:row>22</xdr:row>
      <xdr:rowOff>130920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0" name="Encre 9">
              <a:extLst>
                <a:ext uri="{FF2B5EF4-FFF2-40B4-BE49-F238E27FC236}">
                  <a16:creationId xmlns:a16="http://schemas.microsoft.com/office/drawing/2014/main" id="{7A8AF001-9E53-0B2C-9004-3D06BF3D037F}"/>
                </a:ext>
              </a:extLst>
            </xdr14:cNvPr>
            <xdr14:cNvContentPartPr/>
          </xdr14:nvContentPartPr>
          <xdr14:nvPr macro=""/>
          <xdr14:xfrm>
            <a:off x="10695960" y="4837140"/>
            <a:ext cx="256320" cy="41040"/>
          </xdr14:xfrm>
        </xdr:contentPart>
      </mc:Choice>
      <mc:Fallback xmlns="">
        <xdr:pic>
          <xdr:nvPicPr>
            <xdr:cNvPr id="10" name="Encre 9">
              <a:extLst>
                <a:ext uri="{FF2B5EF4-FFF2-40B4-BE49-F238E27FC236}">
                  <a16:creationId xmlns:a16="http://schemas.microsoft.com/office/drawing/2014/main" id="{7A8AF001-9E53-0B2C-9004-3D06BF3D037F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660320" y="4765500"/>
              <a:ext cx="327960" cy="18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236040</xdr:colOff>
      <xdr:row>23</xdr:row>
      <xdr:rowOff>44640</xdr:rowOff>
    </xdr:from>
    <xdr:to>
      <xdr:col>19</xdr:col>
      <xdr:colOff>676920</xdr:colOff>
      <xdr:row>23</xdr:row>
      <xdr:rowOff>138240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1" name="Encre 10">
              <a:extLst>
                <a:ext uri="{FF2B5EF4-FFF2-40B4-BE49-F238E27FC236}">
                  <a16:creationId xmlns:a16="http://schemas.microsoft.com/office/drawing/2014/main" id="{6A191B29-18E6-1BFD-C75E-AD321229F08A}"/>
                </a:ext>
              </a:extLst>
            </xdr14:cNvPr>
            <xdr14:cNvContentPartPr/>
          </xdr14:nvContentPartPr>
          <xdr14:nvPr macro=""/>
          <xdr14:xfrm>
            <a:off x="11597460" y="4982400"/>
            <a:ext cx="4022280" cy="93600"/>
          </xdr14:xfrm>
        </xdr:contentPart>
      </mc:Choice>
      <mc:Fallback xmlns="">
        <xdr:pic>
          <xdr:nvPicPr>
            <xdr:cNvPr id="11" name="Encre 10">
              <a:extLst>
                <a:ext uri="{FF2B5EF4-FFF2-40B4-BE49-F238E27FC236}">
                  <a16:creationId xmlns:a16="http://schemas.microsoft.com/office/drawing/2014/main" id="{6A191B29-18E6-1BFD-C75E-AD321229F08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1561460" y="4910400"/>
              <a:ext cx="4093920" cy="23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357043</xdr:colOff>
      <xdr:row>25</xdr:row>
      <xdr:rowOff>10881</xdr:rowOff>
    </xdr:from>
    <xdr:to>
      <xdr:col>19</xdr:col>
      <xdr:colOff>497180</xdr:colOff>
      <xdr:row>39</xdr:row>
      <xdr:rowOff>86208</xdr:rowOff>
    </xdr:to>
    <xdr:pic>
      <xdr:nvPicPr>
        <xdr:cNvPr id="7" name="Image 11">
          <a:extLst>
            <a:ext uri="{FF2B5EF4-FFF2-40B4-BE49-F238E27FC236}">
              <a16:creationId xmlns:a16="http://schemas.microsoft.com/office/drawing/2014/main" id="{B3A32F06-E877-7880-79B7-72FBF9DA5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211755" y="4736746"/>
          <a:ext cx="5012540" cy="2639750"/>
        </a:xfrm>
        <a:prstGeom prst="rect">
          <a:avLst/>
        </a:prstGeom>
      </xdr:spPr>
    </xdr:pic>
    <xdr:clientData/>
  </xdr:twoCellAnchor>
  <xdr:twoCellAnchor editAs="oneCell">
    <xdr:from>
      <xdr:col>1</xdr:col>
      <xdr:colOff>171659</xdr:colOff>
      <xdr:row>34</xdr:row>
      <xdr:rowOff>156168</xdr:rowOff>
    </xdr:from>
    <xdr:to>
      <xdr:col>8</xdr:col>
      <xdr:colOff>597041</xdr:colOff>
      <xdr:row>38</xdr:row>
      <xdr:rowOff>44683</xdr:rowOff>
    </xdr:to>
    <xdr:pic>
      <xdr:nvPicPr>
        <xdr:cNvPr id="6" name="Image 4">
          <a:extLst>
            <a:ext uri="{FF2B5EF4-FFF2-40B4-BE49-F238E27FC236}">
              <a16:creationId xmlns:a16="http://schemas.microsoft.com/office/drawing/2014/main" id="{C158EBD0-9D42-32BC-CAFD-95D4BED6B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7330" y="6682154"/>
          <a:ext cx="6388032" cy="650515"/>
        </a:xfrm>
        <a:prstGeom prst="rect">
          <a:avLst/>
        </a:prstGeom>
      </xdr:spPr>
    </xdr:pic>
    <xdr:clientData/>
  </xdr:twoCellAnchor>
  <xdr:twoCellAnchor editAs="oneCell">
    <xdr:from>
      <xdr:col>1</xdr:col>
      <xdr:colOff>46194</xdr:colOff>
      <xdr:row>39</xdr:row>
      <xdr:rowOff>137468</xdr:rowOff>
    </xdr:from>
    <xdr:to>
      <xdr:col>8</xdr:col>
      <xdr:colOff>395365</xdr:colOff>
      <xdr:row>47</xdr:row>
      <xdr:rowOff>151294</xdr:rowOff>
    </xdr:to>
    <xdr:pic>
      <xdr:nvPicPr>
        <xdr:cNvPr id="8" name="Image 6">
          <a:extLst>
            <a:ext uri="{FF2B5EF4-FFF2-40B4-BE49-F238E27FC236}">
              <a16:creationId xmlns:a16="http://schemas.microsoft.com/office/drawing/2014/main" id="{8C2B06D3-398A-9381-A9C9-7F4E4E475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865" y="7588739"/>
          <a:ext cx="6311821" cy="1537827"/>
        </a:xfrm>
        <a:prstGeom prst="rect">
          <a:avLst/>
        </a:prstGeom>
      </xdr:spPr>
    </xdr:pic>
    <xdr:clientData/>
  </xdr:twoCellAnchor>
  <xdr:twoCellAnchor editAs="oneCell">
    <xdr:from>
      <xdr:col>1</xdr:col>
      <xdr:colOff>20934</xdr:colOff>
      <xdr:row>50</xdr:row>
      <xdr:rowOff>97693</xdr:rowOff>
    </xdr:from>
    <xdr:to>
      <xdr:col>8</xdr:col>
      <xdr:colOff>469502</xdr:colOff>
      <xdr:row>71</xdr:row>
      <xdr:rowOff>98251</xdr:rowOff>
    </xdr:to>
    <xdr:pic>
      <xdr:nvPicPr>
        <xdr:cNvPr id="18" name="Image 12">
          <a:extLst>
            <a:ext uri="{FF2B5EF4-FFF2-40B4-BE49-F238E27FC236}">
              <a16:creationId xmlns:a16="http://schemas.microsoft.com/office/drawing/2014/main" id="{9AD5C0AF-F59A-D584-0D1C-5E6AB4A16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561" y="10139066"/>
          <a:ext cx="6401693" cy="40010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484858</xdr:colOff>
      <xdr:row>27</xdr:row>
      <xdr:rowOff>43163</xdr:rowOff>
    </xdr:from>
    <xdr:to>
      <xdr:col>12</xdr:col>
      <xdr:colOff>914922</xdr:colOff>
      <xdr:row>45</xdr:row>
      <xdr:rowOff>173510</xdr:rowOff>
    </xdr:to>
    <xdr:pic>
      <xdr:nvPicPr>
        <xdr:cNvPr id="7" name="Image 1">
          <a:extLst>
            <a:ext uri="{FF2B5EF4-FFF2-40B4-BE49-F238E27FC236}">
              <a16:creationId xmlns:a16="http://schemas.microsoft.com/office/drawing/2014/main" id="{7E461764-6962-908D-7812-12C744B43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9224" y="5047342"/>
          <a:ext cx="3273347" cy="3869265"/>
        </a:xfrm>
        <a:prstGeom prst="rect">
          <a:avLst/>
        </a:prstGeom>
      </xdr:spPr>
    </xdr:pic>
    <xdr:clientData/>
  </xdr:twoCellAnchor>
  <xdr:twoCellAnchor editAs="oneCell">
    <xdr:from>
      <xdr:col>0</xdr:col>
      <xdr:colOff>331839</xdr:colOff>
      <xdr:row>34</xdr:row>
      <xdr:rowOff>71183</xdr:rowOff>
    </xdr:from>
    <xdr:to>
      <xdr:col>3</xdr:col>
      <xdr:colOff>294281</xdr:colOff>
      <xdr:row>42</xdr:row>
      <xdr:rowOff>22129</xdr:rowOff>
    </xdr:to>
    <xdr:pic>
      <xdr:nvPicPr>
        <xdr:cNvPr id="20" name="Image 5">
          <a:extLst>
            <a:ext uri="{FF2B5EF4-FFF2-40B4-BE49-F238E27FC236}">
              <a16:creationId xmlns:a16="http://schemas.microsoft.com/office/drawing/2014/main" id="{F4B861AE-853F-E527-C852-D2B5C43C3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1839" y="6376118"/>
          <a:ext cx="2826087" cy="1425786"/>
        </a:xfrm>
        <a:prstGeom prst="rect">
          <a:avLst/>
        </a:prstGeom>
      </xdr:spPr>
    </xdr:pic>
    <xdr:clientData/>
  </xdr:twoCellAnchor>
  <xdr:twoCellAnchor editAs="oneCell">
    <xdr:from>
      <xdr:col>3</xdr:col>
      <xdr:colOff>382564</xdr:colOff>
      <xdr:row>33</xdr:row>
      <xdr:rowOff>128940</xdr:rowOff>
    </xdr:from>
    <xdr:to>
      <xdr:col>9</xdr:col>
      <xdr:colOff>1892</xdr:colOff>
      <xdr:row>45</xdr:row>
      <xdr:rowOff>1793</xdr:rowOff>
    </xdr:to>
    <xdr:pic>
      <xdr:nvPicPr>
        <xdr:cNvPr id="30" name="Image 6">
          <a:extLst>
            <a:ext uri="{FF2B5EF4-FFF2-40B4-BE49-F238E27FC236}">
              <a16:creationId xmlns:a16="http://schemas.microsoft.com/office/drawing/2014/main" id="{F70696EE-0213-CA39-1C57-991AA9297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46209" y="6249521"/>
          <a:ext cx="4435243" cy="2077964"/>
        </a:xfrm>
        <a:prstGeom prst="rect">
          <a:avLst/>
        </a:prstGeom>
      </xdr:spPr>
    </xdr:pic>
    <xdr:clientData/>
  </xdr:twoCellAnchor>
  <xdr:twoCellAnchor editAs="oneCell">
    <xdr:from>
      <xdr:col>12</xdr:col>
      <xdr:colOff>849827</xdr:colOff>
      <xdr:row>28</xdr:row>
      <xdr:rowOff>18196</xdr:rowOff>
    </xdr:from>
    <xdr:to>
      <xdr:col>18</xdr:col>
      <xdr:colOff>439698</xdr:colOff>
      <xdr:row>30</xdr:row>
      <xdr:rowOff>151948</xdr:rowOff>
    </xdr:to>
    <xdr:pic>
      <xdr:nvPicPr>
        <xdr:cNvPr id="12" name="Image 2">
          <a:extLst>
            <a:ext uri="{FF2B5EF4-FFF2-40B4-BE49-F238E27FC236}">
              <a16:creationId xmlns:a16="http://schemas.microsoft.com/office/drawing/2014/main" id="{005323D7-3B6A-D011-819F-C8C84ED66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17476" y="5207189"/>
          <a:ext cx="4622483" cy="503378"/>
        </a:xfrm>
        <a:prstGeom prst="rect">
          <a:avLst/>
        </a:prstGeom>
      </xdr:spPr>
    </xdr:pic>
    <xdr:clientData/>
  </xdr:twoCellAnchor>
  <xdr:twoCellAnchor editAs="oneCell">
    <xdr:from>
      <xdr:col>18</xdr:col>
      <xdr:colOff>261898</xdr:colOff>
      <xdr:row>29</xdr:row>
      <xdr:rowOff>164210</xdr:rowOff>
    </xdr:from>
    <xdr:to>
      <xdr:col>18</xdr:col>
      <xdr:colOff>365938</xdr:colOff>
      <xdr:row>30</xdr:row>
      <xdr:rowOff>306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3" name="Encre 4">
              <a:extLst>
                <a:ext uri="{FF2B5EF4-FFF2-40B4-BE49-F238E27FC236}">
                  <a16:creationId xmlns:a16="http://schemas.microsoft.com/office/drawing/2014/main" id="{5BAF2EF7-0F2D-D2C1-EAE5-DBEBFE45F7A5}"/>
                </a:ext>
              </a:extLst>
            </xdr14:cNvPr>
            <xdr14:cNvContentPartPr/>
          </xdr14:nvContentPartPr>
          <xdr14:nvPr macro=""/>
          <xdr14:xfrm>
            <a:off x="15889467" y="5511348"/>
            <a:ext cx="104040" cy="1368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5BAF2EF7-0F2D-D2C1-EAE5-DBEBFE45F7A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5871467" y="5475348"/>
              <a:ext cx="139680" cy="8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256138</xdr:colOff>
      <xdr:row>30</xdr:row>
      <xdr:rowOff>78652</xdr:rowOff>
    </xdr:from>
    <xdr:to>
      <xdr:col>18</xdr:col>
      <xdr:colOff>372778</xdr:colOff>
      <xdr:row>30</xdr:row>
      <xdr:rowOff>93412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4" name="Encre 5">
              <a:extLst>
                <a:ext uri="{FF2B5EF4-FFF2-40B4-BE49-F238E27FC236}">
                  <a16:creationId xmlns:a16="http://schemas.microsoft.com/office/drawing/2014/main" id="{F275C3DA-35F0-5338-7E82-4EBC5AE46867}"/>
                </a:ext>
              </a:extLst>
            </xdr14:cNvPr>
            <xdr14:cNvContentPartPr/>
          </xdr14:nvContentPartPr>
          <xdr14:nvPr macro=""/>
          <xdr14:xfrm>
            <a:off x="15883707" y="5629428"/>
            <a:ext cx="116640" cy="14760"/>
          </xdr14:xfrm>
        </xdr:contentPart>
      </mc:Choice>
      <mc:Fallback xmlns="">
        <xdr:pic>
          <xdr:nvPicPr>
            <xdr:cNvPr id="6" name="Encre 5">
              <a:extLst>
                <a:ext uri="{FF2B5EF4-FFF2-40B4-BE49-F238E27FC236}">
                  <a16:creationId xmlns:a16="http://schemas.microsoft.com/office/drawing/2014/main" id="{F275C3DA-35F0-5338-7E82-4EBC5AE4686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5865707" y="5593788"/>
              <a:ext cx="152280" cy="8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312348</xdr:colOff>
      <xdr:row>0</xdr:row>
      <xdr:rowOff>87771</xdr:rowOff>
    </xdr:from>
    <xdr:to>
      <xdr:col>17</xdr:col>
      <xdr:colOff>479230</xdr:colOff>
      <xdr:row>13</xdr:row>
      <xdr:rowOff>9782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id="{8B4039F2-7F41-7FCA-2485-2F95C4B84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316044" y="87771"/>
          <a:ext cx="1576582" cy="2408036"/>
        </a:xfrm>
        <a:prstGeom prst="rect">
          <a:avLst/>
        </a:prstGeom>
      </xdr:spPr>
    </xdr:pic>
    <xdr:clientData/>
  </xdr:twoCellAnchor>
  <xdr:twoCellAnchor editAs="oneCell">
    <xdr:from>
      <xdr:col>15</xdr:col>
      <xdr:colOff>355411</xdr:colOff>
      <xdr:row>13</xdr:row>
      <xdr:rowOff>118473</xdr:rowOff>
    </xdr:from>
    <xdr:to>
      <xdr:col>17</xdr:col>
      <xdr:colOff>341196</xdr:colOff>
      <xdr:row>24</xdr:row>
      <xdr:rowOff>85551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F7F2F2D-2C80-80D6-15CD-10AD322A9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23210" y="2535264"/>
          <a:ext cx="1407426" cy="2000026"/>
        </a:xfrm>
        <a:prstGeom prst="rect">
          <a:avLst/>
        </a:prstGeom>
      </xdr:spPr>
    </xdr:pic>
    <xdr:clientData/>
  </xdr:twoCellAnchor>
  <xdr:twoCellAnchor editAs="oneCell">
    <xdr:from>
      <xdr:col>15</xdr:col>
      <xdr:colOff>255897</xdr:colOff>
      <xdr:row>24</xdr:row>
      <xdr:rowOff>118472</xdr:rowOff>
    </xdr:from>
    <xdr:to>
      <xdr:col>18</xdr:col>
      <xdr:colOff>95385</xdr:colOff>
      <xdr:row>27</xdr:row>
      <xdr:rowOff>320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78E1A112-BC9B-CCF8-1E68-7C9544890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723696" y="4568211"/>
          <a:ext cx="1971950" cy="428685"/>
        </a:xfrm>
        <a:prstGeom prst="rect">
          <a:avLst/>
        </a:prstGeom>
      </xdr:spPr>
    </xdr:pic>
    <xdr:clientData/>
  </xdr:twoCellAnchor>
  <xdr:twoCellAnchor editAs="oneCell">
    <xdr:from>
      <xdr:col>0</xdr:col>
      <xdr:colOff>490256</xdr:colOff>
      <xdr:row>0</xdr:row>
      <xdr:rowOff>15587</xdr:rowOff>
    </xdr:from>
    <xdr:to>
      <xdr:col>15</xdr:col>
      <xdr:colOff>112059</xdr:colOff>
      <xdr:row>26</xdr:row>
      <xdr:rowOff>84145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20F1DABA-BBE8-CA84-D6B0-837D7C317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90256" y="15587"/>
          <a:ext cx="11976288" cy="51672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20</xdr:row>
      <xdr:rowOff>0</xdr:rowOff>
    </xdr:from>
    <xdr:to>
      <xdr:col>10</xdr:col>
      <xdr:colOff>304800</xdr:colOff>
      <xdr:row>21</xdr:row>
      <xdr:rowOff>130175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F72EC58F-E5FD-9B79-5914-E7DB18F2B212}"/>
            </a:ext>
          </a:extLst>
        </xdr:cNvPr>
        <xdr:cNvSpPr>
          <a:spLocks noChangeAspect="1" noChangeArrowheads="1"/>
        </xdr:cNvSpPr>
      </xdr:nvSpPr>
      <xdr:spPr bwMode="auto">
        <a:xfrm>
          <a:off x="7620000" y="349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47625</xdr:colOff>
      <xdr:row>4</xdr:row>
      <xdr:rowOff>0</xdr:rowOff>
    </xdr:from>
    <xdr:to>
      <xdr:col>7</xdr:col>
      <xdr:colOff>89203</xdr:colOff>
      <xdr:row>27</xdr:row>
      <xdr:rowOff>47625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4103922F-297A-53C5-84B9-6F52B4C54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762000"/>
          <a:ext cx="5518453" cy="4429125"/>
        </a:xfrm>
        <a:prstGeom prst="rect">
          <a:avLst/>
        </a:prstGeom>
      </xdr:spPr>
    </xdr:pic>
    <xdr:clientData/>
  </xdr:twoCellAnchor>
  <xdr:twoCellAnchor editAs="oneCell">
    <xdr:from>
      <xdr:col>8</xdr:col>
      <xdr:colOff>129135</xdr:colOff>
      <xdr:row>6</xdr:row>
      <xdr:rowOff>97117</xdr:rowOff>
    </xdr:from>
    <xdr:to>
      <xdr:col>13</xdr:col>
      <xdr:colOff>340659</xdr:colOff>
      <xdr:row>25</xdr:row>
      <xdr:rowOff>148882</xdr:rowOff>
    </xdr:to>
    <xdr:pic>
      <xdr:nvPicPr>
        <xdr:cNvPr id="5" name="Image 2">
          <a:extLst>
            <a:ext uri="{FF2B5EF4-FFF2-40B4-BE49-F238E27FC236}">
              <a16:creationId xmlns:a16="http://schemas.microsoft.com/office/drawing/2014/main" id="{6C2BA33A-C1CA-621C-B600-49DD11838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1900" y="1217705"/>
          <a:ext cx="4173924" cy="3526485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70257</xdr:rowOff>
    </xdr:from>
    <xdr:to>
      <xdr:col>19</xdr:col>
      <xdr:colOff>464950</xdr:colOff>
      <xdr:row>27</xdr:row>
      <xdr:rowOff>82451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A76BF6B-0DA7-D3F0-1939-E76494736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71695" y="974325"/>
          <a:ext cx="4404102" cy="3990092"/>
        </a:xfrm>
        <a:prstGeom prst="rect">
          <a:avLst/>
        </a:prstGeom>
      </xdr:spPr>
    </xdr:pic>
    <xdr:clientData/>
  </xdr:twoCellAnchor>
  <xdr:twoCellAnchor editAs="oneCell">
    <xdr:from>
      <xdr:col>19</xdr:col>
      <xdr:colOff>17980</xdr:colOff>
      <xdr:row>29</xdr:row>
      <xdr:rowOff>98273</xdr:rowOff>
    </xdr:from>
    <xdr:to>
      <xdr:col>41</xdr:col>
      <xdr:colOff>601579</xdr:colOff>
      <xdr:row>53</xdr:row>
      <xdr:rowOff>64166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309A1245-A081-D2C7-8D4A-825298742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756664" y="5445641"/>
          <a:ext cx="17494652" cy="73519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455119</xdr:colOff>
      <xdr:row>0</xdr:row>
      <xdr:rowOff>0</xdr:rowOff>
    </xdr:from>
    <xdr:to>
      <xdr:col>13</xdr:col>
      <xdr:colOff>228436</xdr:colOff>
      <xdr:row>12</xdr:row>
      <xdr:rowOff>167288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9E75B7DA-8D60-4D16-AA9F-1EC78BED3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94400" y="0"/>
          <a:ext cx="1508694" cy="2515918"/>
        </a:xfrm>
        <a:prstGeom prst="rect">
          <a:avLst/>
        </a:prstGeom>
      </xdr:spPr>
    </xdr:pic>
    <xdr:clientData/>
  </xdr:twoCellAnchor>
  <xdr:twoCellAnchor editAs="oneCell">
    <xdr:from>
      <xdr:col>11</xdr:col>
      <xdr:colOff>485890</xdr:colOff>
      <xdr:row>12</xdr:row>
      <xdr:rowOff>157617</xdr:rowOff>
    </xdr:from>
    <xdr:to>
      <xdr:col>13</xdr:col>
      <xdr:colOff>145475</xdr:colOff>
      <xdr:row>23</xdr:row>
      <xdr:rowOff>124695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8DD22CF1-FAB5-4D98-A598-DA046FDF9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25171" y="2506247"/>
          <a:ext cx="1394962" cy="2119989"/>
        </a:xfrm>
        <a:prstGeom prst="rect">
          <a:avLst/>
        </a:prstGeom>
      </xdr:spPr>
    </xdr:pic>
    <xdr:clientData/>
  </xdr:twoCellAnchor>
  <xdr:twoCellAnchor editAs="oneCell">
    <xdr:from>
      <xdr:col>11</xdr:col>
      <xdr:colOff>554260</xdr:colOff>
      <xdr:row>23</xdr:row>
      <xdr:rowOff>157616</xdr:rowOff>
    </xdr:from>
    <xdr:to>
      <xdr:col>13</xdr:col>
      <xdr:colOff>768588</xdr:colOff>
      <xdr:row>26</xdr:row>
      <xdr:rowOff>40828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06BD68F6-8B88-461A-8BFD-B9FF07ECA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98760" y="4539116"/>
          <a:ext cx="1949995" cy="454712"/>
        </a:xfrm>
        <a:prstGeom prst="rect">
          <a:avLst/>
        </a:prstGeom>
      </xdr:spPr>
    </xdr:pic>
    <xdr:clientData/>
  </xdr:twoCellAnchor>
  <xdr:twoCellAnchor editAs="oneCell">
    <xdr:from>
      <xdr:col>22</xdr:col>
      <xdr:colOff>42649</xdr:colOff>
      <xdr:row>27</xdr:row>
      <xdr:rowOff>71081</xdr:rowOff>
    </xdr:from>
    <xdr:to>
      <xdr:col>30</xdr:col>
      <xdr:colOff>13964</xdr:colOff>
      <xdr:row>38</xdr:row>
      <xdr:rowOff>31094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8C13022B-4B0E-25E9-D173-9BF350DF6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55821" y="5075260"/>
          <a:ext cx="5657883" cy="2942799"/>
        </a:xfrm>
        <a:prstGeom prst="rect">
          <a:avLst/>
        </a:prstGeom>
      </xdr:spPr>
    </xdr:pic>
    <xdr:clientData/>
  </xdr:twoCellAnchor>
  <xdr:twoCellAnchor editAs="oneCell">
    <xdr:from>
      <xdr:col>32</xdr:col>
      <xdr:colOff>1</xdr:colOff>
      <xdr:row>1</xdr:row>
      <xdr:rowOff>0</xdr:rowOff>
    </xdr:from>
    <xdr:to>
      <xdr:col>40</xdr:col>
      <xdr:colOff>667159</xdr:colOff>
      <xdr:row>25</xdr:row>
      <xdr:rowOff>491</xdr:rowOff>
    </xdr:to>
    <xdr:pic>
      <xdr:nvPicPr>
        <xdr:cNvPr id="15" name="Image 13">
          <a:extLst>
            <a:ext uri="{FF2B5EF4-FFF2-40B4-BE49-F238E27FC236}">
              <a16:creationId xmlns:a16="http://schemas.microsoft.com/office/drawing/2014/main" id="{EB3DA4B7-AD1C-E053-E6D2-B3774BA83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808269" y="184355"/>
          <a:ext cx="6559958" cy="4430070"/>
        </a:xfrm>
        <a:prstGeom prst="rect">
          <a:avLst/>
        </a:prstGeom>
      </xdr:spPr>
    </xdr:pic>
    <xdr:clientData/>
  </xdr:twoCellAnchor>
  <xdr:twoCellAnchor editAs="oneCell">
    <xdr:from>
      <xdr:col>31</xdr:col>
      <xdr:colOff>568725</xdr:colOff>
      <xdr:row>22</xdr:row>
      <xdr:rowOff>78604</xdr:rowOff>
    </xdr:from>
    <xdr:to>
      <xdr:col>41</xdr:col>
      <xdr:colOff>265203</xdr:colOff>
      <xdr:row>40</xdr:row>
      <xdr:rowOff>32835</xdr:rowOff>
    </xdr:to>
    <xdr:pic>
      <xdr:nvPicPr>
        <xdr:cNvPr id="19" name="Image 14">
          <a:extLst>
            <a:ext uri="{FF2B5EF4-FFF2-40B4-BE49-F238E27FC236}">
              <a16:creationId xmlns:a16="http://schemas.microsoft.com/office/drawing/2014/main" id="{BAC74414-2C36-DE94-55E9-18A63BA7C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720861" y="4064308"/>
          <a:ext cx="7062478" cy="4184228"/>
        </a:xfrm>
        <a:prstGeom prst="rect">
          <a:avLst/>
        </a:prstGeom>
      </xdr:spPr>
    </xdr:pic>
    <xdr:clientData/>
  </xdr:twoCellAnchor>
  <xdr:twoCellAnchor editAs="oneCell">
    <xdr:from>
      <xdr:col>44</xdr:col>
      <xdr:colOff>629330</xdr:colOff>
      <xdr:row>4</xdr:row>
      <xdr:rowOff>25513</xdr:rowOff>
    </xdr:from>
    <xdr:to>
      <xdr:col>68</xdr:col>
      <xdr:colOff>682190</xdr:colOff>
      <xdr:row>23</xdr:row>
      <xdr:rowOff>99816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C8C356E-D5BF-B2E9-9EFC-CC4122B70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187121" y="765402"/>
          <a:ext cx="18014289" cy="3467584"/>
        </a:xfrm>
        <a:prstGeom prst="rect">
          <a:avLst/>
        </a:prstGeom>
      </xdr:spPr>
    </xdr:pic>
    <xdr:clientData/>
  </xdr:twoCellAnchor>
  <xdr:twoCellAnchor editAs="oneCell">
    <xdr:from>
      <xdr:col>45</xdr:col>
      <xdr:colOff>143527</xdr:colOff>
      <xdr:row>24</xdr:row>
      <xdr:rowOff>0</xdr:rowOff>
    </xdr:from>
    <xdr:to>
      <xdr:col>54</xdr:col>
      <xdr:colOff>194392</xdr:colOff>
      <xdr:row>46</xdr:row>
      <xdr:rowOff>66896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D076736-F30F-B439-EABC-760647F65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856780" y="4697260"/>
          <a:ext cx="6392167" cy="5325218"/>
        </a:xfrm>
        <a:prstGeom prst="rect">
          <a:avLst/>
        </a:prstGeom>
      </xdr:spPr>
    </xdr:pic>
    <xdr:clientData/>
  </xdr:twoCellAnchor>
  <xdr:twoCellAnchor editAs="oneCell">
    <xdr:from>
      <xdr:col>1</xdr:col>
      <xdr:colOff>313151</xdr:colOff>
      <xdr:row>0</xdr:row>
      <xdr:rowOff>0</xdr:rowOff>
    </xdr:from>
    <xdr:to>
      <xdr:col>11</xdr:col>
      <xdr:colOff>404487</xdr:colOff>
      <xdr:row>27</xdr:row>
      <xdr:rowOff>120004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8BE4A8D6-0C0F-8B4B-A21A-923B001F7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17740" y="0"/>
          <a:ext cx="12526028" cy="5404422"/>
        </a:xfrm>
        <a:prstGeom prst="rect">
          <a:avLst/>
        </a:prstGeom>
      </xdr:spPr>
    </xdr:pic>
    <xdr:clientData/>
  </xdr:twoCellAnchor>
  <xdr:twoCellAnchor editAs="oneCell">
    <xdr:from>
      <xdr:col>11</xdr:col>
      <xdr:colOff>456678</xdr:colOff>
      <xdr:row>26</xdr:row>
      <xdr:rowOff>65176</xdr:rowOff>
    </xdr:from>
    <xdr:to>
      <xdr:col>13</xdr:col>
      <xdr:colOff>926404</xdr:colOff>
      <xdr:row>30</xdr:row>
      <xdr:rowOff>578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A0E9950A-A13E-D36A-B9F3-7704B9826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595959" y="5153875"/>
          <a:ext cx="2205103" cy="735035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13T22:40:04.278"/>
    </inkml:context>
    <inkml:brush xml:id="br0">
      <inkml:brushProperty name="width" value="0.2" units="cm"/>
      <inkml:brushProperty name="height" value="0.4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176 4,'90'-1,"-28"-1,0 2,0 3,0 3,67 15,-76-2,-52-19,-1 1,1-1,0 0,0 0,-1 0,1 1,0-1,-1 0,1 1,0-1,-1 1,1-1,0 1,-1-1,1 1,-1-1,1 1,-1-1,0 1,1 0,-1-1,1 1,-1 0,0 0,0-1,1 1,-1 0,0-1,0 1,0 0,0 0,0 0,0-1,0 1,0 0,0 0,0-1,0 1,0 0,-1 0,1-1,0 1,-1 0,1-1,0 1,-1 0,1-1,-1 1,1-1,-1 1,1 0,-1-1,1 1,-1-1,0 0,1 1,-1-1,0 1,1-1,-1 0,0 0,0 1,1-1,-1 0,0 0,-1 0,-11 6,0-1,0-1,-1 0,0-1,0-1,-22 2,-94-3,81-2,-346-2,393 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13T22:40:08.158"/>
    </inkml:context>
    <inkml:brush xml:id="br0">
      <inkml:brushProperty name="width" value="0.2" units="cm"/>
      <inkml:brushProperty name="height" value="0.4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66,'1099'0,"-863"21,-32-1,727-16,-483-7,-401 3,-1 1,-1 3,89 18,-60-8,3-2,-1-4,157-5,-201-3,508 0,-503 2,-5 2,4 1,-2 2,50 18,-47-14,-4-1,3-2,0-2,38 3,612-9,-303-3,-283 4,3-6,155-26,-209 17,80-30,-19 5,-67 27,-1 3,2 1,81-4,134 17,-139 4,86 3,1797-13,-1976 0,-1-2,1 0,-3-2,42-14,-14 4,-9 8,-4 1,4 2,-2 2,66 5,78-5,-79-18,-72 13,51-6,331 9,-215 7,-14-3,-152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20T08:04:36.155"/>
    </inkml:context>
    <inkml:brush xml:id="br0">
      <inkml:brushProperty name="width" value="0.1" units="cm"/>
      <inkml:brushProperty name="height" value="0.2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3 0,'8'2,"-1"-1,1 1,0 0,12 5,-1-1,10 0,-1-1,1-1,0-2,57-2,-72 0,-294 0,272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20T08:04:38.341"/>
    </inkml:context>
    <inkml:brush xml:id="br0">
      <inkml:brushProperty name="width" value="0.1" units="cm"/>
      <inkml:brushProperty name="height" value="0.2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1,'6'1,"0"0,0 0,0 0,0 1,0 0,-1 0,9 4,29 10,-10-12,1-1,0-2,60-5,-92 4,-1 0,0 0,1 0,-1-1,0 1,0 0,1-1,-1 1,0 0,1-1,-1 1,0-1,0 0,0 1,0-1,0 0,0 0,0 0,0 0,0 0,0 0,0 0,0 0,-1 0,2-2,-2-4</inkml:trace>
</inkml: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55AF6-513B-5640-A7AD-A71D54AAD4CB}">
  <dimension ref="B2:L60"/>
  <sheetViews>
    <sheetView topLeftCell="A15" zoomScale="82" zoomScaleNormal="78" workbookViewId="0">
      <selection activeCell="L27" sqref="L27"/>
    </sheetView>
  </sheetViews>
  <sheetFormatPr baseColWidth="10" defaultColWidth="10.5703125" defaultRowHeight="15"/>
  <cols>
    <col min="3" max="3" width="14.28515625" customWidth="1"/>
    <col min="4" max="4" width="12.28515625" customWidth="1"/>
    <col min="5" max="5" width="13.42578125" customWidth="1"/>
    <col min="6" max="6" width="12.42578125" customWidth="1"/>
    <col min="7" max="7" width="13.7109375" customWidth="1"/>
    <col min="8" max="8" width="12.7109375" customWidth="1"/>
    <col min="9" max="9" width="13.42578125" customWidth="1"/>
    <col min="10" max="10" width="12.5703125" customWidth="1"/>
    <col min="12" max="12" width="11.7109375" customWidth="1"/>
  </cols>
  <sheetData>
    <row r="2" spans="2:4" ht="15.75" thickBot="1"/>
    <row r="3" spans="2:4" ht="15.75" thickBot="1">
      <c r="B3" s="152" t="s">
        <v>28</v>
      </c>
      <c r="C3" s="152"/>
      <c r="D3" s="152"/>
    </row>
    <row r="4" spans="2:4" ht="16.5">
      <c r="B4" s="26" t="s">
        <v>25</v>
      </c>
      <c r="C4" s="31">
        <v>1000</v>
      </c>
      <c r="D4" s="32" t="s">
        <v>30</v>
      </c>
    </row>
    <row r="5" spans="2:4">
      <c r="B5" s="27" t="s">
        <v>23</v>
      </c>
      <c r="C5" s="25">
        <v>20</v>
      </c>
      <c r="D5" s="21" t="s">
        <v>31</v>
      </c>
    </row>
    <row r="6" spans="2:4">
      <c r="B6" s="28" t="s">
        <v>22</v>
      </c>
      <c r="C6" s="25">
        <v>4186</v>
      </c>
      <c r="D6" s="21" t="s">
        <v>32</v>
      </c>
    </row>
    <row r="7" spans="2:4">
      <c r="B7" s="28" t="s">
        <v>18</v>
      </c>
      <c r="C7" s="25">
        <v>0.5</v>
      </c>
      <c r="D7" s="21" t="s">
        <v>33</v>
      </c>
    </row>
    <row r="8" spans="2:4">
      <c r="B8" s="28" t="s">
        <v>19</v>
      </c>
      <c r="C8" s="25">
        <v>1</v>
      </c>
      <c r="D8" s="21" t="s">
        <v>33</v>
      </c>
    </row>
    <row r="9" spans="2:4" ht="15.75" thickBot="1">
      <c r="B9" s="28" t="s">
        <v>36</v>
      </c>
      <c r="C9" s="25" t="s">
        <v>42</v>
      </c>
      <c r="D9" s="21" t="s">
        <v>24</v>
      </c>
    </row>
    <row r="10" spans="2:4" ht="15.75" thickBot="1">
      <c r="B10" s="151" t="s">
        <v>16</v>
      </c>
      <c r="C10" s="151"/>
      <c r="D10" s="151"/>
    </row>
    <row r="11" spans="2:4" ht="15.75" thickBot="1">
      <c r="B11" s="22" t="s">
        <v>26</v>
      </c>
      <c r="C11" s="23">
        <v>150</v>
      </c>
      <c r="D11" s="24" t="s">
        <v>27</v>
      </c>
    </row>
    <row r="12" spans="2:4" ht="15.75" thickBot="1">
      <c r="B12" s="151" t="s">
        <v>21</v>
      </c>
      <c r="C12" s="151"/>
      <c r="D12" s="151"/>
    </row>
    <row r="13" spans="2:4" ht="15.75" thickBot="1">
      <c r="B13" s="33" t="s">
        <v>26</v>
      </c>
      <c r="C13" s="29">
        <v>100</v>
      </c>
      <c r="D13" s="34" t="s">
        <v>27</v>
      </c>
    </row>
    <row r="21" spans="2:12">
      <c r="B21" s="153" t="s">
        <v>20</v>
      </c>
      <c r="C21" s="153"/>
      <c r="D21" s="153"/>
      <c r="E21" s="153"/>
      <c r="F21" s="153"/>
      <c r="G21" s="153"/>
      <c r="H21" s="153"/>
      <c r="I21" s="153"/>
      <c r="J21" s="153"/>
      <c r="K21" s="153"/>
      <c r="L21" s="153"/>
    </row>
    <row r="22" spans="2:12">
      <c r="B22" s="154" t="s">
        <v>17</v>
      </c>
      <c r="C22" s="154"/>
      <c r="D22" s="154"/>
      <c r="E22" s="154"/>
      <c r="F22" s="154"/>
      <c r="G22" s="154"/>
      <c r="H22" s="154"/>
      <c r="I22" s="154"/>
      <c r="J22" s="154"/>
      <c r="K22" s="154"/>
      <c r="L22" s="154"/>
    </row>
    <row r="23" spans="2:12">
      <c r="B23" s="3"/>
      <c r="C23" s="77" t="s">
        <v>5</v>
      </c>
      <c r="D23" s="49" t="s">
        <v>6</v>
      </c>
      <c r="E23" s="49" t="s">
        <v>15</v>
      </c>
      <c r="F23" s="49" t="s">
        <v>7</v>
      </c>
      <c r="G23" s="49" t="s">
        <v>29</v>
      </c>
      <c r="H23" s="78" t="s">
        <v>9</v>
      </c>
      <c r="I23" s="49" t="s">
        <v>35</v>
      </c>
      <c r="J23" s="78" t="s">
        <v>8</v>
      </c>
      <c r="K23" s="79" t="s">
        <v>10</v>
      </c>
      <c r="L23" s="80" t="s">
        <v>1</v>
      </c>
    </row>
    <row r="24" spans="2:12">
      <c r="B24" s="11" t="s">
        <v>11</v>
      </c>
      <c r="C24" s="4">
        <f>0.39*600</f>
        <v>234</v>
      </c>
      <c r="D24" s="30">
        <f>C24/'Damètre conduites'!$C$6/'Damètre conduites'!$C$5*1000</f>
        <v>2.7950310559006213</v>
      </c>
      <c r="E24" s="30">
        <f>D24/'Damètre conduites'!$C$4</f>
        <v>2.7950310559006213E-3</v>
      </c>
      <c r="F24" s="30">
        <f>E24/'Damètre conduites'!$C$8</f>
        <v>2.7950310559006213E-3</v>
      </c>
      <c r="G24" s="37">
        <f>SQRT((4*F24)/PI())*10^3</f>
        <v>59.655209907731852</v>
      </c>
      <c r="H24" s="6">
        <v>65</v>
      </c>
      <c r="I24" s="36">
        <f>PI()*(H24/1000)^2/4</f>
        <v>3.3183072403542195E-3</v>
      </c>
      <c r="J24" s="40">
        <f>D24*3600</f>
        <v>10062.111801242236</v>
      </c>
      <c r="K24" s="19">
        <v>80</v>
      </c>
      <c r="L24" s="10">
        <f>J24/3600/'Damètre conduites'!$C$4/I24</f>
        <v>0.84230628855279222</v>
      </c>
    </row>
    <row r="25" spans="2:12">
      <c r="B25" s="11" t="s">
        <v>12</v>
      </c>
      <c r="C25" s="4">
        <f t="shared" ref="C25:C26" si="0">0.39*600</f>
        <v>234</v>
      </c>
      <c r="D25" s="30">
        <f>C25/'Damètre conduites'!$C$6/'Damètre conduites'!$C$5*1000</f>
        <v>2.7950310559006213</v>
      </c>
      <c r="E25" s="30">
        <f>D25/'Damètre conduites'!$C$4</f>
        <v>2.7950310559006213E-3</v>
      </c>
      <c r="F25" s="30">
        <f>E25/'Damètre conduites'!$C$8</f>
        <v>2.7950310559006213E-3</v>
      </c>
      <c r="G25" s="7">
        <f t="shared" ref="G25:G30" si="1">SQRT((4*F25)/PI())*10^3</f>
        <v>59.655209907731852</v>
      </c>
      <c r="H25" s="6">
        <v>65</v>
      </c>
      <c r="I25" s="36">
        <f>PI()*(H25/1000)^2/4</f>
        <v>3.3183072403542195E-3</v>
      </c>
      <c r="J25" s="40">
        <f t="shared" ref="J25:J31" si="2">D25*3600</f>
        <v>10062.111801242236</v>
      </c>
      <c r="K25" s="19">
        <v>80</v>
      </c>
      <c r="L25" s="10">
        <f>J25/3600/'Damètre conduites'!$C$4/I25</f>
        <v>0.84230628855279222</v>
      </c>
    </row>
    <row r="26" spans="2:12">
      <c r="B26" s="11" t="s">
        <v>13</v>
      </c>
      <c r="C26" s="2">
        <f t="shared" si="0"/>
        <v>234</v>
      </c>
      <c r="D26" s="30">
        <f>C26/'Damètre conduites'!$C$6/'Damètre conduites'!$C$5*1000</f>
        <v>2.7950310559006213</v>
      </c>
      <c r="E26" s="30">
        <f>D26/'Damètre conduites'!$C$4</f>
        <v>2.7950310559006213E-3</v>
      </c>
      <c r="F26" s="30">
        <f>E26/'Damètre conduites'!$C$8</f>
        <v>2.7950310559006213E-3</v>
      </c>
      <c r="G26" s="7">
        <f t="shared" si="1"/>
        <v>59.655209907731852</v>
      </c>
      <c r="H26" s="6">
        <v>65</v>
      </c>
      <c r="I26" s="36">
        <f t="shared" ref="I26:I32" si="3">PI()*(H26/1000)^2/4</f>
        <v>3.3183072403542195E-3</v>
      </c>
      <c r="J26" s="40">
        <f t="shared" si="2"/>
        <v>10062.111801242236</v>
      </c>
      <c r="K26" s="19">
        <v>80</v>
      </c>
      <c r="L26" s="10">
        <f>J26/3600/'Damètre conduites'!$C$4/I26</f>
        <v>0.84230628855279222</v>
      </c>
    </row>
    <row r="27" spans="2:12">
      <c r="B27" s="11" t="s">
        <v>69</v>
      </c>
      <c r="C27" s="1">
        <v>129.97982675939605</v>
      </c>
      <c r="D27" s="30">
        <f>C27/'Damètre conduites'!$C$6/'Damètre conduites'!$C$5*1000</f>
        <v>1.5525540702268996</v>
      </c>
      <c r="E27" s="30">
        <f>D27/'Damètre conduites'!$C$4</f>
        <v>1.5525540702268996E-3</v>
      </c>
      <c r="F27" s="30">
        <f>E27/'Damètre conduites'!$C$8</f>
        <v>1.5525540702268996E-3</v>
      </c>
      <c r="G27" s="7">
        <f t="shared" si="1"/>
        <v>44.460918091650129</v>
      </c>
      <c r="H27" s="6">
        <v>50</v>
      </c>
      <c r="I27" s="36">
        <f t="shared" si="3"/>
        <v>1.9634954084936209E-3</v>
      </c>
      <c r="J27" s="40">
        <f t="shared" si="2"/>
        <v>5589.1946528168382</v>
      </c>
      <c r="K27" s="19">
        <v>110</v>
      </c>
      <c r="L27" s="10">
        <f>J27/3600/'Damètre conduites'!$C$4/I27</f>
        <v>0.79070929502096854</v>
      </c>
    </row>
    <row r="28" spans="2:12">
      <c r="B28" s="11" t="s">
        <v>14</v>
      </c>
      <c r="C28" s="4">
        <v>67.97</v>
      </c>
      <c r="D28" s="30">
        <f>C28/'Damètre conduites'!$C$6/'Damètre conduites'!$C$5*1000</f>
        <v>0.81187290969899661</v>
      </c>
      <c r="E28" s="30">
        <f>D28/'Damètre conduites'!$C$4</f>
        <v>8.1187290969899663E-4</v>
      </c>
      <c r="F28" s="30">
        <f>E28/'Damètre conduites'!$C$8</f>
        <v>8.1187290969899663E-4</v>
      </c>
      <c r="G28" s="7">
        <f t="shared" si="1"/>
        <v>32.151340468601965</v>
      </c>
      <c r="H28" s="6">
        <v>40</v>
      </c>
      <c r="I28" s="36">
        <f t="shared" si="3"/>
        <v>1.2566370614359172E-3</v>
      </c>
      <c r="J28" s="40">
        <f t="shared" si="2"/>
        <v>2922.7424749163879</v>
      </c>
      <c r="K28" s="19">
        <v>105</v>
      </c>
      <c r="L28" s="10">
        <f>J28/3600/'Damètre conduites'!$C$4/I28</f>
        <v>0.6460679337049765</v>
      </c>
    </row>
    <row r="29" spans="2:12">
      <c r="B29" s="11" t="s">
        <v>142</v>
      </c>
      <c r="C29" s="1">
        <f>(600-C27-C28)/2</f>
        <v>201.02508662030198</v>
      </c>
      <c r="D29" s="30">
        <f>C29/'Damètre conduites'!$C$6/'Damètre conduites'!$C$5*1000</f>
        <v>2.4011596586275918</v>
      </c>
      <c r="E29" s="30">
        <f>D29/'Damètre conduites'!$C$4</f>
        <v>2.4011596586275916E-3</v>
      </c>
      <c r="F29" s="30">
        <f>E29/'Damètre conduites'!$C$8</f>
        <v>2.4011596586275916E-3</v>
      </c>
      <c r="G29" s="7">
        <f t="shared" si="1"/>
        <v>55.292417478235059</v>
      </c>
      <c r="H29" s="6">
        <v>65</v>
      </c>
      <c r="I29" s="36">
        <f t="shared" si="3"/>
        <v>3.3183072403542195E-3</v>
      </c>
      <c r="J29" s="40">
        <f t="shared" si="2"/>
        <v>8644.1747710593299</v>
      </c>
      <c r="K29" s="19">
        <v>58</v>
      </c>
      <c r="L29" s="10">
        <f>J29/3600/'Damètre conduites'!$C$4/I29</f>
        <v>0.72360980605619718</v>
      </c>
    </row>
    <row r="30" spans="2:12">
      <c r="B30" s="11" t="s">
        <v>141</v>
      </c>
      <c r="C30" s="1">
        <f>(600-C27-C28)/2</f>
        <v>201.02508662030198</v>
      </c>
      <c r="D30" s="35">
        <f>C30/'Damètre conduites'!$C$6/'Damètre conduites'!$C$5*1000</f>
        <v>2.4011596586275918</v>
      </c>
      <c r="E30" s="35">
        <f>D30/'Damètre conduites'!$C$4</f>
        <v>2.4011596586275916E-3</v>
      </c>
      <c r="F30" s="35">
        <f>E30/'Damètre conduites'!$C$8</f>
        <v>2.4011596586275916E-3</v>
      </c>
      <c r="G30" s="38">
        <f t="shared" si="1"/>
        <v>55.292417478235059</v>
      </c>
      <c r="H30" s="16">
        <v>65</v>
      </c>
      <c r="I30" s="36">
        <f t="shared" si="3"/>
        <v>3.3183072403542195E-3</v>
      </c>
      <c r="J30" s="40">
        <f t="shared" si="2"/>
        <v>8644.1747710593299</v>
      </c>
      <c r="K30" s="39">
        <v>58</v>
      </c>
      <c r="L30" s="10">
        <f>J30/3600/'Damètre conduites'!$C$4/I30</f>
        <v>0.72360980605619718</v>
      </c>
    </row>
    <row r="31" spans="2:12">
      <c r="B31" s="11" t="s">
        <v>34</v>
      </c>
      <c r="C31" s="1">
        <f>SUM(C27:C30)</f>
        <v>600</v>
      </c>
      <c r="D31" s="30">
        <f>C31/'Damètre conduites'!$C$6/'Damètre conduites'!$C$5*1000</f>
        <v>7.1667462971810796</v>
      </c>
      <c r="E31" s="30">
        <f>D31/'Damètre conduites'!$C$4</f>
        <v>7.16674629718108E-3</v>
      </c>
      <c r="F31" s="30">
        <f>E31/'Damètre conduites'!$C$7</f>
        <v>1.433349259436216E-2</v>
      </c>
      <c r="G31" s="7">
        <f>SQRT((4*F31)/PI())*10^3</f>
        <v>135.09244829119984</v>
      </c>
      <c r="H31" s="4">
        <v>150</v>
      </c>
      <c r="I31" s="36">
        <f t="shared" si="3"/>
        <v>1.7671458676442587E-2</v>
      </c>
      <c r="J31" s="40">
        <f t="shared" si="2"/>
        <v>25800.286669851888</v>
      </c>
      <c r="K31" s="41">
        <v>9</v>
      </c>
      <c r="L31" s="10">
        <f>J31/3600/'Damètre conduites'!$C$4/I31</f>
        <v>0.40555487967356679</v>
      </c>
    </row>
    <row r="32" spans="2:12">
      <c r="B32" s="9" t="s">
        <v>49</v>
      </c>
      <c r="H32" s="95">
        <v>25</v>
      </c>
      <c r="I32" s="125">
        <f t="shared" si="3"/>
        <v>4.9087385212340522E-4</v>
      </c>
    </row>
    <row r="33" spans="2:12">
      <c r="B33" s="150" t="s">
        <v>231</v>
      </c>
      <c r="C33" s="137"/>
      <c r="D33" s="96"/>
      <c r="E33" s="30"/>
      <c r="F33" s="53"/>
      <c r="G33" s="8"/>
      <c r="H33" s="3"/>
      <c r="I33" s="97"/>
      <c r="J33" s="98"/>
      <c r="K33" s="3"/>
      <c r="L33" s="10"/>
    </row>
    <row r="34" spans="2:12">
      <c r="L34" s="10"/>
    </row>
    <row r="56" spans="10:10">
      <c r="J56">
        <f>2*H27+2*H28+2*H29+2*H30</f>
        <v>440</v>
      </c>
    </row>
    <row r="58" spans="10:10">
      <c r="J58" t="s">
        <v>145</v>
      </c>
    </row>
    <row r="60" spans="10:10">
      <c r="J60" t="s">
        <v>146</v>
      </c>
    </row>
  </sheetData>
  <mergeCells count="6">
    <mergeCell ref="B33:C33"/>
    <mergeCell ref="B10:D10"/>
    <mergeCell ref="B12:D12"/>
    <mergeCell ref="B3:D3"/>
    <mergeCell ref="B21:L21"/>
    <mergeCell ref="B22:L22"/>
  </mergeCell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1FA9C-125B-0842-A9CE-61E42C9CDE16}">
  <dimension ref="B2:W85"/>
  <sheetViews>
    <sheetView topLeftCell="A6" zoomScale="85" zoomScaleNormal="85" workbookViewId="0">
      <selection activeCell="D57" sqref="D57"/>
    </sheetView>
  </sheetViews>
  <sheetFormatPr baseColWidth="10" defaultColWidth="10.5703125" defaultRowHeight="15"/>
  <cols>
    <col min="2" max="2" width="17.42578125" customWidth="1"/>
    <col min="3" max="3" width="13.5703125" customWidth="1"/>
    <col min="7" max="7" width="16.42578125" customWidth="1"/>
    <col min="13" max="13" width="15.42578125" customWidth="1"/>
    <col min="14" max="14" width="17.42578125" customWidth="1"/>
  </cols>
  <sheetData>
    <row r="2" ht="15.75" customHeight="1"/>
    <row r="29" spans="2:8">
      <c r="B29" s="140" t="s">
        <v>40</v>
      </c>
      <c r="C29" s="140"/>
      <c r="D29" s="140"/>
      <c r="E29" s="165"/>
      <c r="F29" s="165"/>
      <c r="G29" s="165"/>
      <c r="H29" s="165"/>
    </row>
    <row r="30" spans="2:8">
      <c r="B30" s="3"/>
      <c r="C30" s="3" t="s">
        <v>41</v>
      </c>
      <c r="D30" s="81" t="s">
        <v>41</v>
      </c>
      <c r="E30" s="73" t="s">
        <v>47</v>
      </c>
      <c r="F30" s="166" t="s">
        <v>43</v>
      </c>
      <c r="G30" s="166"/>
      <c r="H30" t="s">
        <v>306</v>
      </c>
    </row>
    <row r="31" spans="2:8">
      <c r="B31" s="3" t="s">
        <v>37</v>
      </c>
      <c r="C31" s="4">
        <f>'Damètre conduites'!C24</f>
        <v>234</v>
      </c>
      <c r="D31" s="42">
        <f>R33</f>
        <v>293.66666666666669</v>
      </c>
      <c r="E31" s="4">
        <f>6*10^-3</f>
        <v>6.0000000000000001E-3</v>
      </c>
      <c r="F31" s="167" t="s">
        <v>239</v>
      </c>
      <c r="G31" s="167"/>
      <c r="H31">
        <v>279</v>
      </c>
    </row>
    <row r="32" spans="2:8">
      <c r="B32" s="3" t="s">
        <v>38</v>
      </c>
      <c r="C32" s="4">
        <f>'Damètre conduites'!C25</f>
        <v>234</v>
      </c>
      <c r="D32" s="42">
        <f>D31</f>
        <v>293.66666666666669</v>
      </c>
      <c r="E32" s="4">
        <f t="shared" ref="E32:E33" si="0">6*10^-3</f>
        <v>6.0000000000000001E-3</v>
      </c>
      <c r="F32" s="167" t="s">
        <v>239</v>
      </c>
      <c r="G32" s="167"/>
      <c r="H32">
        <v>279</v>
      </c>
    </row>
    <row r="33" spans="2:18" ht="46.5" customHeight="1">
      <c r="B33" s="3" t="s">
        <v>39</v>
      </c>
      <c r="C33" s="4">
        <f>'Damètre conduites'!C26</f>
        <v>234</v>
      </c>
      <c r="D33" s="42">
        <f>D31</f>
        <v>293.66666666666669</v>
      </c>
      <c r="E33" s="4">
        <f t="shared" si="0"/>
        <v>6.0000000000000001E-3</v>
      </c>
      <c r="F33" s="167" t="s">
        <v>240</v>
      </c>
      <c r="G33" s="167"/>
      <c r="H33">
        <v>279</v>
      </c>
      <c r="N33" s="158" t="s">
        <v>238</v>
      </c>
      <c r="O33" s="158"/>
      <c r="P33" s="158"/>
      <c r="Q33" s="158"/>
      <c r="R33">
        <f>285+((150-60-(150-70))/(150-40-(150-70)))*(311-285)</f>
        <v>293.66666666666669</v>
      </c>
    </row>
    <row r="34" spans="2:18">
      <c r="H34">
        <f>SUM(H31:H33)</f>
        <v>837</v>
      </c>
      <c r="O34" s="99"/>
      <c r="P34" s="99"/>
      <c r="Q34" s="99"/>
    </row>
    <row r="35" spans="2:18">
      <c r="O35" s="99"/>
      <c r="P35" s="99"/>
      <c r="Q35" s="99"/>
    </row>
    <row r="36" spans="2:18">
      <c r="O36" s="99"/>
      <c r="P36" s="99"/>
      <c r="Q36" s="99"/>
    </row>
    <row r="37" spans="2:18">
      <c r="O37" s="99"/>
      <c r="P37" s="99"/>
      <c r="Q37" s="99"/>
    </row>
    <row r="49" spans="2:23">
      <c r="C49" s="168" t="s">
        <v>143</v>
      </c>
      <c r="D49" s="168"/>
      <c r="E49" s="168"/>
      <c r="F49" s="168"/>
      <c r="G49" s="168"/>
    </row>
    <row r="50" spans="2:23">
      <c r="C50" s="168"/>
      <c r="D50" s="168"/>
      <c r="E50" s="168"/>
      <c r="F50" s="168"/>
      <c r="G50" s="168"/>
      <c r="L50" t="s">
        <v>144</v>
      </c>
      <c r="N50" s="87"/>
      <c r="O50" s="87"/>
    </row>
    <row r="51" spans="2:23">
      <c r="B51" s="140" t="s">
        <v>44</v>
      </c>
      <c r="C51" s="140"/>
      <c r="D51" s="140"/>
      <c r="E51" s="140"/>
      <c r="F51" s="140"/>
      <c r="G51" s="140"/>
      <c r="H51" s="140"/>
      <c r="I51" s="140"/>
      <c r="K51" s="140" t="s">
        <v>55</v>
      </c>
      <c r="L51" s="140"/>
      <c r="M51" s="140"/>
      <c r="N51" s="140"/>
      <c r="O51" s="140"/>
      <c r="P51" s="140"/>
      <c r="Q51" s="140"/>
      <c r="R51" s="140"/>
    </row>
    <row r="52" spans="2:23" ht="17.25">
      <c r="B52" s="86" t="s">
        <v>45</v>
      </c>
      <c r="C52" s="9" t="s">
        <v>54</v>
      </c>
      <c r="D52" s="9" t="s">
        <v>46</v>
      </c>
      <c r="E52" s="9" t="s">
        <v>1</v>
      </c>
      <c r="F52" s="9" t="s">
        <v>47</v>
      </c>
      <c r="G52" s="159" t="s">
        <v>48</v>
      </c>
      <c r="H52" s="160"/>
      <c r="I52" s="161"/>
      <c r="K52" s="9" t="s">
        <v>45</v>
      </c>
      <c r="L52" s="9" t="s">
        <v>54</v>
      </c>
      <c r="M52" s="9" t="s">
        <v>46</v>
      </c>
      <c r="N52" s="9" t="s">
        <v>1</v>
      </c>
      <c r="O52" s="9" t="s">
        <v>47</v>
      </c>
      <c r="P52" s="159" t="s">
        <v>48</v>
      </c>
      <c r="Q52" s="160"/>
      <c r="R52" s="161"/>
      <c r="W52" s="14"/>
    </row>
    <row r="53" spans="2:23">
      <c r="B53" s="2">
        <v>1</v>
      </c>
      <c r="C53" s="1">
        <f>'Damètre conduites'!J24/1000</f>
        <v>10.062111801242235</v>
      </c>
      <c r="D53" s="4">
        <v>65</v>
      </c>
      <c r="E53" s="10">
        <v>0.84314943799078301</v>
      </c>
      <c r="F53" s="4">
        <v>2.5000000000000001E-3</v>
      </c>
      <c r="G53" s="155" t="s">
        <v>249</v>
      </c>
      <c r="H53" s="156"/>
      <c r="I53" s="157"/>
      <c r="K53" s="85">
        <v>1</v>
      </c>
      <c r="L53" s="1">
        <v>10.062111801242235</v>
      </c>
      <c r="M53" s="4">
        <v>65</v>
      </c>
      <c r="N53" s="10">
        <v>0.84314943799078301</v>
      </c>
      <c r="O53" s="4">
        <v>2.5000000000000001E-3</v>
      </c>
      <c r="P53" s="155" t="s">
        <v>56</v>
      </c>
      <c r="Q53" s="156"/>
      <c r="R53" s="157"/>
      <c r="W53" s="14"/>
    </row>
    <row r="54" spans="2:23">
      <c r="B54" s="2">
        <v>2</v>
      </c>
      <c r="C54" s="1">
        <f>C53</f>
        <v>10.062111801242235</v>
      </c>
      <c r="D54" s="4">
        <v>65</v>
      </c>
      <c r="E54" s="10">
        <v>0.84314943799078301</v>
      </c>
      <c r="F54" s="4">
        <v>2.5000000000000001E-3</v>
      </c>
      <c r="G54" s="155" t="s">
        <v>249</v>
      </c>
      <c r="H54" s="156"/>
      <c r="I54" s="157"/>
      <c r="K54" s="85">
        <v>2</v>
      </c>
      <c r="L54" s="1">
        <v>10.062111801242235</v>
      </c>
      <c r="M54" s="4">
        <v>65</v>
      </c>
      <c r="N54" s="10">
        <v>0.84314943799078301</v>
      </c>
      <c r="O54" s="4">
        <v>2.5000000000000001E-3</v>
      </c>
      <c r="P54" s="155" t="s">
        <v>56</v>
      </c>
      <c r="Q54" s="156"/>
      <c r="R54" s="157"/>
    </row>
    <row r="55" spans="2:23">
      <c r="B55" s="2">
        <v>3</v>
      </c>
      <c r="C55" s="1">
        <f>C54</f>
        <v>10.062111801242235</v>
      </c>
      <c r="D55" s="4">
        <v>65</v>
      </c>
      <c r="E55" s="10">
        <v>0.84314943799078301</v>
      </c>
      <c r="F55" s="4">
        <v>2.5000000000000001E-3</v>
      </c>
      <c r="G55" s="155" t="s">
        <v>249</v>
      </c>
      <c r="H55" s="156"/>
      <c r="I55" s="157"/>
      <c r="K55" s="85">
        <v>3</v>
      </c>
      <c r="L55" s="1">
        <v>10.062111801242235</v>
      </c>
      <c r="M55" s="4">
        <v>65</v>
      </c>
      <c r="N55" s="10">
        <v>0.84314943799078301</v>
      </c>
      <c r="O55" s="4">
        <v>2.5000000000000001E-3</v>
      </c>
      <c r="P55" s="155" t="s">
        <v>56</v>
      </c>
      <c r="Q55" s="156"/>
      <c r="R55" s="157"/>
    </row>
    <row r="56" spans="2:23">
      <c r="B56" s="2">
        <v>4</v>
      </c>
      <c r="C56" s="1">
        <f>'Damètre conduites'!J31/1000</f>
        <v>25.800286669851889</v>
      </c>
      <c r="D56" s="4">
        <v>150</v>
      </c>
      <c r="E56" s="10">
        <f>'Damètre conduites'!L31</f>
        <v>0.40555487967356679</v>
      </c>
      <c r="F56" s="4">
        <v>1.8000000000000001E-4</v>
      </c>
      <c r="G56" s="155" t="s">
        <v>51</v>
      </c>
      <c r="H56" s="156"/>
      <c r="I56" s="157"/>
    </row>
    <row r="57" spans="2:23">
      <c r="B57" s="2">
        <v>5</v>
      </c>
      <c r="C57" s="1">
        <f>C56</f>
        <v>25.800286669851889</v>
      </c>
      <c r="D57" s="4">
        <v>150</v>
      </c>
      <c r="E57" s="10">
        <f>E56</f>
        <v>0.40555487967356679</v>
      </c>
      <c r="F57" s="4">
        <v>1.8000000000000001E-4</v>
      </c>
      <c r="G57" s="155" t="s">
        <v>51</v>
      </c>
      <c r="H57" s="156"/>
      <c r="I57" s="157"/>
    </row>
    <row r="58" spans="2:23">
      <c r="B58" s="2">
        <v>6</v>
      </c>
      <c r="C58" s="1">
        <f>C56</f>
        <v>25.800286669851889</v>
      </c>
      <c r="D58" s="4">
        <v>150</v>
      </c>
      <c r="E58" s="10">
        <f>E56</f>
        <v>0.40555487967356679</v>
      </c>
      <c r="F58" s="4">
        <v>1.8000000000000001E-4</v>
      </c>
      <c r="G58" s="155" t="s">
        <v>51</v>
      </c>
      <c r="H58" s="156"/>
      <c r="I58" s="157"/>
    </row>
    <row r="59" spans="2:23">
      <c r="B59" s="2">
        <v>7</v>
      </c>
      <c r="C59" s="1">
        <f>C56</f>
        <v>25.800286669851889</v>
      </c>
      <c r="D59" s="4">
        <v>150</v>
      </c>
      <c r="E59" s="10">
        <f>E56</f>
        <v>0.40555487967356679</v>
      </c>
      <c r="F59" s="4">
        <v>1.8000000000000001E-4</v>
      </c>
      <c r="G59" s="155" t="s">
        <v>51</v>
      </c>
      <c r="H59" s="156"/>
      <c r="I59" s="157"/>
    </row>
    <row r="60" spans="2:23">
      <c r="B60" s="2">
        <v>8</v>
      </c>
      <c r="C60" s="1">
        <f>C56</f>
        <v>25.800286669851889</v>
      </c>
      <c r="D60" s="4">
        <v>150</v>
      </c>
      <c r="E60" s="10">
        <f>E56</f>
        <v>0.40555487967356679</v>
      </c>
      <c r="F60" s="4">
        <v>1.8000000000000001E-4</v>
      </c>
      <c r="G60" s="155" t="s">
        <v>51</v>
      </c>
      <c r="H60" s="156"/>
      <c r="I60" s="157"/>
    </row>
    <row r="61" spans="2:23">
      <c r="B61" s="2">
        <v>9</v>
      </c>
      <c r="C61" s="1">
        <f>C56</f>
        <v>25.800286669851889</v>
      </c>
      <c r="D61" s="4">
        <v>150</v>
      </c>
      <c r="E61" s="10">
        <f>E56</f>
        <v>0.40555487967356679</v>
      </c>
      <c r="F61" s="4">
        <v>1.8000000000000001E-4</v>
      </c>
      <c r="G61" s="155" t="s">
        <v>51</v>
      </c>
      <c r="H61" s="156"/>
      <c r="I61" s="157"/>
    </row>
    <row r="62" spans="2:23">
      <c r="B62" s="2">
        <v>10</v>
      </c>
      <c r="C62" s="1" t="s">
        <v>3</v>
      </c>
      <c r="D62" s="4" t="s">
        <v>3</v>
      </c>
      <c r="E62" s="4" t="s">
        <v>3</v>
      </c>
      <c r="F62" s="4" t="s">
        <v>3</v>
      </c>
      <c r="G62" s="155"/>
      <c r="H62" s="156"/>
      <c r="I62" s="157"/>
    </row>
    <row r="63" spans="2:23">
      <c r="B63" s="2">
        <v>11</v>
      </c>
      <c r="C63" s="1" t="s">
        <v>3</v>
      </c>
      <c r="D63" s="4" t="s">
        <v>3</v>
      </c>
      <c r="E63" s="4" t="s">
        <v>3</v>
      </c>
      <c r="F63" s="4" t="s">
        <v>3</v>
      </c>
      <c r="G63" s="155"/>
      <c r="H63" s="156"/>
      <c r="I63" s="157"/>
    </row>
    <row r="64" spans="2:23">
      <c r="B64" s="2">
        <v>12</v>
      </c>
      <c r="C64" s="162" t="s">
        <v>50</v>
      </c>
      <c r="D64" s="163"/>
      <c r="E64" s="163"/>
      <c r="F64" s="163"/>
      <c r="G64" s="163"/>
      <c r="H64" s="163"/>
      <c r="I64" s="164"/>
    </row>
    <row r="65" spans="2:9">
      <c r="B65" s="2">
        <v>13</v>
      </c>
      <c r="C65" s="1">
        <f>'Damètre conduites'!J27/1000</f>
        <v>5.5891946528168379</v>
      </c>
      <c r="D65" s="4">
        <v>50</v>
      </c>
      <c r="E65" s="10">
        <f>'Damètre conduites'!L27</f>
        <v>0.79070929502096854</v>
      </c>
      <c r="F65" s="4">
        <v>8.9999999999999998E-4</v>
      </c>
      <c r="G65" s="155" t="s">
        <v>250</v>
      </c>
      <c r="H65" s="156"/>
      <c r="I65" s="157"/>
    </row>
    <row r="66" spans="2:9">
      <c r="B66" s="2">
        <v>14</v>
      </c>
      <c r="C66" s="1">
        <f>C65</f>
        <v>5.5891946528168379</v>
      </c>
      <c r="D66" s="4">
        <v>50</v>
      </c>
      <c r="E66" s="10">
        <f>'Damètre conduites'!L27</f>
        <v>0.79070929502096854</v>
      </c>
      <c r="F66" s="4">
        <v>8.9999999999999998E-4</v>
      </c>
      <c r="G66" s="155" t="s">
        <v>250</v>
      </c>
      <c r="H66" s="156"/>
      <c r="I66" s="157"/>
    </row>
    <row r="67" spans="2:9">
      <c r="B67" s="2">
        <v>15</v>
      </c>
      <c r="C67" s="1">
        <f>C65</f>
        <v>5.5891946528168379</v>
      </c>
      <c r="D67" s="4">
        <v>50</v>
      </c>
      <c r="E67" s="10">
        <f>E65</f>
        <v>0.79070929502096854</v>
      </c>
      <c r="F67" s="4">
        <v>8.9999999999999998E-4</v>
      </c>
      <c r="G67" s="155" t="s">
        <v>250</v>
      </c>
      <c r="H67" s="156"/>
      <c r="I67" s="157"/>
    </row>
    <row r="68" spans="2:9">
      <c r="B68" s="2">
        <v>16</v>
      </c>
      <c r="C68" s="1">
        <f>'Damètre conduites'!J28/1000</f>
        <v>2.9227424749163879</v>
      </c>
      <c r="D68" s="4">
        <v>40</v>
      </c>
      <c r="E68" s="10">
        <f>'Damètre conduites'!L28</f>
        <v>0.6460679337049765</v>
      </c>
      <c r="F68" s="4">
        <v>8.0000000000000004E-4</v>
      </c>
      <c r="G68" s="155" t="s">
        <v>53</v>
      </c>
      <c r="H68" s="156"/>
      <c r="I68" s="157"/>
    </row>
    <row r="69" spans="2:9">
      <c r="B69" s="2">
        <v>17</v>
      </c>
      <c r="C69" s="1">
        <f>C68</f>
        <v>2.9227424749163879</v>
      </c>
      <c r="D69" s="4">
        <v>40</v>
      </c>
      <c r="E69" s="10">
        <f>E68</f>
        <v>0.6460679337049765</v>
      </c>
      <c r="F69" s="4">
        <v>8.0000000000000004E-4</v>
      </c>
      <c r="G69" s="155" t="s">
        <v>53</v>
      </c>
      <c r="H69" s="156"/>
      <c r="I69" s="157"/>
    </row>
    <row r="70" spans="2:9">
      <c r="B70" s="2">
        <v>18</v>
      </c>
      <c r="C70" s="1">
        <f>C68</f>
        <v>2.9227424749163879</v>
      </c>
      <c r="D70" s="4">
        <v>40</v>
      </c>
      <c r="E70" s="10">
        <f>E68</f>
        <v>0.6460679337049765</v>
      </c>
      <c r="F70" s="4">
        <v>8.0000000000000004E-4</v>
      </c>
      <c r="G70" s="155" t="s">
        <v>53</v>
      </c>
      <c r="H70" s="156"/>
      <c r="I70" s="157"/>
    </row>
    <row r="85" ht="239.65" customHeight="1"/>
  </sheetData>
  <mergeCells count="32">
    <mergeCell ref="G55:I55"/>
    <mergeCell ref="B29:H29"/>
    <mergeCell ref="F30:G30"/>
    <mergeCell ref="F31:G31"/>
    <mergeCell ref="F32:G32"/>
    <mergeCell ref="F33:G33"/>
    <mergeCell ref="C49:G50"/>
    <mergeCell ref="B51:I51"/>
    <mergeCell ref="G52:I52"/>
    <mergeCell ref="G53:I53"/>
    <mergeCell ref="G54:I54"/>
    <mergeCell ref="G62:I62"/>
    <mergeCell ref="G63:I63"/>
    <mergeCell ref="C64:I64"/>
    <mergeCell ref="G65:I65"/>
    <mergeCell ref="G56:I56"/>
    <mergeCell ref="G57:I57"/>
    <mergeCell ref="G58:I58"/>
    <mergeCell ref="G59:I59"/>
    <mergeCell ref="G60:I60"/>
    <mergeCell ref="G61:I61"/>
    <mergeCell ref="G66:I66"/>
    <mergeCell ref="G67:I67"/>
    <mergeCell ref="G68:I68"/>
    <mergeCell ref="G69:I69"/>
    <mergeCell ref="G70:I70"/>
    <mergeCell ref="P55:R55"/>
    <mergeCell ref="K51:R51"/>
    <mergeCell ref="N33:Q33"/>
    <mergeCell ref="P52:R52"/>
    <mergeCell ref="P53:R53"/>
    <mergeCell ref="P54:R54"/>
  </mergeCells>
  <phoneticPr fontId="9" type="noConversion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7885D-15F1-4DC7-B59F-164C7E046BB1}">
  <dimension ref="A1:R109"/>
  <sheetViews>
    <sheetView zoomScale="60" zoomScaleNormal="57" workbookViewId="0">
      <selection activeCell="AD20" sqref="AD20"/>
    </sheetView>
  </sheetViews>
  <sheetFormatPr baseColWidth="10" defaultRowHeight="15"/>
  <cols>
    <col min="6" max="6" width="13.5703125" bestFit="1" customWidth="1"/>
  </cols>
  <sheetData>
    <row r="1" spans="2:10">
      <c r="J1" t="s">
        <v>147</v>
      </c>
    </row>
    <row r="3" spans="2:10">
      <c r="B3" t="s">
        <v>264</v>
      </c>
      <c r="J3" t="s">
        <v>148</v>
      </c>
    </row>
    <row r="4" spans="2:10">
      <c r="B4" t="s">
        <v>265</v>
      </c>
    </row>
    <row r="5" spans="2:10">
      <c r="J5" t="s">
        <v>149</v>
      </c>
    </row>
    <row r="29" spans="1:18" ht="15.75" thickBot="1"/>
    <row r="30" spans="1:18" ht="15.75" thickBot="1">
      <c r="B30" s="176" t="s">
        <v>71</v>
      </c>
      <c r="C30" s="176"/>
      <c r="D30" s="176"/>
      <c r="E30" s="176"/>
      <c r="F30" s="176"/>
      <c r="G30" s="91"/>
      <c r="I30" s="177" t="s">
        <v>67</v>
      </c>
      <c r="J30" s="177"/>
      <c r="K30" s="177"/>
      <c r="L30" s="177"/>
      <c r="M30" s="177"/>
      <c r="O30" s="178" t="s">
        <v>63</v>
      </c>
      <c r="P30" s="178"/>
      <c r="Q30" s="178"/>
      <c r="R30" s="178"/>
    </row>
    <row r="31" spans="1:18" ht="45">
      <c r="B31" s="48" t="s">
        <v>72</v>
      </c>
      <c r="C31" s="48" t="s">
        <v>0</v>
      </c>
      <c r="D31" s="48" t="s">
        <v>74</v>
      </c>
      <c r="E31" s="50" t="s">
        <v>73</v>
      </c>
      <c r="F31" s="48" t="s">
        <v>88</v>
      </c>
      <c r="I31" s="20" t="s">
        <v>48</v>
      </c>
      <c r="J31" s="20" t="s">
        <v>2</v>
      </c>
      <c r="K31" s="20" t="s">
        <v>68</v>
      </c>
      <c r="L31" s="20" t="s">
        <v>70</v>
      </c>
      <c r="M31" s="20" t="s">
        <v>81</v>
      </c>
      <c r="O31" s="47" t="s">
        <v>64</v>
      </c>
      <c r="P31" s="20" t="s">
        <v>45</v>
      </c>
      <c r="Q31" s="20" t="s">
        <v>47</v>
      </c>
      <c r="R31" s="20" t="s">
        <v>65</v>
      </c>
    </row>
    <row r="32" spans="1:18" ht="58.15" customHeight="1">
      <c r="A32" s="172" t="s">
        <v>154</v>
      </c>
      <c r="B32" s="92" t="s">
        <v>151</v>
      </c>
      <c r="C32" s="6">
        <f>5-1.45</f>
        <v>3.55</v>
      </c>
      <c r="D32" s="6">
        <f>'Damètre conduites'!H24</f>
        <v>65</v>
      </c>
      <c r="E32" s="6">
        <f>'Damètre conduites'!K24</f>
        <v>80</v>
      </c>
      <c r="F32" s="53">
        <f>C32*E32/100000</f>
        <v>2.8400000000000001E-3</v>
      </c>
      <c r="G32">
        <f>C32*'Damètre conduites'!I$24</f>
        <v>1.1779990703257479E-2</v>
      </c>
      <c r="H32" s="136" t="s">
        <v>154</v>
      </c>
      <c r="I32" s="51" t="s">
        <v>204</v>
      </c>
      <c r="J32" s="4">
        <v>1.3</v>
      </c>
      <c r="K32" s="12">
        <v>1000</v>
      </c>
      <c r="L32" s="15">
        <f>'Damètre conduites'!L24</f>
        <v>0.84230628855279222</v>
      </c>
      <c r="M32" s="52">
        <f>(J32*K32*L32^2)/2/100000</f>
        <v>4.6116192442812679E-3</v>
      </c>
      <c r="O32" s="181" t="s">
        <v>44</v>
      </c>
      <c r="P32" s="2">
        <v>1</v>
      </c>
      <c r="Q32" s="4">
        <f>'Choix des organes'!F53</f>
        <v>2.5000000000000001E-3</v>
      </c>
      <c r="R32" s="4">
        <f>Q32*100000</f>
        <v>250</v>
      </c>
    </row>
    <row r="33" spans="1:18">
      <c r="A33" s="172"/>
      <c r="B33" s="89" t="s">
        <v>152</v>
      </c>
      <c r="C33" s="6">
        <f>C32</f>
        <v>3.55</v>
      </c>
      <c r="D33" s="6">
        <f>D32</f>
        <v>65</v>
      </c>
      <c r="E33" s="6">
        <f>E32</f>
        <v>80</v>
      </c>
      <c r="F33" s="53">
        <f t="shared" ref="F33:F39" si="0">C33*E33/100000</f>
        <v>2.8400000000000001E-3</v>
      </c>
      <c r="G33">
        <f>C33*'Damètre conduites'!I$33</f>
        <v>0</v>
      </c>
      <c r="H33" s="136"/>
      <c r="I33" s="12" t="s">
        <v>205</v>
      </c>
      <c r="J33" s="4">
        <v>1.5</v>
      </c>
      <c r="K33" s="12">
        <v>1000</v>
      </c>
      <c r="L33" s="15">
        <f>'Damètre conduites'!L25</f>
        <v>0.84230628855279222</v>
      </c>
      <c r="M33" s="52">
        <f t="shared" ref="M33:M37" si="1">(J33*K33*L33^2)/2/100000</f>
        <v>5.3210991280168481E-3</v>
      </c>
      <c r="O33" s="182"/>
      <c r="P33" s="2">
        <v>2</v>
      </c>
      <c r="Q33" s="4">
        <f>'Choix des organes'!F54</f>
        <v>2.5000000000000001E-3</v>
      </c>
      <c r="R33" s="4">
        <f t="shared" ref="R33:R40" si="2">Q33*100000</f>
        <v>250</v>
      </c>
    </row>
    <row r="34" spans="1:18" ht="14.65" customHeight="1">
      <c r="A34" s="172"/>
      <c r="B34" s="89" t="s">
        <v>179</v>
      </c>
      <c r="C34" s="6">
        <f>C32</f>
        <v>3.55</v>
      </c>
      <c r="D34" s="6">
        <f>D32</f>
        <v>65</v>
      </c>
      <c r="E34" s="6">
        <f>E32</f>
        <v>80</v>
      </c>
      <c r="F34" s="53">
        <f>C34*E34/100000</f>
        <v>2.8400000000000001E-3</v>
      </c>
      <c r="G34">
        <f>C34*'Damètre conduites'!I$33</f>
        <v>0</v>
      </c>
      <c r="H34" s="136"/>
      <c r="I34" s="51" t="s">
        <v>206</v>
      </c>
      <c r="J34" s="4">
        <v>1.5</v>
      </c>
      <c r="K34" s="12">
        <v>1000</v>
      </c>
      <c r="L34" s="15">
        <f>'Damètre conduites'!L26</f>
        <v>0.84230628855279222</v>
      </c>
      <c r="M34" s="52">
        <f t="shared" si="1"/>
        <v>5.3210991280168481E-3</v>
      </c>
      <c r="O34" s="182"/>
      <c r="P34" s="2">
        <v>3</v>
      </c>
      <c r="Q34" s="4">
        <f>'Choix des organes'!F55</f>
        <v>2.5000000000000001E-3</v>
      </c>
      <c r="R34" s="4">
        <f t="shared" si="2"/>
        <v>250</v>
      </c>
    </row>
    <row r="35" spans="1:18">
      <c r="A35" s="172"/>
      <c r="B35" s="89" t="s">
        <v>180</v>
      </c>
      <c r="C35" s="8">
        <f>1.3</f>
        <v>1.3</v>
      </c>
      <c r="D35" s="6">
        <f>D32</f>
        <v>65</v>
      </c>
      <c r="E35" s="6">
        <f>E32</f>
        <v>80</v>
      </c>
      <c r="F35" s="53">
        <f t="shared" si="0"/>
        <v>1.0399999999999999E-3</v>
      </c>
      <c r="G35">
        <f>C35*'Damètre conduites'!I$33</f>
        <v>0</v>
      </c>
      <c r="H35" s="136"/>
      <c r="I35" s="12" t="s">
        <v>207</v>
      </c>
      <c r="J35" s="4">
        <v>1.3</v>
      </c>
      <c r="K35" s="12">
        <v>1000</v>
      </c>
      <c r="L35" s="15">
        <f>'Damètre conduites'!L31</f>
        <v>0.40555487967356679</v>
      </c>
      <c r="M35" s="52">
        <f t="shared" si="1"/>
        <v>1.069085942775768E-3</v>
      </c>
      <c r="O35" s="182"/>
      <c r="P35" s="2">
        <v>4</v>
      </c>
      <c r="Q35" s="4">
        <f>'Choix des organes'!F56</f>
        <v>1.8000000000000001E-4</v>
      </c>
      <c r="R35" s="4">
        <f t="shared" si="2"/>
        <v>18</v>
      </c>
    </row>
    <row r="36" spans="1:18">
      <c r="A36" s="172"/>
      <c r="B36" s="89" t="s">
        <v>181</v>
      </c>
      <c r="C36" s="8">
        <f>C35</f>
        <v>1.3</v>
      </c>
      <c r="D36" s="6">
        <f>'Damètre conduites'!H33</f>
        <v>0</v>
      </c>
      <c r="E36" s="6">
        <f>'Damètre conduites'!K33</f>
        <v>0</v>
      </c>
      <c r="F36" s="53">
        <f t="shared" si="0"/>
        <v>0</v>
      </c>
      <c r="G36">
        <f>C36*'Damètre conduites'!I$31</f>
        <v>2.2972896279375363E-2</v>
      </c>
      <c r="H36" s="136"/>
      <c r="I36" s="51" t="s">
        <v>208</v>
      </c>
      <c r="J36" s="4">
        <v>1.3</v>
      </c>
      <c r="K36" s="12">
        <v>1000</v>
      </c>
      <c r="L36" s="15">
        <f>L35</f>
        <v>0.40555487967356679</v>
      </c>
      <c r="M36" s="52">
        <f t="shared" si="1"/>
        <v>1.069085942775768E-3</v>
      </c>
      <c r="O36" s="182"/>
      <c r="P36" s="2">
        <v>5</v>
      </c>
      <c r="Q36" s="4">
        <f>'Choix des organes'!F57</f>
        <v>1.8000000000000001E-4</v>
      </c>
      <c r="R36" s="4">
        <f t="shared" si="2"/>
        <v>18</v>
      </c>
    </row>
    <row r="37" spans="1:18">
      <c r="A37" s="172"/>
      <c r="B37" s="89" t="s">
        <v>182</v>
      </c>
      <c r="C37" s="8">
        <v>0.5</v>
      </c>
      <c r="D37" s="6">
        <f>'Damètre conduites'!H31</f>
        <v>150</v>
      </c>
      <c r="E37" s="6">
        <f>'Damètre conduites'!K31</f>
        <v>9</v>
      </c>
      <c r="F37" s="53">
        <f t="shared" si="0"/>
        <v>4.5000000000000003E-5</v>
      </c>
      <c r="G37">
        <f>C37*'Damètre conduites'!I$31</f>
        <v>8.8357293382212935E-3</v>
      </c>
      <c r="H37" s="136"/>
      <c r="I37" s="12" t="s">
        <v>209</v>
      </c>
      <c r="J37" s="4">
        <v>1.3</v>
      </c>
      <c r="K37" s="12">
        <v>1000</v>
      </c>
      <c r="L37" s="15">
        <f>L36</f>
        <v>0.40555487967356679</v>
      </c>
      <c r="M37" s="52">
        <f t="shared" si="1"/>
        <v>1.069085942775768E-3</v>
      </c>
      <c r="O37" s="182"/>
      <c r="P37" s="2">
        <v>6</v>
      </c>
      <c r="Q37" s="4">
        <f>'Choix des organes'!F58</f>
        <v>1.8000000000000001E-4</v>
      </c>
      <c r="R37" s="4">
        <f t="shared" si="2"/>
        <v>18</v>
      </c>
    </row>
    <row r="38" spans="1:18">
      <c r="A38" s="172"/>
      <c r="B38" s="89" t="s">
        <v>183</v>
      </c>
      <c r="C38" s="8">
        <v>6</v>
      </c>
      <c r="D38" s="6">
        <f>D37</f>
        <v>150</v>
      </c>
      <c r="E38" s="6">
        <f>E37</f>
        <v>9</v>
      </c>
      <c r="F38" s="53">
        <f t="shared" si="0"/>
        <v>5.4000000000000001E-4</v>
      </c>
      <c r="G38">
        <f>C38*'Damètre conduites'!I$31</f>
        <v>0.10602875205865553</v>
      </c>
      <c r="H38" s="136"/>
      <c r="I38" s="12" t="s">
        <v>254</v>
      </c>
      <c r="J38" s="4">
        <v>1.3</v>
      </c>
      <c r="K38" s="12">
        <v>1000</v>
      </c>
      <c r="L38" s="15">
        <f>L37</f>
        <v>0.40555487967356679</v>
      </c>
      <c r="M38" s="52">
        <f>(J38*K38*L38^2)/2/100000</f>
        <v>1.069085942775768E-3</v>
      </c>
      <c r="O38" s="182"/>
      <c r="P38" s="2">
        <v>7</v>
      </c>
      <c r="Q38" s="4">
        <f>'Choix des organes'!F59</f>
        <v>1.8000000000000001E-4</v>
      </c>
      <c r="R38" s="4">
        <f t="shared" si="2"/>
        <v>18</v>
      </c>
    </row>
    <row r="39" spans="1:18" ht="28.9" customHeight="1">
      <c r="A39" s="172"/>
      <c r="B39" s="89" t="s">
        <v>184</v>
      </c>
      <c r="C39" s="8">
        <v>0.9</v>
      </c>
      <c r="D39" s="6">
        <f>D38</f>
        <v>150</v>
      </c>
      <c r="E39" s="6">
        <f>E37</f>
        <v>9</v>
      </c>
      <c r="F39" s="53">
        <f t="shared" si="0"/>
        <v>8.099999999999999E-5</v>
      </c>
      <c r="G39">
        <f>C39*'Damètre conduites'!I$31</f>
        <v>1.5904312808798327E-2</v>
      </c>
      <c r="H39" s="172" t="s">
        <v>177</v>
      </c>
      <c r="I39" s="51" t="s">
        <v>261</v>
      </c>
      <c r="J39" s="4">
        <v>0.74</v>
      </c>
      <c r="K39" s="12">
        <v>1000</v>
      </c>
      <c r="L39" s="15">
        <f>L41</f>
        <v>0.6460679337049765</v>
      </c>
      <c r="M39" s="116">
        <f>(J39*K39*L39^2)/2/100000</f>
        <v>1.5443939673587264E-3</v>
      </c>
      <c r="N39">
        <f>L41/L38</f>
        <v>1.5930468749999998</v>
      </c>
      <c r="O39" s="182"/>
      <c r="P39" s="2">
        <v>8</v>
      </c>
      <c r="Q39" s="4">
        <f>'Choix des organes'!F60</f>
        <v>1.8000000000000001E-4</v>
      </c>
      <c r="R39" s="4">
        <f t="shared" si="2"/>
        <v>18</v>
      </c>
    </row>
    <row r="40" spans="1:18" ht="58.15" customHeight="1">
      <c r="A40" s="172"/>
      <c r="B40" s="92" t="s">
        <v>185</v>
      </c>
      <c r="C40" s="8">
        <v>4.7</v>
      </c>
      <c r="D40" s="6">
        <f>D39</f>
        <v>150</v>
      </c>
      <c r="E40" s="6">
        <f>E37</f>
        <v>9</v>
      </c>
      <c r="F40" s="53">
        <f>C40*E40/100000</f>
        <v>4.2300000000000004E-4</v>
      </c>
      <c r="G40">
        <f>C40*'Damètre conduites'!I$31</f>
        <v>8.3055855779280166E-2</v>
      </c>
      <c r="H40" s="172"/>
      <c r="I40" s="51" t="s">
        <v>284</v>
      </c>
      <c r="J40" s="4">
        <v>1.3</v>
      </c>
      <c r="K40" s="12">
        <v>1000</v>
      </c>
      <c r="L40" s="15">
        <f>L39</f>
        <v>0.6460679337049765</v>
      </c>
      <c r="M40" s="116">
        <f>(J40*K40*L40^2)/2/100000</f>
        <v>2.7131245372518163E-3</v>
      </c>
      <c r="O40" s="182"/>
      <c r="P40" s="2">
        <v>9</v>
      </c>
      <c r="Q40" s="4">
        <f>'Choix des organes'!F61</f>
        <v>1.8000000000000001E-4</v>
      </c>
      <c r="R40" s="4">
        <f t="shared" si="2"/>
        <v>18</v>
      </c>
    </row>
    <row r="41" spans="1:18" ht="58.15" customHeight="1">
      <c r="A41" s="172"/>
      <c r="B41" s="25" t="s">
        <v>251</v>
      </c>
      <c r="C41" s="8">
        <v>0.9</v>
      </c>
      <c r="D41" s="6">
        <f>'Damètre conduites'!H31</f>
        <v>150</v>
      </c>
      <c r="E41" s="6">
        <f>'Damètre conduites'!K31</f>
        <v>9</v>
      </c>
      <c r="F41" s="53">
        <f>C41*E41/100000</f>
        <v>8.099999999999999E-5</v>
      </c>
      <c r="G41">
        <f>C41*'Damètre conduites'!I$31</f>
        <v>1.5904312808798327E-2</v>
      </c>
      <c r="H41" s="172"/>
      <c r="I41" s="51" t="s">
        <v>210</v>
      </c>
      <c r="J41" s="4">
        <v>1.3</v>
      </c>
      <c r="K41" s="12">
        <v>1000</v>
      </c>
      <c r="L41" s="15">
        <f>'Damètre conduites'!L28</f>
        <v>0.6460679337049765</v>
      </c>
      <c r="M41" s="52">
        <f t="shared" ref="M41:M57" si="3">(J41*K41*L41^2)/2/100000</f>
        <v>2.7131245372518163E-3</v>
      </c>
      <c r="O41" s="182"/>
      <c r="P41" s="2">
        <v>10</v>
      </c>
      <c r="Q41" s="4" t="s">
        <v>3</v>
      </c>
      <c r="R41" s="4" t="s">
        <v>3</v>
      </c>
    </row>
    <row r="42" spans="1:18" ht="58.15" customHeight="1">
      <c r="A42" s="172" t="s">
        <v>155</v>
      </c>
      <c r="B42" s="92" t="s">
        <v>153</v>
      </c>
      <c r="C42" s="8">
        <f>C32-0.3</f>
        <v>3.25</v>
      </c>
      <c r="D42" s="6">
        <f t="shared" ref="D42:E48" si="4">D32</f>
        <v>65</v>
      </c>
      <c r="E42" s="6">
        <f t="shared" si="4"/>
        <v>80</v>
      </c>
      <c r="F42" s="53">
        <f t="shared" ref="F42:F51" si="5">C42*E42/100000</f>
        <v>2.5999999999999999E-3</v>
      </c>
      <c r="H42" s="172"/>
      <c r="I42" s="12" t="s">
        <v>211</v>
      </c>
      <c r="J42" s="4">
        <v>1.3</v>
      </c>
      <c r="K42" s="12">
        <v>1000</v>
      </c>
      <c r="L42" s="15">
        <f>L41</f>
        <v>0.6460679337049765</v>
      </c>
      <c r="M42" s="52">
        <f t="shared" si="3"/>
        <v>2.7131245372518163E-3</v>
      </c>
      <c r="O42" s="182"/>
      <c r="P42" s="2">
        <v>11</v>
      </c>
      <c r="Q42" s="4" t="s">
        <v>3</v>
      </c>
      <c r="R42" s="4" t="s">
        <v>3</v>
      </c>
    </row>
    <row r="43" spans="1:18">
      <c r="A43" s="172"/>
      <c r="B43" s="89" t="s">
        <v>186</v>
      </c>
      <c r="C43" s="8">
        <f>C42</f>
        <v>3.25</v>
      </c>
      <c r="D43" s="6">
        <f t="shared" si="4"/>
        <v>65</v>
      </c>
      <c r="E43" s="6">
        <f t="shared" si="4"/>
        <v>80</v>
      </c>
      <c r="F43" s="53">
        <f t="shared" si="5"/>
        <v>2.5999999999999999E-3</v>
      </c>
      <c r="H43" s="172"/>
      <c r="I43" s="51" t="s">
        <v>212</v>
      </c>
      <c r="J43" s="4">
        <v>1.3</v>
      </c>
      <c r="K43" s="12">
        <v>1000</v>
      </c>
      <c r="L43" s="15">
        <f>L42</f>
        <v>0.6460679337049765</v>
      </c>
      <c r="M43" s="52">
        <f t="shared" si="3"/>
        <v>2.7131245372518163E-3</v>
      </c>
      <c r="O43" s="182"/>
      <c r="P43" s="2">
        <v>12</v>
      </c>
      <c r="Q43" s="4" t="s">
        <v>3</v>
      </c>
      <c r="R43" s="4" t="s">
        <v>3</v>
      </c>
    </row>
    <row r="44" spans="1:18">
      <c r="A44" s="172"/>
      <c r="B44" s="89" t="s">
        <v>187</v>
      </c>
      <c r="C44" s="8">
        <f>C42</f>
        <v>3.25</v>
      </c>
      <c r="D44" s="6">
        <f t="shared" si="4"/>
        <v>65</v>
      </c>
      <c r="E44" s="6">
        <f t="shared" si="4"/>
        <v>80</v>
      </c>
      <c r="F44" s="53">
        <f t="shared" si="5"/>
        <v>2.5999999999999999E-3</v>
      </c>
      <c r="H44" s="172"/>
      <c r="I44" s="12" t="s">
        <v>213</v>
      </c>
      <c r="J44" s="4">
        <v>1.3</v>
      </c>
      <c r="K44" s="12">
        <v>1000</v>
      </c>
      <c r="L44" s="15">
        <f>L43</f>
        <v>0.6460679337049765</v>
      </c>
      <c r="M44" s="52">
        <f t="shared" si="3"/>
        <v>2.7131245372518163E-3</v>
      </c>
      <c r="O44" s="182"/>
      <c r="P44" s="2">
        <v>13</v>
      </c>
      <c r="Q44" s="4">
        <f>'Choix des organes'!F65</f>
        <v>8.9999999999999998E-4</v>
      </c>
      <c r="R44" s="4">
        <f t="shared" ref="R44:R49" si="6">Q44*100000</f>
        <v>90</v>
      </c>
    </row>
    <row r="45" spans="1:18">
      <c r="A45" s="172"/>
      <c r="B45" s="89" t="s">
        <v>188</v>
      </c>
      <c r="C45" s="8">
        <f>C35</f>
        <v>1.3</v>
      </c>
      <c r="D45" s="6">
        <f t="shared" si="4"/>
        <v>65</v>
      </c>
      <c r="E45" s="6">
        <f t="shared" si="4"/>
        <v>80</v>
      </c>
      <c r="F45" s="53">
        <f t="shared" si="5"/>
        <v>1.0399999999999999E-3</v>
      </c>
      <c r="H45" s="172"/>
      <c r="I45" s="51" t="s">
        <v>214</v>
      </c>
      <c r="J45" s="4">
        <v>1.3</v>
      </c>
      <c r="K45" s="12">
        <v>1000</v>
      </c>
      <c r="L45" s="15">
        <f>L44</f>
        <v>0.6460679337049765</v>
      </c>
      <c r="M45" s="52">
        <f t="shared" si="3"/>
        <v>2.7131245372518163E-3</v>
      </c>
      <c r="O45" s="182"/>
      <c r="P45" s="2">
        <v>14</v>
      </c>
      <c r="Q45" s="4">
        <f>'Choix des organes'!F66</f>
        <v>8.9999999999999998E-4</v>
      </c>
      <c r="R45" s="4">
        <f t="shared" si="6"/>
        <v>90</v>
      </c>
    </row>
    <row r="46" spans="1:18">
      <c r="A46" s="172"/>
      <c r="B46" s="89" t="s">
        <v>189</v>
      </c>
      <c r="C46" s="8">
        <f>C45</f>
        <v>1.3</v>
      </c>
      <c r="D46" s="6">
        <f t="shared" si="4"/>
        <v>0</v>
      </c>
      <c r="E46" s="6">
        <f t="shared" si="4"/>
        <v>0</v>
      </c>
      <c r="F46" s="53">
        <f t="shared" si="5"/>
        <v>0</v>
      </c>
      <c r="H46" s="172"/>
      <c r="I46" s="12" t="s">
        <v>215</v>
      </c>
      <c r="J46" s="4">
        <v>1.3</v>
      </c>
      <c r="K46" s="12">
        <v>1000</v>
      </c>
      <c r="L46" s="15">
        <f t="shared" ref="L46:L48" si="7">L45</f>
        <v>0.6460679337049765</v>
      </c>
      <c r="M46" s="52">
        <f t="shared" si="3"/>
        <v>2.7131245372518163E-3</v>
      </c>
      <c r="O46" s="182"/>
      <c r="P46" s="2">
        <v>15</v>
      </c>
      <c r="Q46" s="4">
        <f>'Choix des organes'!F67</f>
        <v>8.9999999999999998E-4</v>
      </c>
      <c r="R46" s="4">
        <f t="shared" si="6"/>
        <v>90</v>
      </c>
    </row>
    <row r="47" spans="1:18" ht="14.25" customHeight="1">
      <c r="A47" s="172"/>
      <c r="B47" s="89" t="s">
        <v>190</v>
      </c>
      <c r="C47" s="8">
        <f>C37+C39-0.3</f>
        <v>1.0999999999999999</v>
      </c>
      <c r="D47" s="6">
        <f t="shared" si="4"/>
        <v>150</v>
      </c>
      <c r="E47" s="6">
        <f t="shared" si="4"/>
        <v>9</v>
      </c>
      <c r="F47" s="53">
        <f t="shared" si="5"/>
        <v>9.899999999999998E-5</v>
      </c>
      <c r="H47" s="172"/>
      <c r="I47" s="12" t="s">
        <v>290</v>
      </c>
      <c r="J47" s="4">
        <v>1.3</v>
      </c>
      <c r="K47" s="12">
        <v>1000</v>
      </c>
      <c r="L47" s="15">
        <f t="shared" si="7"/>
        <v>0.6460679337049765</v>
      </c>
      <c r="M47" s="52">
        <f t="shared" si="3"/>
        <v>2.7131245372518163E-3</v>
      </c>
      <c r="O47" s="182"/>
      <c r="P47" s="2">
        <v>16</v>
      </c>
      <c r="Q47" s="4">
        <f>'Choix des organes'!F68</f>
        <v>8.0000000000000004E-4</v>
      </c>
      <c r="R47" s="4">
        <f t="shared" si="6"/>
        <v>80</v>
      </c>
    </row>
    <row r="48" spans="1:18">
      <c r="A48" s="172"/>
      <c r="B48" s="89" t="s">
        <v>191</v>
      </c>
      <c r="C48" s="8">
        <f>C38-C41-1-1-0.5</f>
        <v>2.5999999999999996</v>
      </c>
      <c r="D48" s="6">
        <f t="shared" si="4"/>
        <v>150</v>
      </c>
      <c r="E48" s="6">
        <f t="shared" si="4"/>
        <v>9</v>
      </c>
      <c r="F48" s="53">
        <f t="shared" si="5"/>
        <v>2.34E-4</v>
      </c>
      <c r="H48" s="172"/>
      <c r="I48" s="12" t="s">
        <v>220</v>
      </c>
      <c r="J48" s="4">
        <v>1.3</v>
      </c>
      <c r="K48" s="12">
        <v>1000</v>
      </c>
      <c r="L48" s="15">
        <f t="shared" si="7"/>
        <v>0.6460679337049765</v>
      </c>
      <c r="M48" s="52">
        <f t="shared" si="3"/>
        <v>2.7131245372518163E-3</v>
      </c>
      <c r="O48" s="182"/>
      <c r="P48" s="2">
        <v>17</v>
      </c>
      <c r="Q48" s="4">
        <f>'Choix des organes'!F69</f>
        <v>8.0000000000000004E-4</v>
      </c>
      <c r="R48" s="4">
        <f t="shared" si="6"/>
        <v>80</v>
      </c>
    </row>
    <row r="49" spans="1:18" ht="28.9" customHeight="1">
      <c r="A49" s="172"/>
      <c r="B49" s="89" t="s">
        <v>252</v>
      </c>
      <c r="C49" s="8">
        <f>C40-0.3</f>
        <v>4.4000000000000004</v>
      </c>
      <c r="D49" s="6">
        <f>D48</f>
        <v>150</v>
      </c>
      <c r="E49" s="6">
        <f>E48</f>
        <v>9</v>
      </c>
      <c r="F49" s="53">
        <f t="shared" si="5"/>
        <v>3.9600000000000003E-4</v>
      </c>
      <c r="H49" s="172" t="s">
        <v>203</v>
      </c>
      <c r="I49" s="51" t="s">
        <v>263</v>
      </c>
      <c r="J49" s="4">
        <v>0.74</v>
      </c>
      <c r="K49" s="12">
        <v>1000</v>
      </c>
      <c r="L49" s="15">
        <f>L51</f>
        <v>0.79070929502096854</v>
      </c>
      <c r="M49" s="116">
        <f>(J49*K49*L49^2)/2/100000</f>
        <v>2.3133184001604612E-3</v>
      </c>
      <c r="N49">
        <f>L50/L38</f>
        <v>1.9496974013909401</v>
      </c>
      <c r="O49" s="183"/>
      <c r="P49" s="2">
        <v>18</v>
      </c>
      <c r="Q49" s="4">
        <f>'Choix des organes'!F70</f>
        <v>8.0000000000000004E-4</v>
      </c>
      <c r="R49" s="4">
        <f t="shared" si="6"/>
        <v>80</v>
      </c>
    </row>
    <row r="50" spans="1:18">
      <c r="A50" s="172"/>
      <c r="B50" s="89" t="s">
        <v>253</v>
      </c>
      <c r="C50" s="8">
        <v>0.5</v>
      </c>
      <c r="D50" s="6">
        <f>D49</f>
        <v>150</v>
      </c>
      <c r="E50" s="6">
        <f>E49</f>
        <v>9</v>
      </c>
      <c r="F50" s="53">
        <f t="shared" si="5"/>
        <v>4.5000000000000003E-5</v>
      </c>
      <c r="H50" s="172"/>
      <c r="I50" s="51" t="s">
        <v>285</v>
      </c>
      <c r="J50" s="4">
        <v>1.3</v>
      </c>
      <c r="K50" s="12">
        <f>K49</f>
        <v>1000</v>
      </c>
      <c r="L50" s="15">
        <f>L49</f>
        <v>0.79070929502096854</v>
      </c>
      <c r="M50" s="116">
        <f>(J50*K50*L50^2)/2/100000</f>
        <v>4.0639377300116216E-3</v>
      </c>
      <c r="O50" s="179" t="s">
        <v>66</v>
      </c>
      <c r="P50" s="2">
        <v>1</v>
      </c>
      <c r="Q50" s="4">
        <f>'Choix des organes'!E31</f>
        <v>6.0000000000000001E-3</v>
      </c>
      <c r="R50" s="4">
        <f t="shared" ref="R50:R55" si="8">Q50*100000</f>
        <v>600</v>
      </c>
    </row>
    <row r="51" spans="1:18" ht="14.45" customHeight="1">
      <c r="A51" s="169" t="s">
        <v>178</v>
      </c>
      <c r="B51" s="92" t="s">
        <v>272</v>
      </c>
      <c r="C51" s="8">
        <f>C69</f>
        <v>4.7</v>
      </c>
      <c r="D51" s="6">
        <f>D52</f>
        <v>40</v>
      </c>
      <c r="E51" s="6">
        <f>E52</f>
        <v>105</v>
      </c>
      <c r="F51" s="53">
        <f t="shared" si="5"/>
        <v>4.9350000000000002E-3</v>
      </c>
      <c r="G51">
        <f>+'Damètre conduites'!I$28</f>
        <v>1.2566370614359172E-3</v>
      </c>
      <c r="H51" s="172"/>
      <c r="I51" s="51" t="s">
        <v>216</v>
      </c>
      <c r="J51" s="4">
        <v>1.3</v>
      </c>
      <c r="K51" s="12">
        <v>1000</v>
      </c>
      <c r="L51" s="10">
        <f>'Damètre conduites'!L27</f>
        <v>0.79070929502096854</v>
      </c>
      <c r="M51" s="52">
        <f t="shared" si="3"/>
        <v>4.0639377300116216E-3</v>
      </c>
      <c r="O51" s="179"/>
      <c r="P51" s="2">
        <v>2</v>
      </c>
      <c r="Q51" s="4">
        <f>'Choix des organes'!E32</f>
        <v>6.0000000000000001E-3</v>
      </c>
      <c r="R51" s="4">
        <f t="shared" si="8"/>
        <v>600</v>
      </c>
    </row>
    <row r="52" spans="1:18">
      <c r="A52" s="170"/>
      <c r="B52" s="89" t="s">
        <v>192</v>
      </c>
      <c r="C52" s="8">
        <f>C107-0.1</f>
        <v>5.5000000000000018</v>
      </c>
      <c r="D52" s="6">
        <f>'Damètre conduites'!$H$28</f>
        <v>40</v>
      </c>
      <c r="E52" s="6">
        <f>'Damètre conduites'!$K$28</f>
        <v>105</v>
      </c>
      <c r="F52" s="53">
        <f t="shared" ref="F52:F84" si="9">C52*E52/100000</f>
        <v>5.7750000000000024E-3</v>
      </c>
      <c r="G52">
        <f>+'Damètre conduites'!I$28</f>
        <v>1.2566370614359172E-3</v>
      </c>
      <c r="H52" s="172"/>
      <c r="I52" s="51" t="s">
        <v>217</v>
      </c>
      <c r="J52" s="4">
        <v>1.3</v>
      </c>
      <c r="K52" s="12">
        <v>1000</v>
      </c>
      <c r="L52" s="15">
        <v>0.79100000000000004</v>
      </c>
      <c r="M52" s="52">
        <f t="shared" si="3"/>
        <v>4.0669265E-3</v>
      </c>
      <c r="O52" s="179"/>
      <c r="P52" s="2">
        <v>3</v>
      </c>
      <c r="Q52" s="4">
        <f>'Choix des organes'!E33</f>
        <v>6.0000000000000001E-3</v>
      </c>
      <c r="R52" s="4">
        <f t="shared" si="8"/>
        <v>600</v>
      </c>
    </row>
    <row r="53" spans="1:18">
      <c r="A53" s="170"/>
      <c r="B53" s="89" t="s">
        <v>193</v>
      </c>
      <c r="C53" s="8">
        <v>8.8000000000000007</v>
      </c>
      <c r="D53" s="6">
        <f>'Damètre conduites'!$H$28</f>
        <v>40</v>
      </c>
      <c r="E53" s="6">
        <f>'Damètre conduites'!$K$28</f>
        <v>105</v>
      </c>
      <c r="F53" s="53">
        <f t="shared" si="9"/>
        <v>9.2400000000000017E-3</v>
      </c>
      <c r="G53">
        <f>+'Damètre conduites'!I$28</f>
        <v>1.2566370614359172E-3</v>
      </c>
      <c r="H53" s="172"/>
      <c r="I53" s="51" t="s">
        <v>218</v>
      </c>
      <c r="J53" s="4">
        <v>1.3</v>
      </c>
      <c r="K53" s="12">
        <v>1000</v>
      </c>
      <c r="L53" s="15">
        <v>0.79100000000000004</v>
      </c>
      <c r="M53" s="52">
        <f t="shared" si="3"/>
        <v>4.0669265E-3</v>
      </c>
      <c r="O53" s="180" t="s">
        <v>55</v>
      </c>
      <c r="P53" s="2">
        <v>1</v>
      </c>
      <c r="Q53" s="4">
        <f>'Choix des organes'!O53</f>
        <v>2.5000000000000001E-3</v>
      </c>
      <c r="R53" s="4">
        <f t="shared" si="8"/>
        <v>250</v>
      </c>
    </row>
    <row r="54" spans="1:18" ht="15" customHeight="1">
      <c r="A54" s="170"/>
      <c r="B54" s="89" t="s">
        <v>194</v>
      </c>
      <c r="C54" s="8">
        <v>3.2</v>
      </c>
      <c r="D54" s="6">
        <f>'Damètre conduites'!$H$28</f>
        <v>40</v>
      </c>
      <c r="E54" s="6">
        <f>'Damètre conduites'!$K$28</f>
        <v>105</v>
      </c>
      <c r="F54" s="53">
        <f t="shared" si="9"/>
        <v>3.3600000000000001E-3</v>
      </c>
      <c r="G54">
        <f>+'Damètre conduites'!I$28</f>
        <v>1.2566370614359172E-3</v>
      </c>
      <c r="H54" s="172"/>
      <c r="I54" s="12" t="s">
        <v>219</v>
      </c>
      <c r="J54" s="4">
        <v>1.3</v>
      </c>
      <c r="K54" s="12">
        <v>1000</v>
      </c>
      <c r="L54" s="15">
        <v>0.79100000000000004</v>
      </c>
      <c r="M54" s="52">
        <f t="shared" si="3"/>
        <v>4.0669265E-3</v>
      </c>
      <c r="O54" s="180"/>
      <c r="P54" s="2">
        <v>2</v>
      </c>
      <c r="Q54" s="4">
        <f>'Choix des organes'!O54</f>
        <v>2.5000000000000001E-3</v>
      </c>
      <c r="R54" s="4">
        <f t="shared" si="8"/>
        <v>250</v>
      </c>
    </row>
    <row r="55" spans="1:18" ht="29.1" customHeight="1">
      <c r="A55" s="170"/>
      <c r="B55" s="89" t="s">
        <v>195</v>
      </c>
      <c r="C55" s="8">
        <f>C64</f>
        <v>0.9</v>
      </c>
      <c r="D55" s="6">
        <f>'Damètre conduites'!$H$28</f>
        <v>40</v>
      </c>
      <c r="E55" s="6">
        <f>'Damètre conduites'!$K$28</f>
        <v>105</v>
      </c>
      <c r="F55" s="53">
        <f t="shared" si="9"/>
        <v>9.4499999999999998E-4</v>
      </c>
      <c r="G55">
        <f>+'Damètre conduites'!I$28</f>
        <v>1.2566370614359172E-3</v>
      </c>
      <c r="H55" s="172"/>
      <c r="I55" s="51" t="s">
        <v>241</v>
      </c>
      <c r="J55" s="4">
        <v>1.5</v>
      </c>
      <c r="K55" s="12">
        <v>1000</v>
      </c>
      <c r="L55" s="15">
        <v>0.79100000000000004</v>
      </c>
      <c r="M55" s="52">
        <f t="shared" si="3"/>
        <v>4.6926075000000003E-3</v>
      </c>
      <c r="O55" s="180"/>
      <c r="P55" s="2">
        <v>3</v>
      </c>
      <c r="Q55" s="4">
        <f>'Choix des organes'!O55</f>
        <v>2.5000000000000001E-3</v>
      </c>
      <c r="R55" s="4">
        <f t="shared" si="8"/>
        <v>250</v>
      </c>
    </row>
    <row r="56" spans="1:18">
      <c r="A56" s="170"/>
      <c r="B56" s="89" t="s">
        <v>196</v>
      </c>
      <c r="C56" s="8">
        <f>C65+0.3</f>
        <v>0.89999999999999991</v>
      </c>
      <c r="D56" s="6">
        <f>'Damètre conduites'!$H$28</f>
        <v>40</v>
      </c>
      <c r="E56" s="6">
        <f>'Damètre conduites'!$K$28</f>
        <v>105</v>
      </c>
      <c r="F56" s="53">
        <f t="shared" si="9"/>
        <v>9.4499999999999988E-4</v>
      </c>
      <c r="G56">
        <f>+'Damètre conduites'!I$28</f>
        <v>1.2566370614359172E-3</v>
      </c>
      <c r="H56" s="172"/>
      <c r="I56" s="51" t="s">
        <v>292</v>
      </c>
      <c r="J56" s="4">
        <v>1.3</v>
      </c>
      <c r="K56" s="12">
        <v>1000</v>
      </c>
      <c r="L56" s="15">
        <v>0.79100000000000004</v>
      </c>
      <c r="M56" s="52">
        <f t="shared" si="3"/>
        <v>4.0669265E-3</v>
      </c>
      <c r="O56" s="11" t="s">
        <v>69</v>
      </c>
      <c r="P56" s="4">
        <v>1</v>
      </c>
      <c r="Q56" s="12">
        <f>R56/100000</f>
        <v>8.0000000000000004E-4</v>
      </c>
      <c r="R56" s="4">
        <v>80</v>
      </c>
    </row>
    <row r="57" spans="1:18">
      <c r="A57" s="170"/>
      <c r="B57" s="89" t="s">
        <v>197</v>
      </c>
      <c r="C57" s="8">
        <v>2.5</v>
      </c>
      <c r="D57" s="6">
        <f>'Damètre conduites'!$H$28</f>
        <v>40</v>
      </c>
      <c r="E57" s="6">
        <f>'Damètre conduites'!$K$28</f>
        <v>105</v>
      </c>
      <c r="F57" s="53">
        <f t="shared" si="9"/>
        <v>2.6250000000000002E-3</v>
      </c>
      <c r="G57">
        <f>+'Damètre conduites'!I$28</f>
        <v>1.2566370614359172E-3</v>
      </c>
      <c r="H57" s="172"/>
      <c r="I57" s="51" t="s">
        <v>293</v>
      </c>
      <c r="J57" s="4">
        <v>1.3</v>
      </c>
      <c r="K57" s="12">
        <v>1000</v>
      </c>
      <c r="L57" s="15">
        <v>0.79100000000000004</v>
      </c>
      <c r="M57" s="52">
        <f t="shared" si="3"/>
        <v>4.0669265E-3</v>
      </c>
      <c r="O57" s="11" t="s">
        <v>14</v>
      </c>
      <c r="P57" s="4">
        <v>1</v>
      </c>
      <c r="Q57" s="12">
        <f>R57/100000</f>
        <v>7.3999999999999999E-4</v>
      </c>
      <c r="R57" s="4">
        <v>74</v>
      </c>
    </row>
    <row r="58" spans="1:18" ht="14.25" customHeight="1">
      <c r="A58" s="170"/>
      <c r="B58" s="90" t="s">
        <v>150</v>
      </c>
      <c r="C58" s="8">
        <f>C67-0.1</f>
        <v>4.2</v>
      </c>
      <c r="D58" s="6">
        <f>'Damètre conduites'!$H$28</f>
        <v>40</v>
      </c>
      <c r="E58" s="6">
        <f>'Damètre conduites'!$K$28</f>
        <v>105</v>
      </c>
      <c r="F58" s="53">
        <f t="shared" si="9"/>
        <v>4.4099999999999999E-3</v>
      </c>
      <c r="G58">
        <f>+'Damètre conduites'!I$28</f>
        <v>1.2566370614359172E-3</v>
      </c>
      <c r="H58" s="172" t="s">
        <v>178</v>
      </c>
      <c r="I58" s="12" t="s">
        <v>288</v>
      </c>
      <c r="J58" s="4">
        <v>0.74</v>
      </c>
      <c r="K58" s="12">
        <v>1000</v>
      </c>
      <c r="L58" s="15">
        <f>'Damètre conduites'!L31</f>
        <v>0.40555487967356679</v>
      </c>
      <c r="M58" s="52">
        <f>(J58*K58*L58^2)/2/100000</f>
        <v>6.0855661358005255E-4</v>
      </c>
      <c r="N58">
        <f>L59/L38</f>
        <v>1.5930468749999998</v>
      </c>
      <c r="O58" s="137" t="s">
        <v>4</v>
      </c>
      <c r="P58" s="137"/>
      <c r="Q58" s="137"/>
      <c r="R58" s="17">
        <f>SUM(R32:R57)</f>
        <v>4072</v>
      </c>
    </row>
    <row r="59" spans="1:18" ht="15" customHeight="1">
      <c r="A59" s="171"/>
      <c r="B59" s="90" t="s">
        <v>298</v>
      </c>
      <c r="C59" s="8">
        <f>5.09-0.6</f>
        <v>4.49</v>
      </c>
      <c r="D59" s="6">
        <f>'Damètre conduites'!$H$28</f>
        <v>40</v>
      </c>
      <c r="E59" s="6">
        <f>'Damètre conduites'!$K$28</f>
        <v>105</v>
      </c>
      <c r="F59" s="53">
        <f t="shared" si="9"/>
        <v>4.7145000000000008E-3</v>
      </c>
      <c r="G59">
        <f>+'Damètre conduites'!I$28</f>
        <v>1.2566370614359172E-3</v>
      </c>
      <c r="H59" s="172"/>
      <c r="I59" s="12" t="s">
        <v>289</v>
      </c>
      <c r="J59" s="4">
        <f>1.3</f>
        <v>1.3</v>
      </c>
      <c r="K59" s="12">
        <v>1000</v>
      </c>
      <c r="L59" s="15">
        <f>'Damètre conduites'!L28</f>
        <v>0.6460679337049765</v>
      </c>
      <c r="M59" s="52">
        <f t="shared" ref="M59" si="10">(J59*K59*L59^2)/2/100000</f>
        <v>2.7131245372518163E-3</v>
      </c>
    </row>
    <row r="60" spans="1:18" ht="29.1" customHeight="1">
      <c r="A60" s="169" t="s">
        <v>177</v>
      </c>
      <c r="B60" s="89" t="s">
        <v>275</v>
      </c>
      <c r="C60" s="8">
        <f>C69</f>
        <v>4.7</v>
      </c>
      <c r="D60" s="6">
        <f>D58</f>
        <v>40</v>
      </c>
      <c r="E60" s="6">
        <f>E58</f>
        <v>105</v>
      </c>
      <c r="F60" s="53">
        <f t="shared" si="9"/>
        <v>4.9350000000000002E-3</v>
      </c>
      <c r="H60" s="172"/>
      <c r="I60" s="12" t="s">
        <v>221</v>
      </c>
      <c r="J60" s="12">
        <v>1.3</v>
      </c>
      <c r="K60" s="12">
        <v>1000</v>
      </c>
      <c r="L60" s="15">
        <f t="shared" ref="L60:L67" si="11">0.646</f>
        <v>0.64600000000000002</v>
      </c>
      <c r="M60" s="52">
        <f t="shared" ref="M60:M76" si="12">(J60*K60*L60^2)/2/100000</f>
        <v>2.7125540000000003E-3</v>
      </c>
    </row>
    <row r="61" spans="1:18" ht="14.65" customHeight="1">
      <c r="A61" s="170"/>
      <c r="B61" s="89" t="s">
        <v>167</v>
      </c>
      <c r="C61" s="94">
        <f>C101-0.1</f>
        <v>5.9</v>
      </c>
      <c r="D61" s="6">
        <f>'Damètre conduites'!$H$28</f>
        <v>40</v>
      </c>
      <c r="E61" s="6">
        <f>'Damètre conduites'!$K$28</f>
        <v>105</v>
      </c>
      <c r="F61" s="53">
        <f t="shared" si="9"/>
        <v>6.195E-3</v>
      </c>
      <c r="H61" s="172"/>
      <c r="I61" s="51" t="s">
        <v>222</v>
      </c>
      <c r="J61" s="12">
        <v>1.3</v>
      </c>
      <c r="K61" s="12">
        <v>1000</v>
      </c>
      <c r="L61" s="15">
        <f t="shared" si="11"/>
        <v>0.64600000000000002</v>
      </c>
      <c r="M61" s="52">
        <f t="shared" si="12"/>
        <v>2.7125540000000003E-3</v>
      </c>
    </row>
    <row r="62" spans="1:18" ht="29.1" customHeight="1">
      <c r="A62" s="170"/>
      <c r="B62" s="93" t="s">
        <v>168</v>
      </c>
      <c r="C62" s="8">
        <v>10.5</v>
      </c>
      <c r="D62" s="6">
        <f>'Damètre conduites'!$H$28</f>
        <v>40</v>
      </c>
      <c r="E62" s="6">
        <f>'Damètre conduites'!$K$28</f>
        <v>105</v>
      </c>
      <c r="F62" s="53">
        <f t="shared" si="9"/>
        <v>1.1025E-2</v>
      </c>
      <c r="H62" s="172"/>
      <c r="I62" s="12" t="s">
        <v>223</v>
      </c>
      <c r="J62" s="12">
        <v>1.3</v>
      </c>
      <c r="K62" s="12">
        <v>1000</v>
      </c>
      <c r="L62" s="15">
        <f t="shared" si="11"/>
        <v>0.64600000000000002</v>
      </c>
      <c r="M62" s="52">
        <f t="shared" si="12"/>
        <v>2.7125540000000003E-3</v>
      </c>
    </row>
    <row r="63" spans="1:18">
      <c r="A63" s="170"/>
      <c r="B63" s="89" t="s">
        <v>169</v>
      </c>
      <c r="C63" s="8">
        <f>C54</f>
        <v>3.2</v>
      </c>
      <c r="D63" s="6">
        <f>'Damètre conduites'!$H$28</f>
        <v>40</v>
      </c>
      <c r="E63" s="6">
        <f>'Damètre conduites'!$K$28</f>
        <v>105</v>
      </c>
      <c r="F63" s="53">
        <f t="shared" si="9"/>
        <v>3.3600000000000001E-3</v>
      </c>
      <c r="H63" s="172"/>
      <c r="I63" s="51" t="s">
        <v>224</v>
      </c>
      <c r="J63" s="12">
        <v>1.3</v>
      </c>
      <c r="K63" s="12">
        <v>1000</v>
      </c>
      <c r="L63" s="15">
        <f t="shared" si="11"/>
        <v>0.64600000000000002</v>
      </c>
      <c r="M63" s="52">
        <f t="shared" si="12"/>
        <v>2.7125540000000003E-3</v>
      </c>
    </row>
    <row r="64" spans="1:18">
      <c r="A64" s="170"/>
      <c r="B64" s="89" t="s">
        <v>170</v>
      </c>
      <c r="C64" s="8">
        <v>0.9</v>
      </c>
      <c r="D64" s="6">
        <f>'Damètre conduites'!$H$28</f>
        <v>40</v>
      </c>
      <c r="E64" s="6">
        <f>'Damètre conduites'!$K$28</f>
        <v>105</v>
      </c>
      <c r="F64" s="53">
        <f t="shared" si="9"/>
        <v>9.4499999999999998E-4</v>
      </c>
      <c r="H64" s="172"/>
      <c r="I64" s="12" t="s">
        <v>225</v>
      </c>
      <c r="J64" s="12">
        <v>1.3</v>
      </c>
      <c r="K64" s="12">
        <v>1000</v>
      </c>
      <c r="L64" s="15">
        <f t="shared" si="11"/>
        <v>0.64600000000000002</v>
      </c>
      <c r="M64" s="52">
        <f t="shared" si="12"/>
        <v>2.7125540000000003E-3</v>
      </c>
    </row>
    <row r="65" spans="1:14">
      <c r="A65" s="170"/>
      <c r="B65" s="89" t="s">
        <v>171</v>
      </c>
      <c r="C65" s="8">
        <v>0.6</v>
      </c>
      <c r="D65" s="6">
        <f>'Damètre conduites'!$H$28</f>
        <v>40</v>
      </c>
      <c r="E65" s="6">
        <f>'Damètre conduites'!$K$28</f>
        <v>105</v>
      </c>
      <c r="F65" s="53">
        <f t="shared" si="9"/>
        <v>6.3000000000000003E-4</v>
      </c>
      <c r="H65" s="172"/>
      <c r="I65" s="51" t="s">
        <v>226</v>
      </c>
      <c r="J65" s="12">
        <v>1.3</v>
      </c>
      <c r="K65" s="12">
        <v>1000</v>
      </c>
      <c r="L65" s="15">
        <f t="shared" si="11"/>
        <v>0.64600000000000002</v>
      </c>
      <c r="M65" s="52">
        <f t="shared" si="12"/>
        <v>2.7125540000000003E-3</v>
      </c>
    </row>
    <row r="66" spans="1:14">
      <c r="A66" s="170"/>
      <c r="B66" s="89" t="s">
        <v>172</v>
      </c>
      <c r="C66" s="8">
        <f>C57</f>
        <v>2.5</v>
      </c>
      <c r="D66" s="6">
        <f>'Damètre conduites'!$H$28</f>
        <v>40</v>
      </c>
      <c r="E66" s="6">
        <f>'Damètre conduites'!$K$28</f>
        <v>105</v>
      </c>
      <c r="F66" s="53">
        <f t="shared" si="9"/>
        <v>2.6250000000000002E-3</v>
      </c>
      <c r="H66" s="172"/>
      <c r="I66" s="51" t="s">
        <v>291</v>
      </c>
      <c r="J66" s="12">
        <v>1.3</v>
      </c>
      <c r="K66" s="12">
        <v>1000</v>
      </c>
      <c r="L66" s="15">
        <f t="shared" si="11"/>
        <v>0.64600000000000002</v>
      </c>
      <c r="M66" s="52">
        <f t="shared" si="12"/>
        <v>2.7125540000000003E-3</v>
      </c>
    </row>
    <row r="67" spans="1:14" ht="29.1" customHeight="1">
      <c r="A67" s="170"/>
      <c r="B67" s="89" t="s">
        <v>162</v>
      </c>
      <c r="C67" s="8">
        <v>4.3</v>
      </c>
      <c r="D67" s="6">
        <f>'Damètre conduites'!$H$28</f>
        <v>40</v>
      </c>
      <c r="E67" s="6">
        <f>'Damètre conduites'!$K$28</f>
        <v>105</v>
      </c>
      <c r="F67" s="53">
        <f t="shared" si="9"/>
        <v>4.5149999999999999E-3</v>
      </c>
      <c r="H67" s="172"/>
      <c r="I67" s="51" t="s">
        <v>294</v>
      </c>
      <c r="J67" s="12">
        <v>1.3</v>
      </c>
      <c r="K67" s="12">
        <v>1000</v>
      </c>
      <c r="L67" s="15">
        <f t="shared" si="11"/>
        <v>0.64600000000000002</v>
      </c>
      <c r="M67" s="52">
        <f t="shared" si="12"/>
        <v>2.7125540000000003E-3</v>
      </c>
    </row>
    <row r="68" spans="1:14" ht="14.45" customHeight="1">
      <c r="A68" s="171"/>
      <c r="B68" s="89" t="s">
        <v>163</v>
      </c>
      <c r="C68" s="8">
        <f>5.09-0.6</f>
        <v>4.49</v>
      </c>
      <c r="D68" s="6">
        <f>'Damètre conduites'!$H$28</f>
        <v>40</v>
      </c>
      <c r="E68" s="6">
        <f>'Damètre conduites'!$K$28</f>
        <v>105</v>
      </c>
      <c r="F68" s="53">
        <f t="shared" si="9"/>
        <v>4.7145000000000008E-3</v>
      </c>
      <c r="H68" s="172" t="s">
        <v>202</v>
      </c>
      <c r="I68" s="12" t="s">
        <v>286</v>
      </c>
      <c r="J68" s="4">
        <v>0.74</v>
      </c>
      <c r="K68" s="12">
        <v>1000</v>
      </c>
      <c r="L68" s="15">
        <f>L38</f>
        <v>0.40555487967356679</v>
      </c>
      <c r="M68" s="52">
        <f>(J68*K68*L68^2)/2/100000</f>
        <v>6.0855661358005255E-4</v>
      </c>
      <c r="N68">
        <f>L69/L38</f>
        <v>1.9496974013909401</v>
      </c>
    </row>
    <row r="69" spans="1:14" ht="29.1" customHeight="1">
      <c r="A69" s="169" t="s">
        <v>202</v>
      </c>
      <c r="B69" s="92" t="s">
        <v>278</v>
      </c>
      <c r="C69" s="8">
        <f>C40</f>
        <v>4.7</v>
      </c>
      <c r="D69" s="6">
        <f>D70</f>
        <v>50</v>
      </c>
      <c r="E69" s="6">
        <f>E70</f>
        <v>110</v>
      </c>
      <c r="F69" s="53">
        <f t="shared" si="9"/>
        <v>5.1700000000000001E-3</v>
      </c>
      <c r="G69">
        <f>C69*'Damètre conduites'!I$27</f>
        <v>9.2284284199200192E-3</v>
      </c>
      <c r="H69" s="172"/>
      <c r="I69" s="12" t="s">
        <v>287</v>
      </c>
      <c r="J69" s="4">
        <v>1.3</v>
      </c>
      <c r="K69" s="12">
        <v>1000</v>
      </c>
      <c r="L69" s="15">
        <f>'Damètre conduites'!L27</f>
        <v>0.79070929502096854</v>
      </c>
      <c r="M69" s="52">
        <f>(J69*K69*L69^2)/2/100000</f>
        <v>4.0639377300116216E-3</v>
      </c>
    </row>
    <row r="70" spans="1:14">
      <c r="A70" s="170"/>
      <c r="B70" s="6" t="s">
        <v>198</v>
      </c>
      <c r="C70" s="8">
        <f>C52-0.1</f>
        <v>5.4000000000000021</v>
      </c>
      <c r="D70" s="6">
        <f>'Damètre conduites'!$H$27</f>
        <v>50</v>
      </c>
      <c r="E70" s="6">
        <f>'Damètre conduites'!$K$27</f>
        <v>110</v>
      </c>
      <c r="F70" s="53">
        <f t="shared" si="9"/>
        <v>5.9400000000000026E-3</v>
      </c>
      <c r="G70">
        <f>C70*'Damètre conduites'!I$27</f>
        <v>1.0602875205865557E-2</v>
      </c>
      <c r="H70" s="172"/>
      <c r="I70" s="51" t="s">
        <v>227</v>
      </c>
      <c r="J70" s="12">
        <v>1.3</v>
      </c>
      <c r="K70" s="12">
        <v>1000</v>
      </c>
      <c r="L70" s="15">
        <f>L69</f>
        <v>0.79070929502096854</v>
      </c>
      <c r="M70" s="52">
        <f t="shared" si="12"/>
        <v>4.0639377300116216E-3</v>
      </c>
    </row>
    <row r="71" spans="1:14" ht="28.9" customHeight="1">
      <c r="A71" s="170"/>
      <c r="B71" s="6" t="s">
        <v>199</v>
      </c>
      <c r="C71" s="8">
        <f>C53</f>
        <v>8.8000000000000007</v>
      </c>
      <c r="D71" s="6">
        <f>'Damètre conduites'!$H$27</f>
        <v>50</v>
      </c>
      <c r="E71" s="6">
        <f>'Damètre conduites'!$K$27</f>
        <v>110</v>
      </c>
      <c r="F71" s="53">
        <f t="shared" si="9"/>
        <v>9.6800000000000011E-3</v>
      </c>
      <c r="G71">
        <f>C71*'Damètre conduites'!I$27</f>
        <v>1.7278759594743866E-2</v>
      </c>
      <c r="H71" s="172"/>
      <c r="I71" s="12" t="s">
        <v>228</v>
      </c>
      <c r="J71" s="12">
        <v>1.3</v>
      </c>
      <c r="K71" s="12">
        <v>1000</v>
      </c>
      <c r="L71" s="15">
        <f>0.791</f>
        <v>0.79100000000000004</v>
      </c>
      <c r="M71" s="52">
        <f t="shared" si="12"/>
        <v>4.0669265E-3</v>
      </c>
    </row>
    <row r="72" spans="1:14">
      <c r="A72" s="170"/>
      <c r="B72" s="6" t="s">
        <v>200</v>
      </c>
      <c r="C72" s="8">
        <f>C54</f>
        <v>3.2</v>
      </c>
      <c r="D72" s="6">
        <f>'Damètre conduites'!$H$27</f>
        <v>50</v>
      </c>
      <c r="E72" s="6">
        <f>'Damètre conduites'!$K$27</f>
        <v>110</v>
      </c>
      <c r="F72" s="53">
        <f t="shared" si="9"/>
        <v>3.5200000000000001E-3</v>
      </c>
      <c r="G72">
        <f>C72*'Damètre conduites'!I$27</f>
        <v>6.2831853071795875E-3</v>
      </c>
      <c r="H72" s="172"/>
      <c r="I72" s="51" t="s">
        <v>229</v>
      </c>
      <c r="J72" s="12">
        <v>1.3</v>
      </c>
      <c r="K72" s="12">
        <v>1000</v>
      </c>
      <c r="L72" s="15">
        <f t="shared" ref="L72:L75" si="13">0.791</f>
        <v>0.79100000000000004</v>
      </c>
      <c r="M72" s="52">
        <f t="shared" si="12"/>
        <v>4.0669265E-3</v>
      </c>
    </row>
    <row r="73" spans="1:14">
      <c r="A73" s="170"/>
      <c r="B73" s="6" t="s">
        <v>201</v>
      </c>
      <c r="C73" s="8">
        <f>C81</f>
        <v>2</v>
      </c>
      <c r="D73" s="6">
        <f>'Damètre conduites'!$H$27</f>
        <v>50</v>
      </c>
      <c r="E73" s="6">
        <f>'Damètre conduites'!$K$27</f>
        <v>110</v>
      </c>
      <c r="F73" s="53">
        <f t="shared" si="9"/>
        <v>2.2000000000000001E-3</v>
      </c>
      <c r="G73">
        <f>C73*'Damètre conduites'!I$27</f>
        <v>3.9269908169872417E-3</v>
      </c>
      <c r="H73" s="172"/>
      <c r="I73" s="115" t="s">
        <v>230</v>
      </c>
      <c r="J73" s="12">
        <v>1.3</v>
      </c>
      <c r="K73" s="12">
        <v>1000</v>
      </c>
      <c r="L73" s="15">
        <f t="shared" si="13"/>
        <v>0.79100000000000004</v>
      </c>
      <c r="M73" s="52">
        <f t="shared" si="12"/>
        <v>4.0669265E-3</v>
      </c>
    </row>
    <row r="74" spans="1:14" ht="29.1" customHeight="1">
      <c r="A74" s="170"/>
      <c r="B74" s="6" t="s">
        <v>235</v>
      </c>
      <c r="C74" s="8">
        <f>0.4+C82</f>
        <v>5.7</v>
      </c>
      <c r="D74" s="6">
        <f>'Damètre conduites'!$H$27</f>
        <v>50</v>
      </c>
      <c r="E74" s="6">
        <f>'Damètre conduites'!$K$27</f>
        <v>110</v>
      </c>
      <c r="F74" s="53">
        <f t="shared" si="9"/>
        <v>6.2700000000000004E-3</v>
      </c>
      <c r="G74">
        <f>C74*'Damètre conduites'!I$27</f>
        <v>1.1191923828413639E-2</v>
      </c>
      <c r="H74" s="172"/>
      <c r="I74" s="115" t="s">
        <v>295</v>
      </c>
      <c r="J74" s="12">
        <v>0</v>
      </c>
      <c r="K74" s="12">
        <v>0</v>
      </c>
      <c r="L74" s="15">
        <v>0</v>
      </c>
      <c r="M74" s="52">
        <f t="shared" si="12"/>
        <v>0</v>
      </c>
    </row>
    <row r="75" spans="1:14" ht="30" customHeight="1">
      <c r="A75" s="170"/>
      <c r="B75" s="6" t="s">
        <v>236</v>
      </c>
      <c r="C75" s="8">
        <f>C83</f>
        <v>0.4</v>
      </c>
      <c r="D75" s="6">
        <f>'Damètre conduites'!$H$27</f>
        <v>50</v>
      </c>
      <c r="E75" s="6">
        <f>'Damètre conduites'!$K$27</f>
        <v>110</v>
      </c>
      <c r="F75" s="53">
        <f t="shared" si="9"/>
        <v>4.4000000000000002E-4</v>
      </c>
      <c r="G75">
        <f>C75*'Damètre conduites'!I$27</f>
        <v>7.8539816339744844E-4</v>
      </c>
      <c r="H75" s="172"/>
      <c r="I75" s="115" t="s">
        <v>296</v>
      </c>
      <c r="J75" s="12">
        <v>1.3</v>
      </c>
      <c r="K75" s="12">
        <v>1000</v>
      </c>
      <c r="L75" s="15">
        <f t="shared" si="13"/>
        <v>0.79100000000000004</v>
      </c>
      <c r="M75" s="52">
        <f t="shared" si="12"/>
        <v>4.0669265E-3</v>
      </c>
    </row>
    <row r="76" spans="1:14">
      <c r="A76" s="171"/>
      <c r="B76" s="6" t="s">
        <v>299</v>
      </c>
      <c r="C76" s="8">
        <f>5.09-0.6</f>
        <v>4.49</v>
      </c>
      <c r="D76" s="6">
        <f>'Damètre conduites'!$H$27</f>
        <v>50</v>
      </c>
      <c r="E76" s="6">
        <f>'Damètre conduites'!$K$27</f>
        <v>110</v>
      </c>
      <c r="F76" s="53">
        <f t="shared" si="9"/>
        <v>4.9390000000000007E-3</v>
      </c>
      <c r="G76">
        <f>C76*'Damètre conduites'!I$27</f>
        <v>8.8160943841363582E-3</v>
      </c>
      <c r="H76" s="172"/>
      <c r="I76" s="115" t="s">
        <v>297</v>
      </c>
      <c r="J76" s="12">
        <v>1.3</v>
      </c>
      <c r="K76" s="12">
        <v>1000</v>
      </c>
      <c r="L76" s="15">
        <f>0.791</f>
        <v>0.79100000000000004</v>
      </c>
      <c r="M76" s="52">
        <f t="shared" si="12"/>
        <v>4.0669265E-3</v>
      </c>
    </row>
    <row r="77" spans="1:14">
      <c r="A77" s="169" t="s">
        <v>203</v>
      </c>
      <c r="B77" s="89" t="s">
        <v>283</v>
      </c>
      <c r="C77" s="8">
        <f>C60</f>
        <v>4.7</v>
      </c>
      <c r="D77" s="6">
        <f>D75</f>
        <v>50</v>
      </c>
      <c r="E77" s="6">
        <f>E75</f>
        <v>110</v>
      </c>
      <c r="F77" s="53">
        <f t="shared" si="9"/>
        <v>5.1700000000000001E-3</v>
      </c>
      <c r="H77" s="136" t="s">
        <v>155</v>
      </c>
      <c r="I77" s="51" t="s">
        <v>255</v>
      </c>
      <c r="J77" s="4">
        <v>1.3</v>
      </c>
      <c r="K77" s="12">
        <v>1000</v>
      </c>
      <c r="L77" s="15">
        <f>L32</f>
        <v>0.84230628855279222</v>
      </c>
      <c r="M77" s="116">
        <f t="shared" ref="M77:M83" si="14">(J77*K77*L77^2)/2/100000</f>
        <v>4.6116192442812679E-3</v>
      </c>
    </row>
    <row r="78" spans="1:14">
      <c r="A78" s="170"/>
      <c r="B78" s="89" t="s">
        <v>173</v>
      </c>
      <c r="C78" s="8">
        <f>C61-0.1</f>
        <v>5.8000000000000007</v>
      </c>
      <c r="D78" s="6">
        <f>'Damètre conduites'!$H$27</f>
        <v>50</v>
      </c>
      <c r="E78" s="6">
        <f>'Damètre conduites'!$K$27</f>
        <v>110</v>
      </c>
      <c r="F78" s="53">
        <f t="shared" si="9"/>
        <v>6.3800000000000011E-3</v>
      </c>
      <c r="H78" s="136"/>
      <c r="I78" s="51" t="s">
        <v>256</v>
      </c>
      <c r="J78" s="4">
        <v>1.5</v>
      </c>
      <c r="K78" s="12">
        <v>1000</v>
      </c>
      <c r="L78" s="15">
        <f>L33</f>
        <v>0.84230628855279222</v>
      </c>
      <c r="M78" s="116">
        <f t="shared" si="14"/>
        <v>5.3210991280168481E-3</v>
      </c>
    </row>
    <row r="79" spans="1:14">
      <c r="A79" s="170"/>
      <c r="B79" s="93" t="s">
        <v>174</v>
      </c>
      <c r="C79" s="8">
        <f>C62</f>
        <v>10.5</v>
      </c>
      <c r="D79" s="6">
        <f>'Damètre conduites'!$H$27</f>
        <v>50</v>
      </c>
      <c r="E79" s="6">
        <f>'Damètre conduites'!$K$27</f>
        <v>110</v>
      </c>
      <c r="F79" s="53">
        <f t="shared" si="9"/>
        <v>1.155E-2</v>
      </c>
      <c r="H79" s="136"/>
      <c r="I79" s="51" t="s">
        <v>257</v>
      </c>
      <c r="J79" s="4">
        <v>1.5</v>
      </c>
      <c r="K79" s="12">
        <v>1000</v>
      </c>
      <c r="L79" s="15">
        <f>L34</f>
        <v>0.84230628855279222</v>
      </c>
      <c r="M79" s="116">
        <f t="shared" si="14"/>
        <v>5.3210991280168481E-3</v>
      </c>
    </row>
    <row r="80" spans="1:14">
      <c r="A80" s="170"/>
      <c r="B80" s="89" t="s">
        <v>175</v>
      </c>
      <c r="C80" s="8">
        <f>C54</f>
        <v>3.2</v>
      </c>
      <c r="D80" s="6">
        <f>'Damètre conduites'!$H$27</f>
        <v>50</v>
      </c>
      <c r="E80" s="6">
        <f>'Damètre conduites'!$K$27</f>
        <v>110</v>
      </c>
      <c r="F80" s="53">
        <f t="shared" si="9"/>
        <v>3.5200000000000001E-3</v>
      </c>
      <c r="H80" s="136"/>
      <c r="I80" s="51" t="s">
        <v>258</v>
      </c>
      <c r="J80" s="4">
        <v>1.3</v>
      </c>
      <c r="K80" s="12">
        <v>1000</v>
      </c>
      <c r="L80" s="15">
        <f>L35</f>
        <v>0.40555487967356679</v>
      </c>
      <c r="M80" s="116">
        <f t="shared" si="14"/>
        <v>1.069085942775768E-3</v>
      </c>
    </row>
    <row r="81" spans="1:13" ht="15" customHeight="1">
      <c r="A81" s="170"/>
      <c r="B81" s="89" t="s">
        <v>176</v>
      </c>
      <c r="C81" s="8">
        <f>2</f>
        <v>2</v>
      </c>
      <c r="D81" s="6">
        <f>'Damètre conduites'!$H$27</f>
        <v>50</v>
      </c>
      <c r="E81" s="6">
        <f>'Damètre conduites'!$K$27</f>
        <v>110</v>
      </c>
      <c r="F81" s="53">
        <f t="shared" si="9"/>
        <v>2.2000000000000001E-3</v>
      </c>
      <c r="H81" s="136"/>
      <c r="I81" s="51" t="s">
        <v>259</v>
      </c>
      <c r="J81" s="4">
        <v>1.3</v>
      </c>
      <c r="K81" s="12">
        <v>1000</v>
      </c>
      <c r="L81" s="15">
        <f>L80</f>
        <v>0.40555487967356679</v>
      </c>
      <c r="M81" s="116">
        <f t="shared" si="14"/>
        <v>1.069085942775768E-3</v>
      </c>
    </row>
    <row r="82" spans="1:13">
      <c r="A82" s="170"/>
      <c r="B82" s="89" t="s">
        <v>232</v>
      </c>
      <c r="C82" s="8">
        <v>5.3</v>
      </c>
      <c r="D82" s="6">
        <f>'Damètre conduites'!$H$27</f>
        <v>50</v>
      </c>
      <c r="E82" s="6">
        <f>'Damètre conduites'!$K$27</f>
        <v>110</v>
      </c>
      <c r="F82" s="53">
        <f t="shared" si="9"/>
        <v>5.8300000000000001E-3</v>
      </c>
      <c r="H82" s="136"/>
      <c r="I82" s="51" t="s">
        <v>260</v>
      </c>
      <c r="J82" s="4">
        <v>1.3</v>
      </c>
      <c r="K82" s="12">
        <v>1000</v>
      </c>
      <c r="L82" s="15">
        <f>L68</f>
        <v>0.40555487967356679</v>
      </c>
      <c r="M82" s="116">
        <f t="shared" si="14"/>
        <v>1.069085942775768E-3</v>
      </c>
    </row>
    <row r="83" spans="1:13">
      <c r="A83" s="170"/>
      <c r="B83" s="93" t="s">
        <v>234</v>
      </c>
      <c r="C83" s="82">
        <v>0.4</v>
      </c>
      <c r="D83" s="6">
        <f>'Damètre conduites'!$H$27</f>
        <v>50</v>
      </c>
      <c r="E83" s="6">
        <f>'Damètre conduites'!$K$27</f>
        <v>110</v>
      </c>
      <c r="F83" s="53">
        <f t="shared" si="9"/>
        <v>4.4000000000000002E-4</v>
      </c>
      <c r="H83" s="136"/>
      <c r="I83" s="51" t="s">
        <v>262</v>
      </c>
      <c r="J83" s="4">
        <v>1.3</v>
      </c>
      <c r="K83" s="12">
        <v>1000</v>
      </c>
      <c r="L83" s="15">
        <f>L38</f>
        <v>0.40555487967356679</v>
      </c>
      <c r="M83" s="116">
        <f t="shared" si="14"/>
        <v>1.069085942775768E-3</v>
      </c>
    </row>
    <row r="84" spans="1:13">
      <c r="A84" s="171"/>
      <c r="B84" s="89" t="s">
        <v>300</v>
      </c>
      <c r="C84" s="8">
        <f>5.09-0.6</f>
        <v>4.49</v>
      </c>
      <c r="D84" s="6">
        <f>'Damètre conduites'!$H$27</f>
        <v>50</v>
      </c>
      <c r="E84" s="6">
        <f>'Damètre conduites'!$K$27</f>
        <v>110</v>
      </c>
      <c r="F84" s="53">
        <f t="shared" si="9"/>
        <v>4.9390000000000007E-3</v>
      </c>
      <c r="H84" s="124"/>
      <c r="I84" s="51"/>
      <c r="J84" s="4"/>
      <c r="K84" s="12"/>
      <c r="L84" s="15"/>
      <c r="M84" s="116"/>
    </row>
    <row r="85" spans="1:13">
      <c r="A85" s="124"/>
      <c r="B85" s="95" t="s">
        <v>237</v>
      </c>
      <c r="C85" s="8">
        <v>0.2</v>
      </c>
      <c r="D85" s="6">
        <f>'Damètre conduites'!$H$27</f>
        <v>50</v>
      </c>
      <c r="E85" s="6">
        <f>'Damètre conduites'!$K$27</f>
        <v>110</v>
      </c>
      <c r="F85" s="53">
        <f>C85*E85/100000</f>
        <v>2.2000000000000001E-4</v>
      </c>
      <c r="H85" s="124"/>
      <c r="I85" s="3"/>
      <c r="J85" s="3"/>
      <c r="K85" s="3"/>
      <c r="L85" s="12"/>
      <c r="M85" s="52"/>
    </row>
    <row r="86" spans="1:13">
      <c r="B86" s="173" t="s">
        <v>4</v>
      </c>
      <c r="C86" s="174"/>
      <c r="D86" s="174"/>
      <c r="E86" s="175"/>
      <c r="F86" s="75">
        <f>SUM(F32:F78)</f>
        <v>0.14594700000000002</v>
      </c>
      <c r="G86" s="75">
        <f>SUM(G32:G78)*2*1000</f>
        <v>687.81047809990685</v>
      </c>
      <c r="I86" s="48" t="s">
        <v>4</v>
      </c>
      <c r="J86" s="117"/>
      <c r="K86" s="117"/>
      <c r="L86" s="118"/>
      <c r="M86" s="119">
        <f>SUM(M32:M83)</f>
        <v>0.15458444893008011</v>
      </c>
    </row>
    <row r="87" spans="1:13">
      <c r="G87" t="s">
        <v>305</v>
      </c>
      <c r="J87" s="12"/>
      <c r="K87" s="12"/>
      <c r="L87" s="15"/>
      <c r="M87" s="52"/>
    </row>
    <row r="88" spans="1:13">
      <c r="J88" s="11"/>
      <c r="K88" s="11"/>
      <c r="L88" s="11"/>
      <c r="M88" s="76">
        <f>SUM(AD34:AD72)</f>
        <v>0</v>
      </c>
    </row>
    <row r="89" spans="1:13">
      <c r="A89" s="123"/>
    </row>
    <row r="98" spans="2:6">
      <c r="B98" s="106" t="s">
        <v>156</v>
      </c>
      <c r="C98" s="107">
        <v>6.1</v>
      </c>
      <c r="D98" s="108">
        <f>'Damètre conduites'!$H$29</f>
        <v>65</v>
      </c>
      <c r="E98" s="108">
        <f>'Damètre conduites'!$K$29</f>
        <v>58</v>
      </c>
      <c r="F98" s="109">
        <f t="shared" ref="F98:F109" si="15">C98*E98/100000</f>
        <v>3.5379999999999995E-3</v>
      </c>
    </row>
    <row r="99" spans="2:6">
      <c r="B99" s="106" t="s">
        <v>157</v>
      </c>
      <c r="C99" s="107">
        <v>7.8</v>
      </c>
      <c r="D99" s="108">
        <f>'Damètre conduites'!$H$29</f>
        <v>65</v>
      </c>
      <c r="E99" s="108">
        <f>'Damètre conduites'!$K$29</f>
        <v>58</v>
      </c>
      <c r="F99" s="109">
        <f t="shared" si="15"/>
        <v>4.5239999999999994E-3</v>
      </c>
    </row>
    <row r="100" spans="2:6">
      <c r="B100" s="106" t="s">
        <v>158</v>
      </c>
      <c r="C100" s="107">
        <v>0.9</v>
      </c>
      <c r="D100" s="108">
        <f>'Damètre conduites'!$H$29</f>
        <v>65</v>
      </c>
      <c r="E100" s="108">
        <f>'Damètre conduites'!$K$29</f>
        <v>58</v>
      </c>
      <c r="F100" s="109">
        <f t="shared" si="15"/>
        <v>5.22E-4</v>
      </c>
    </row>
    <row r="101" spans="2:6">
      <c r="B101" s="106" t="s">
        <v>159</v>
      </c>
      <c r="C101" s="107">
        <f>C98-0.1</f>
        <v>6</v>
      </c>
      <c r="D101" s="108">
        <f>'Damètre conduites'!$H$29</f>
        <v>65</v>
      </c>
      <c r="E101" s="108">
        <f>'Damètre conduites'!$K$29</f>
        <v>58</v>
      </c>
      <c r="F101" s="109">
        <f t="shared" si="15"/>
        <v>3.48E-3</v>
      </c>
    </row>
    <row r="102" spans="2:6">
      <c r="B102" s="106" t="s">
        <v>160</v>
      </c>
      <c r="C102" s="107">
        <f>C99</f>
        <v>7.8</v>
      </c>
      <c r="D102" s="108">
        <f>'Damètre conduites'!$H$29</f>
        <v>65</v>
      </c>
      <c r="E102" s="108">
        <f>'Damètre conduites'!$K$29</f>
        <v>58</v>
      </c>
      <c r="F102" s="109">
        <f t="shared" si="15"/>
        <v>4.5239999999999994E-3</v>
      </c>
    </row>
    <row r="103" spans="2:6">
      <c r="B103" s="106" t="s">
        <v>161</v>
      </c>
      <c r="C103" s="107">
        <f>C100+0.1</f>
        <v>1</v>
      </c>
      <c r="D103" s="108">
        <f>'Damètre conduites'!$H$29</f>
        <v>65</v>
      </c>
      <c r="E103" s="108">
        <f>'Damètre conduites'!$K$29</f>
        <v>58</v>
      </c>
      <c r="F103" s="109">
        <f t="shared" si="15"/>
        <v>5.8E-4</v>
      </c>
    </row>
    <row r="104" spans="2:6">
      <c r="B104" s="106" t="s">
        <v>162</v>
      </c>
      <c r="C104" s="107">
        <f>C78-0.1</f>
        <v>5.7000000000000011</v>
      </c>
      <c r="D104" s="108">
        <f>'Damètre conduites'!$H$29</f>
        <v>65</v>
      </c>
      <c r="E104" s="108">
        <f>'Damètre conduites'!$K$29</f>
        <v>58</v>
      </c>
      <c r="F104" s="109">
        <f t="shared" si="15"/>
        <v>3.3060000000000008E-3</v>
      </c>
    </row>
    <row r="105" spans="2:6">
      <c r="B105" s="106" t="s">
        <v>163</v>
      </c>
      <c r="C105" s="107">
        <v>5.8</v>
      </c>
      <c r="D105" s="108">
        <f>'Damètre conduites'!$H$29</f>
        <v>65</v>
      </c>
      <c r="E105" s="108">
        <f>'Damètre conduites'!$K$29</f>
        <v>58</v>
      </c>
      <c r="F105" s="109">
        <f t="shared" si="15"/>
        <v>3.3639999999999998E-3</v>
      </c>
    </row>
    <row r="106" spans="2:6">
      <c r="B106" s="106" t="s">
        <v>164</v>
      </c>
      <c r="C106" s="107">
        <f>C100+0.4</f>
        <v>1.3</v>
      </c>
      <c r="D106" s="108">
        <f>'Damètre conduites'!$H$29</f>
        <v>65</v>
      </c>
      <c r="E106" s="108">
        <f>'Damètre conduites'!$K$29</f>
        <v>58</v>
      </c>
      <c r="F106" s="109">
        <f t="shared" si="15"/>
        <v>7.54E-4</v>
      </c>
    </row>
    <row r="107" spans="2:6">
      <c r="B107" s="106" t="s">
        <v>165</v>
      </c>
      <c r="C107" s="107">
        <f>C104-0.1</f>
        <v>5.6000000000000014</v>
      </c>
      <c r="D107" s="108">
        <f>'Damètre conduites'!$H$29</f>
        <v>65</v>
      </c>
      <c r="E107" s="108">
        <f>'Damètre conduites'!$K$29</f>
        <v>58</v>
      </c>
      <c r="F107" s="109">
        <f t="shared" si="15"/>
        <v>3.2480000000000009E-3</v>
      </c>
    </row>
    <row r="108" spans="2:6">
      <c r="B108" s="106" t="s">
        <v>166</v>
      </c>
      <c r="C108" s="107">
        <f>C105</f>
        <v>5.8</v>
      </c>
      <c r="D108" s="108">
        <f>D107</f>
        <v>65</v>
      </c>
      <c r="E108" s="108">
        <f>'Damètre conduites'!$K$29</f>
        <v>58</v>
      </c>
      <c r="F108" s="109">
        <f t="shared" si="15"/>
        <v>3.3639999999999998E-3</v>
      </c>
    </row>
    <row r="109" spans="2:6">
      <c r="B109" s="106" t="s">
        <v>233</v>
      </c>
      <c r="C109" s="107">
        <v>1.4000000000000001</v>
      </c>
      <c r="D109" s="108">
        <f>D108</f>
        <v>65</v>
      </c>
      <c r="E109" s="108">
        <f>E108</f>
        <v>58</v>
      </c>
      <c r="F109" s="109">
        <f t="shared" si="15"/>
        <v>8.12E-4</v>
      </c>
    </row>
  </sheetData>
  <mergeCells count="20">
    <mergeCell ref="B86:E86"/>
    <mergeCell ref="B30:F30"/>
    <mergeCell ref="I30:M30"/>
    <mergeCell ref="O30:R30"/>
    <mergeCell ref="O50:O52"/>
    <mergeCell ref="O53:O55"/>
    <mergeCell ref="O58:Q58"/>
    <mergeCell ref="H32:H38"/>
    <mergeCell ref="H58:H67"/>
    <mergeCell ref="H39:H48"/>
    <mergeCell ref="H49:H57"/>
    <mergeCell ref="O32:O49"/>
    <mergeCell ref="A77:A84"/>
    <mergeCell ref="H68:H76"/>
    <mergeCell ref="A32:A41"/>
    <mergeCell ref="A42:A50"/>
    <mergeCell ref="A51:A59"/>
    <mergeCell ref="A60:A68"/>
    <mergeCell ref="A69:A76"/>
    <mergeCell ref="H77:H8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2BFF7-29D5-4D07-9645-A71C7857C274}">
  <dimension ref="B2:AS85"/>
  <sheetViews>
    <sheetView tabSelected="1" topLeftCell="A33" zoomScale="75" zoomScaleNormal="75" workbookViewId="0">
      <selection activeCell="M48" sqref="M48"/>
    </sheetView>
  </sheetViews>
  <sheetFormatPr baseColWidth="10" defaultColWidth="10.5703125" defaultRowHeight="15"/>
  <cols>
    <col min="2" max="2" width="17.42578125" customWidth="1"/>
    <col min="3" max="3" width="13.5703125" customWidth="1"/>
    <col min="4" max="4" width="10.7109375" bestFit="1" customWidth="1"/>
    <col min="5" max="5" width="21.7109375" customWidth="1"/>
    <col min="6" max="6" width="38" customWidth="1"/>
    <col min="7" max="7" width="42.7109375" customWidth="1"/>
    <col min="8" max="8" width="10.7109375" bestFit="1" customWidth="1"/>
    <col min="13" max="13" width="15.42578125" customWidth="1"/>
    <col min="14" max="14" width="17.42578125" customWidth="1"/>
    <col min="15" max="15" width="16.28515625" customWidth="1"/>
    <col min="18" max="19" width="11.85546875" bestFit="1" customWidth="1"/>
    <col min="20" max="20" width="9.7109375" customWidth="1"/>
    <col min="21" max="21" width="13.28515625" customWidth="1"/>
    <col min="22" max="22" width="12.7109375" customWidth="1"/>
  </cols>
  <sheetData>
    <row r="2" spans="42:44" ht="15.75" customHeight="1"/>
    <row r="3" spans="42:44">
      <c r="AQ3" t="s">
        <v>307</v>
      </c>
    </row>
    <row r="4" spans="42:44">
      <c r="AQ4">
        <f>2*1.2*1.2*1000</f>
        <v>2880</v>
      </c>
    </row>
    <row r="7" spans="42:44">
      <c r="AP7" t="s">
        <v>268</v>
      </c>
      <c r="AQ7" t="s">
        <v>269</v>
      </c>
      <c r="AR7" t="s">
        <v>270</v>
      </c>
    </row>
    <row r="8" spans="42:44">
      <c r="AP8">
        <f>AQ8*0.01+AQ8*AR8</f>
        <v>214.07378923565551</v>
      </c>
      <c r="AQ8" s="129">
        <f>('PDC singuliere-repartie'!G86+'Choix des organes'!H34+AQ4)*1.5</f>
        <v>6607.2157171498611</v>
      </c>
      <c r="AR8">
        <v>2.24E-2</v>
      </c>
    </row>
    <row r="9" spans="42:44">
      <c r="AQ9" t="s">
        <v>273</v>
      </c>
    </row>
    <row r="11" spans="42:44">
      <c r="AP11" t="s">
        <v>274</v>
      </c>
      <c r="AR11" t="s">
        <v>276</v>
      </c>
    </row>
    <row r="12" spans="42:44">
      <c r="AP12">
        <f>0.3+AR12/10</f>
        <v>1.3</v>
      </c>
      <c r="AR12">
        <f>10</f>
        <v>10</v>
      </c>
    </row>
    <row r="15" spans="42:44">
      <c r="AP15" t="s">
        <v>277</v>
      </c>
      <c r="AR15" t="s">
        <v>280</v>
      </c>
    </row>
    <row r="16" spans="42:44">
      <c r="AP16">
        <v>3</v>
      </c>
      <c r="AR16">
        <f>AP16-0.5</f>
        <v>2.5</v>
      </c>
    </row>
    <row r="18" spans="2:44">
      <c r="AP18" t="s">
        <v>279</v>
      </c>
    </row>
    <row r="19" spans="2:44">
      <c r="AP19">
        <f>AP8/(AR16-AP12/(AR16+1))</f>
        <v>100.57157883554285</v>
      </c>
    </row>
    <row r="21" spans="2:44">
      <c r="AP21" t="s">
        <v>281</v>
      </c>
      <c r="AR21" t="s">
        <v>282</v>
      </c>
    </row>
    <row r="22" spans="2:44">
      <c r="AP22">
        <f>(AR16-AP12/(AR16+1))*AP19-AQ8*AR8</f>
        <v>66.072157171498617</v>
      </c>
      <c r="AR22">
        <f>((AP12+1)/(AP19-AP22))*AP19-1</f>
        <v>5.7048843187660676</v>
      </c>
    </row>
    <row r="28" spans="2:44" ht="15" customHeight="1"/>
    <row r="29" spans="2:44" ht="15" customHeight="1">
      <c r="B29" s="140" t="s">
        <v>266</v>
      </c>
      <c r="C29" s="140"/>
      <c r="D29" s="140"/>
      <c r="E29" s="140"/>
      <c r="F29" s="140"/>
      <c r="G29" s="140"/>
      <c r="H29" s="140"/>
      <c r="I29" s="140"/>
      <c r="S29" s="14"/>
      <c r="T29" s="110" t="s">
        <v>247</v>
      </c>
      <c r="U29" s="110"/>
      <c r="V29" s="110"/>
    </row>
    <row r="30" spans="2:44" ht="17.25">
      <c r="B30" s="9" t="s">
        <v>45</v>
      </c>
      <c r="C30" s="9" t="s">
        <v>54</v>
      </c>
      <c r="D30" s="9" t="s">
        <v>46</v>
      </c>
      <c r="E30" s="103" t="s">
        <v>248</v>
      </c>
      <c r="F30" s="9" t="s">
        <v>88</v>
      </c>
      <c r="N30" s="110"/>
      <c r="O30" s="110"/>
      <c r="P30" s="110"/>
    </row>
    <row r="31" spans="2:44">
      <c r="B31" s="88">
        <v>1</v>
      </c>
      <c r="C31" s="1">
        <f>'Damètre conduites'!J24/1000</f>
        <v>10.062111801242235</v>
      </c>
      <c r="D31" s="4">
        <f>'Damètre conduites'!H24</f>
        <v>65</v>
      </c>
      <c r="E31" s="4">
        <v>6</v>
      </c>
      <c r="F31" s="3">
        <f>17/100</f>
        <v>0.17</v>
      </c>
      <c r="N31" s="110"/>
      <c r="O31" s="110"/>
      <c r="P31" s="110"/>
    </row>
    <row r="32" spans="2:44">
      <c r="B32" s="88">
        <v>2</v>
      </c>
      <c r="C32" s="1">
        <f>C31</f>
        <v>10.062111801242235</v>
      </c>
      <c r="D32" s="4">
        <f>D31</f>
        <v>65</v>
      </c>
      <c r="E32" s="4">
        <v>6</v>
      </c>
      <c r="F32" s="3">
        <f>F31</f>
        <v>0.17</v>
      </c>
      <c r="N32" s="110"/>
      <c r="O32" s="110"/>
      <c r="P32" s="110"/>
    </row>
    <row r="33" spans="2:45" ht="46.5" customHeight="1">
      <c r="B33" s="88">
        <v>3</v>
      </c>
      <c r="C33" s="1">
        <f>C32</f>
        <v>10.062111801242235</v>
      </c>
      <c r="D33" s="4">
        <f>D32</f>
        <v>65</v>
      </c>
      <c r="E33" s="4">
        <v>6</v>
      </c>
      <c r="F33" s="3">
        <f>F31</f>
        <v>0.17</v>
      </c>
      <c r="N33" s="110"/>
      <c r="O33" s="110"/>
      <c r="P33" s="110"/>
    </row>
    <row r="34" spans="2:45">
      <c r="B34" s="88">
        <v>4</v>
      </c>
      <c r="C34" s="1">
        <f>'Damètre conduites'!J27/1000</f>
        <v>5.5891946528168379</v>
      </c>
      <c r="D34" s="4">
        <f>'Damètre conduites'!H27</f>
        <v>50</v>
      </c>
      <c r="E34" s="4">
        <v>6</v>
      </c>
      <c r="F34" s="3">
        <f>17/100</f>
        <v>0.17</v>
      </c>
      <c r="R34" s="101" t="s">
        <v>242</v>
      </c>
      <c r="S34" s="101" t="s">
        <v>243</v>
      </c>
      <c r="U34" s="101" t="s">
        <v>242</v>
      </c>
      <c r="V34" s="101" t="s">
        <v>243</v>
      </c>
    </row>
    <row r="35" spans="2:45">
      <c r="B35" s="88">
        <v>5</v>
      </c>
      <c r="C35" s="1">
        <f>'Damètre conduites'!J28/1000</f>
        <v>2.9227424749163879</v>
      </c>
      <c r="D35" s="4">
        <f>'Damètre conduites'!H28</f>
        <v>40</v>
      </c>
      <c r="E35" s="4">
        <v>6</v>
      </c>
      <c r="F35" s="3">
        <f>11/100</f>
        <v>0.11</v>
      </c>
      <c r="Q35" s="101" t="s">
        <v>244</v>
      </c>
      <c r="R35" s="101">
        <f>40/50</f>
        <v>0.8</v>
      </c>
      <c r="S35" s="101">
        <f>40/50</f>
        <v>0.8</v>
      </c>
      <c r="U35">
        <f>25/40</f>
        <v>0.625</v>
      </c>
      <c r="V35">
        <f>25/40</f>
        <v>0.625</v>
      </c>
      <c r="AR35" t="s">
        <v>316</v>
      </c>
      <c r="AS35" t="s">
        <v>317</v>
      </c>
    </row>
    <row r="36" spans="2:45">
      <c r="Q36" s="101" t="s">
        <v>245</v>
      </c>
      <c r="R36" s="101">
        <v>0.25</v>
      </c>
      <c r="S36" s="101">
        <v>0.02</v>
      </c>
      <c r="U36">
        <v>0.25</v>
      </c>
      <c r="V36" s="126">
        <v>0.06</v>
      </c>
      <c r="AR36">
        <f>((AR16+1)-(AP12+1))/(AR16+1)</f>
        <v>0.34285714285714292</v>
      </c>
      <c r="AS36">
        <f>AP8/AR36</f>
        <v>624.38188527066177</v>
      </c>
    </row>
    <row r="37" spans="2:45">
      <c r="B37" s="140" t="s">
        <v>58</v>
      </c>
      <c r="C37" s="140"/>
      <c r="D37" s="140"/>
      <c r="E37" s="140"/>
      <c r="F37" s="140"/>
      <c r="G37" s="140"/>
      <c r="H37" s="140"/>
      <c r="I37" s="140"/>
      <c r="Q37" s="101" t="s">
        <v>246</v>
      </c>
      <c r="R37" s="101">
        <f>'Damètre conduites'!J27/3600/'Damètre conduites'!C4/'Damètre conduites'!I28</f>
        <v>1.2354832734702634</v>
      </c>
      <c r="S37" s="101">
        <f>R37</f>
        <v>1.2354832734702634</v>
      </c>
      <c r="U37">
        <f>'Damètre conduites'!J28/3600/'Damètre conduites'!C4/'Damètre conduites'!I32</f>
        <v>1.6539339102847397</v>
      </c>
      <c r="V37">
        <f>U37</f>
        <v>1.6539339102847397</v>
      </c>
    </row>
    <row r="38" spans="2:45" ht="49.9" customHeight="1">
      <c r="B38" s="13" t="s">
        <v>45</v>
      </c>
      <c r="C38" s="13" t="s">
        <v>54</v>
      </c>
      <c r="D38" s="13" t="s">
        <v>46</v>
      </c>
      <c r="E38" s="13" t="s">
        <v>271</v>
      </c>
      <c r="F38" s="13" t="s">
        <v>267</v>
      </c>
      <c r="G38" s="13" t="s">
        <v>76</v>
      </c>
      <c r="H38" s="114" t="s">
        <v>48</v>
      </c>
      <c r="I38" s="114"/>
      <c r="K38" s="148" t="s">
        <v>247</v>
      </c>
      <c r="L38" s="148"/>
      <c r="M38" s="148"/>
      <c r="Q38" s="101"/>
      <c r="R38" s="101">
        <f>(R36*1000*R37^2)/2/100000</f>
        <v>1.908023648780997E-3</v>
      </c>
      <c r="S38" s="101">
        <f>(S36*1000*S37^2)/2/100000</f>
        <v>1.5264189190247976E-4</v>
      </c>
      <c r="U38">
        <f>(U36*1000*U37^2)/2/100000</f>
        <v>3.419371724487212E-3</v>
      </c>
      <c r="V38">
        <f>(V36*1000*V37^2)/2/100000</f>
        <v>8.2064921387693093E-4</v>
      </c>
    </row>
    <row r="39" spans="2:45">
      <c r="B39" s="83">
        <v>1</v>
      </c>
      <c r="C39" s="1">
        <f>'Damètre conduites'!J28/1000</f>
        <v>2.9227424749163879</v>
      </c>
      <c r="D39" s="4">
        <f>40</f>
        <v>40</v>
      </c>
      <c r="E39" s="10">
        <v>6.4000000000000001E-2</v>
      </c>
      <c r="F39" s="102">
        <f>F35+'PDC singuliere-repartie'!Q57+SUM('PDC singuliere-repartie'!Q47:Q49)+SUM('PDC singuliere-repartie'!F51:F68)+SUM('PDC singuliere-repartie'!M39:M48,'PDC singuliere-repartie'!M58:M67)</f>
        <v>0.24001862795345696</v>
      </c>
      <c r="G39" s="1">
        <f>E39/(E39+F39)</f>
        <v>0.21051341633512646</v>
      </c>
      <c r="H39" s="137"/>
      <c r="I39" s="139"/>
      <c r="K39" s="148"/>
      <c r="L39" s="148"/>
      <c r="M39" s="148"/>
      <c r="N39" s="87"/>
      <c r="O39" s="87"/>
      <c r="Q39" s="101"/>
      <c r="R39" s="101">
        <f>R38+S38</f>
        <v>2.0606655406834769E-3</v>
      </c>
      <c r="S39" s="101"/>
      <c r="U39">
        <f>U38+V38</f>
        <v>4.2400209383641431E-3</v>
      </c>
    </row>
    <row r="40" spans="2:45" ht="18.75">
      <c r="D40" s="6">
        <v>25</v>
      </c>
      <c r="E40" s="10">
        <v>0.35</v>
      </c>
      <c r="F40" s="127">
        <f>F39+U39</f>
        <v>0.24425864889182111</v>
      </c>
      <c r="G40" s="1">
        <f>E40/(E40+F40)</f>
        <v>0.58896913095448111</v>
      </c>
      <c r="H40" s="137" t="s">
        <v>301</v>
      </c>
      <c r="I40" s="139"/>
      <c r="P40" s="3"/>
      <c r="Q40" s="3"/>
      <c r="R40" s="3"/>
    </row>
    <row r="42" spans="2:45">
      <c r="B42" s="140" t="s">
        <v>59</v>
      </c>
      <c r="C42" s="140"/>
      <c r="D42" s="140"/>
      <c r="E42" s="140"/>
      <c r="F42" s="140"/>
      <c r="G42" s="140"/>
      <c r="H42" s="140"/>
      <c r="I42" s="140"/>
    </row>
    <row r="43" spans="2:45" ht="17.25">
      <c r="B43" s="13" t="s">
        <v>45</v>
      </c>
      <c r="C43" s="13" t="s">
        <v>54</v>
      </c>
      <c r="D43" s="13" t="s">
        <v>46</v>
      </c>
      <c r="E43" s="13" t="s">
        <v>75</v>
      </c>
      <c r="F43" s="13" t="s">
        <v>267</v>
      </c>
      <c r="G43" s="13" t="s">
        <v>76</v>
      </c>
      <c r="H43" s="149" t="s">
        <v>48</v>
      </c>
      <c r="I43" s="149"/>
    </row>
    <row r="44" spans="2:45">
      <c r="B44" s="84">
        <v>1</v>
      </c>
      <c r="C44" s="1">
        <f>'Damètre conduites'!J27/1000</f>
        <v>5.5891946528168379</v>
      </c>
      <c r="D44" s="25">
        <v>50</v>
      </c>
      <c r="E44" s="100">
        <f>0.032</f>
        <v>3.2000000000000001E-2</v>
      </c>
      <c r="F44" s="10">
        <f>SUM('PDC singuliere-repartie'!F69:F74,'PDC singuliere-repartie'!F77:F82,'PDC singuliere-repartie'!F85,'PDC singuliere-repartie'!M49:M55,'PDC singuliere-repartie'!M68:M74)+F34+'PDC singuliere-repartie'!Q45</f>
        <v>0.28682179243378703</v>
      </c>
      <c r="G44" s="1">
        <f>F44/(E44+F44)</f>
        <v>0.89963044948802928</v>
      </c>
      <c r="H44" s="150"/>
      <c r="I44" s="150"/>
    </row>
    <row r="45" spans="2:45" ht="18.75">
      <c r="D45" s="4">
        <v>40</v>
      </c>
      <c r="E45" s="100">
        <f>0.23</f>
        <v>0.23</v>
      </c>
      <c r="F45" s="10">
        <f>F44+R39</f>
        <v>0.28888245797447049</v>
      </c>
      <c r="G45" s="1">
        <f>F45/(E45+F45)</f>
        <v>0.55673968841067234</v>
      </c>
      <c r="H45" s="137" t="s">
        <v>322</v>
      </c>
      <c r="I45" s="139"/>
    </row>
    <row r="47" spans="2:45">
      <c r="B47" s="140" t="s">
        <v>60</v>
      </c>
      <c r="C47" s="140"/>
      <c r="D47" s="140"/>
      <c r="E47" s="140"/>
      <c r="F47" s="140"/>
      <c r="G47" s="140"/>
      <c r="H47" s="140"/>
      <c r="I47" s="140"/>
    </row>
    <row r="48" spans="2:45" ht="17.25">
      <c r="B48" s="9" t="s">
        <v>45</v>
      </c>
      <c r="C48" s="9" t="s">
        <v>54</v>
      </c>
      <c r="D48" s="9" t="s">
        <v>46</v>
      </c>
      <c r="E48" s="9" t="s">
        <v>308</v>
      </c>
      <c r="F48" s="9" t="s">
        <v>88</v>
      </c>
      <c r="G48" s="103" t="s">
        <v>248</v>
      </c>
      <c r="H48" s="146" t="s">
        <v>48</v>
      </c>
      <c r="I48" s="147"/>
      <c r="J48" s="147"/>
      <c r="K48" s="147"/>
    </row>
    <row r="49" spans="2:10">
      <c r="B49" s="88">
        <v>1</v>
      </c>
      <c r="C49" s="1">
        <f>C31</f>
        <v>10.062111801242235</v>
      </c>
      <c r="D49" s="2">
        <f>D31</f>
        <v>65</v>
      </c>
      <c r="E49" s="10">
        <f>F31+SUM('PDC singuliere-repartie'!F32,'PDC singuliere-repartie'!F35,'PDC singuliere-repartie'!F36:F41,'PDC singuliere-repartie'!F42,'PDC singuliere-repartie'!F45,'PDC singuliere-repartie'!F46:F50,'PDC singuliere-repartie'!Q32,'PDC singuliere-repartie'!Q35:Q38,'PDC singuliere-repartie'!Q53,'PDC singuliere-repartie'!M32:M38,'PDC singuliere-repartie'!M77:M83)</f>
        <v>0.22424432254283611</v>
      </c>
      <c r="F49" s="130">
        <f>MAX($E$49:$E$51)-E49</f>
        <v>0</v>
      </c>
      <c r="G49" s="4">
        <v>6</v>
      </c>
      <c r="H49" s="131" t="s">
        <v>309</v>
      </c>
      <c r="I49" s="104"/>
      <c r="J49" s="105"/>
    </row>
    <row r="50" spans="2:10">
      <c r="B50" s="88">
        <v>2</v>
      </c>
      <c r="C50" s="1">
        <f t="shared" ref="C50:D51" si="0">C32</f>
        <v>10.062111801242235</v>
      </c>
      <c r="D50" s="2">
        <f t="shared" si="0"/>
        <v>65</v>
      </c>
      <c r="E50" s="10">
        <f>F32+SUM('PDC singuliere-repartie'!F33,'PDC singuliere-repartie'!F36:F41,'PDC singuliere-repartie'!F43,'PDC singuliere-repartie'!F46:F50,'PDC singuliere-repartie'!Q32,'PDC singuliere-repartie'!Q35:Q38,'PDC singuliere-repartie'!Q53,'PDC singuliere-repartie'!M33:M38,'PDC singuliere-repartie'!M78:M83)</f>
        <v>0.21294108405427356</v>
      </c>
      <c r="F50" s="130">
        <f>MAX($E$49:$E$51)-E50</f>
        <v>1.1303238488562545E-2</v>
      </c>
      <c r="G50" s="4">
        <v>6.5</v>
      </c>
      <c r="H50" s="131" t="s">
        <v>310</v>
      </c>
      <c r="I50" s="104"/>
      <c r="J50" s="105"/>
    </row>
    <row r="51" spans="2:10">
      <c r="B51" s="88">
        <v>3</v>
      </c>
      <c r="C51" s="1">
        <f t="shared" si="0"/>
        <v>10.062111801242235</v>
      </c>
      <c r="D51" s="2">
        <f t="shared" si="0"/>
        <v>65</v>
      </c>
      <c r="E51" s="10">
        <f>F32+SUM('PDC singuliere-repartie'!F34,'PDC singuliere-repartie'!F37:F41,'PDC singuliere-repartie'!F43,'PDC singuliere-repartie'!F47:F50,'PDC singuliere-repartie'!Q32,'PDC singuliere-repartie'!Q35:Q38,'PDC singuliere-repartie'!Q53,'PDC singuliere-repartie'!M34:M38,'PDC singuliere-repartie'!M79:M83)</f>
        <v>0.20229888579823985</v>
      </c>
      <c r="F51" s="130">
        <f>MAX($E$49:$E$51)-E51</f>
        <v>2.1945436744596258E-2</v>
      </c>
      <c r="G51" s="4">
        <v>6.5</v>
      </c>
      <c r="H51" s="131" t="s">
        <v>310</v>
      </c>
      <c r="I51" s="104"/>
      <c r="J51" s="105"/>
    </row>
    <row r="54" spans="2:10">
      <c r="B54" s="140" t="s">
        <v>60</v>
      </c>
      <c r="C54" s="140"/>
      <c r="D54" s="140"/>
      <c r="E54" s="140"/>
      <c r="F54" s="140"/>
      <c r="G54" s="140"/>
      <c r="H54" s="140"/>
      <c r="I54" s="140"/>
    </row>
    <row r="55" spans="2:10" ht="17.25">
      <c r="B55" s="9" t="s">
        <v>45</v>
      </c>
      <c r="C55" s="9" t="s">
        <v>54</v>
      </c>
      <c r="D55" s="9" t="s">
        <v>46</v>
      </c>
      <c r="E55" s="9" t="s">
        <v>88</v>
      </c>
      <c r="F55" s="103" t="s">
        <v>248</v>
      </c>
      <c r="G55" s="120" t="s">
        <v>48</v>
      </c>
      <c r="H55" s="121"/>
      <c r="I55" s="122"/>
    </row>
    <row r="56" spans="2:10">
      <c r="B56" s="88">
        <v>4</v>
      </c>
      <c r="C56" s="1">
        <f>'Damètre conduites'!J27/1000</f>
        <v>5.5891946528168379</v>
      </c>
      <c r="D56" s="2">
        <f>D34</f>
        <v>50</v>
      </c>
      <c r="E56" s="82">
        <f>F34</f>
        <v>0.17</v>
      </c>
      <c r="F56" s="4">
        <v>6</v>
      </c>
      <c r="G56" s="137" t="s">
        <v>303</v>
      </c>
      <c r="H56" s="138"/>
      <c r="I56" s="139"/>
    </row>
    <row r="57" spans="2:10">
      <c r="B57" s="88">
        <v>5</v>
      </c>
      <c r="C57" s="1">
        <f>'Damètre conduites'!J28/1000</f>
        <v>2.9227424749163879</v>
      </c>
      <c r="D57" s="4">
        <f>40</f>
        <v>40</v>
      </c>
      <c r="E57" s="10">
        <f>ABS(F45+E45-(F40+E40))</f>
        <v>7.5376190917350594E-2</v>
      </c>
      <c r="F57" s="4">
        <v>6.5</v>
      </c>
      <c r="G57" s="137" t="s">
        <v>302</v>
      </c>
      <c r="H57" s="138"/>
      <c r="I57" s="139"/>
    </row>
    <row r="59" spans="2:10">
      <c r="D59" s="128" t="s">
        <v>304</v>
      </c>
      <c r="E59" s="128"/>
      <c r="F59" s="128"/>
    </row>
    <row r="60" spans="2:10">
      <c r="B60" s="140" t="s">
        <v>58</v>
      </c>
      <c r="C60" s="140"/>
      <c r="D60" s="140"/>
      <c r="E60" s="140"/>
      <c r="F60" s="140"/>
      <c r="G60" s="140"/>
      <c r="H60" s="140"/>
      <c r="I60" s="140"/>
    </row>
    <row r="61" spans="2:10" ht="17.25">
      <c r="B61" s="13" t="s">
        <v>45</v>
      </c>
      <c r="C61" s="13" t="s">
        <v>54</v>
      </c>
      <c r="D61" s="13" t="s">
        <v>46</v>
      </c>
      <c r="E61" s="13" t="s">
        <v>271</v>
      </c>
      <c r="F61" s="13" t="s">
        <v>267</v>
      </c>
      <c r="G61" s="13" t="s">
        <v>76</v>
      </c>
      <c r="H61" s="114" t="s">
        <v>48</v>
      </c>
      <c r="I61" s="114"/>
    </row>
    <row r="62" spans="2:10">
      <c r="B62" s="83">
        <v>1</v>
      </c>
      <c r="C62" s="1">
        <f>C39</f>
        <v>2.9227424749163879</v>
      </c>
      <c r="D62" s="4">
        <f>D40</f>
        <v>25</v>
      </c>
      <c r="E62" s="10">
        <f>E40</f>
        <v>0.35</v>
      </c>
      <c r="F62" s="102">
        <f>E57+'PDC singuliere-repartie'!Q57+SUM('PDC singuliere-repartie'!Q47:Q49)+SUM('PDC singuliere-repartie'!F51:F68)+SUM('PDC singuliere-repartie'!M39:M48,'PDC singuliere-repartie'!M58:M67)</f>
        <v>0.20539481887080754</v>
      </c>
      <c r="G62" s="1">
        <f>E62/(E62+F62)</f>
        <v>0.6301823281527853</v>
      </c>
      <c r="H62" s="41"/>
      <c r="I62" s="89"/>
    </row>
    <row r="66" spans="2:11">
      <c r="B66" s="141" t="s">
        <v>62</v>
      </c>
      <c r="C66" s="141"/>
      <c r="D66" s="141"/>
      <c r="E66" s="141"/>
      <c r="F66" s="141"/>
      <c r="G66" s="141"/>
      <c r="H66" s="141"/>
      <c r="I66" s="141"/>
    </row>
    <row r="67" spans="2:11" ht="17.25" thickBot="1">
      <c r="B67" s="43" t="s">
        <v>45</v>
      </c>
      <c r="C67" s="44" t="s">
        <v>57</v>
      </c>
      <c r="D67" s="44" t="s">
        <v>47</v>
      </c>
      <c r="E67" s="11" t="s">
        <v>311</v>
      </c>
      <c r="F67" s="44" t="s">
        <v>46</v>
      </c>
      <c r="G67" s="111" t="s">
        <v>48</v>
      </c>
      <c r="H67" s="112"/>
      <c r="I67" s="113"/>
    </row>
    <row r="68" spans="2:11" ht="15.75" thickBot="1">
      <c r="B68" s="45">
        <v>1</v>
      </c>
      <c r="C68" s="67">
        <f>'Damètre conduites'!E27*3600</f>
        <v>5.5891946528168388</v>
      </c>
      <c r="D68" s="133">
        <f>SUM('PDC singuliere-repartie'!F76,'PDC singuliere-repartie'!Q56,'PDC singuliere-repartie'!F83,'PDC singuliere-repartie'!F85,'PDC singuliere-repartie'!Q44,'PDC singuliere-repartie'!Q46,'PDC singuliere-repartie'!M55,'PDC singuliere-repartie'!M75:M76,'PDC singuliere-repartie'!M56:M57,E45)</f>
        <v>0.25915931349999999</v>
      </c>
      <c r="E68" s="67">
        <f>D68*10</f>
        <v>2.5915931350000001</v>
      </c>
      <c r="F68" s="46">
        <v>50</v>
      </c>
      <c r="G68" s="142" t="s">
        <v>312</v>
      </c>
      <c r="H68" s="143"/>
      <c r="I68" s="144"/>
    </row>
    <row r="69" spans="2:11">
      <c r="D69" t="s">
        <v>321</v>
      </c>
    </row>
    <row r="71" spans="2:11">
      <c r="B71" s="141" t="s">
        <v>61</v>
      </c>
      <c r="C71" s="141"/>
      <c r="D71" s="141"/>
      <c r="E71" s="141"/>
      <c r="F71" s="141"/>
      <c r="G71" s="141"/>
      <c r="H71" s="141"/>
      <c r="I71" s="141"/>
      <c r="J71" s="141"/>
      <c r="K71" s="141"/>
    </row>
    <row r="72" spans="2:11" ht="16.5">
      <c r="B72" s="43" t="s">
        <v>45</v>
      </c>
      <c r="C72" s="44" t="s">
        <v>57</v>
      </c>
      <c r="D72" s="57" t="s">
        <v>47</v>
      </c>
      <c r="E72" s="11" t="s">
        <v>311</v>
      </c>
      <c r="F72" s="44" t="s">
        <v>46</v>
      </c>
      <c r="G72" s="134" t="s">
        <v>313</v>
      </c>
      <c r="H72" s="134" t="s">
        <v>314</v>
      </c>
      <c r="I72" s="145" t="s">
        <v>48</v>
      </c>
      <c r="J72" s="145"/>
      <c r="K72" s="145"/>
    </row>
    <row r="73" spans="2:11" ht="28.9" customHeight="1">
      <c r="B73" s="45">
        <v>1</v>
      </c>
      <c r="C73" s="56">
        <f>'Damètre conduites'!J31/1000</f>
        <v>25.800286669851889</v>
      </c>
      <c r="D73" s="56">
        <f>SUM('PDC singuliere-repartie'!F51:F68,'PDC singuliere-repartie'!M39:M48,'PDC singuliere-repartie'!M58:M67,'PDC singuliere-repartie'!Q47:Q49,'PDC singuliere-repartie'!Q57)+E62+E57</f>
        <v>0.55539481887080755</v>
      </c>
      <c r="E73" s="66">
        <f>D73*10</f>
        <v>5.5539481887080751</v>
      </c>
      <c r="F73" s="132">
        <v>150</v>
      </c>
      <c r="G73" s="135">
        <v>69</v>
      </c>
      <c r="H73" s="135">
        <v>2</v>
      </c>
      <c r="I73" s="136" t="s">
        <v>315</v>
      </c>
      <c r="J73" s="136"/>
      <c r="K73" s="136"/>
    </row>
    <row r="74" spans="2:11">
      <c r="B74" s="45">
        <v>2</v>
      </c>
      <c r="C74" s="56">
        <f>C73</f>
        <v>25.800286669851889</v>
      </c>
      <c r="D74" s="56">
        <f>D73</f>
        <v>0.55539481887080755</v>
      </c>
      <c r="E74" s="56">
        <f>E73</f>
        <v>5.5539481887080751</v>
      </c>
      <c r="F74" s="55">
        <v>150</v>
      </c>
      <c r="G74" s="135">
        <f>G73</f>
        <v>69</v>
      </c>
      <c r="H74" s="135">
        <f>H73</f>
        <v>2</v>
      </c>
      <c r="I74" s="136"/>
      <c r="J74" s="136"/>
      <c r="K74" s="136"/>
    </row>
    <row r="75" spans="2:11">
      <c r="D75" t="s">
        <v>320</v>
      </c>
    </row>
    <row r="85" ht="239.65" customHeight="1"/>
  </sheetData>
  <mergeCells count="20">
    <mergeCell ref="B29:I29"/>
    <mergeCell ref="B42:I42"/>
    <mergeCell ref="H39:I39"/>
    <mergeCell ref="G68:I68"/>
    <mergeCell ref="I72:K72"/>
    <mergeCell ref="H45:I45"/>
    <mergeCell ref="B54:I54"/>
    <mergeCell ref="H48:K48"/>
    <mergeCell ref="B37:I37"/>
    <mergeCell ref="B47:I47"/>
    <mergeCell ref="K38:M39"/>
    <mergeCell ref="H40:I40"/>
    <mergeCell ref="H43:I43"/>
    <mergeCell ref="H44:I44"/>
    <mergeCell ref="I73:K74"/>
    <mergeCell ref="G56:I56"/>
    <mergeCell ref="G57:I57"/>
    <mergeCell ref="B60:I60"/>
    <mergeCell ref="B66:I66"/>
    <mergeCell ref="B71:K7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2667F-BA85-4818-B915-BAD3A21C52B9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863D7-BC9E-5E46-8BC0-1657E85A4EE4}">
  <dimension ref="C7:Q112"/>
  <sheetViews>
    <sheetView topLeftCell="A33" zoomScale="66" zoomScaleNormal="66" workbookViewId="0">
      <selection activeCell="J39" sqref="J39"/>
    </sheetView>
  </sheetViews>
  <sheetFormatPr baseColWidth="10" defaultRowHeight="15"/>
  <cols>
    <col min="2" max="2" width="9.28515625" customWidth="1"/>
    <col min="4" max="4" width="13.28515625" customWidth="1"/>
    <col min="5" max="5" width="19" customWidth="1"/>
    <col min="6" max="6" width="13.28515625" customWidth="1"/>
    <col min="7" max="8" width="22.5703125" customWidth="1"/>
    <col min="12" max="12" width="10.5703125" bestFit="1" customWidth="1"/>
    <col min="13" max="13" width="13.28515625" customWidth="1"/>
    <col min="14" max="14" width="19" customWidth="1"/>
    <col min="15" max="15" width="13.28515625" customWidth="1"/>
    <col min="16" max="17" width="22.5703125" customWidth="1"/>
    <col min="20" max="24" width="10.5703125" bestFit="1" customWidth="1"/>
  </cols>
  <sheetData>
    <row r="7" spans="3:10" ht="33" customHeight="1"/>
    <row r="8" spans="3:10" ht="23.1" customHeight="1">
      <c r="C8" s="209" t="s">
        <v>89</v>
      </c>
      <c r="D8" s="209"/>
      <c r="E8" s="209"/>
      <c r="F8" s="209"/>
      <c r="G8" s="209"/>
      <c r="H8" s="209"/>
    </row>
    <row r="9" spans="3:10" ht="23.1" customHeight="1">
      <c r="C9" s="226" t="s">
        <v>80</v>
      </c>
      <c r="D9" s="226"/>
      <c r="E9" s="226"/>
      <c r="F9" s="226"/>
      <c r="G9" s="226" t="s">
        <v>90</v>
      </c>
      <c r="H9" s="226"/>
    </row>
    <row r="10" spans="3:10" ht="15" customHeight="1">
      <c r="C10" s="211" t="s">
        <v>77</v>
      </c>
      <c r="D10" s="211"/>
      <c r="E10" s="167" t="s">
        <v>83</v>
      </c>
      <c r="F10" s="167"/>
      <c r="G10" s="167" t="s">
        <v>239</v>
      </c>
      <c r="H10" s="167"/>
      <c r="I10" s="5"/>
      <c r="J10" s="5"/>
    </row>
    <row r="11" spans="3:10">
      <c r="C11" s="211"/>
      <c r="D11" s="211"/>
      <c r="E11" s="9" t="s">
        <v>79</v>
      </c>
      <c r="F11" s="18">
        <f>3</f>
        <v>3</v>
      </c>
      <c r="G11" s="184"/>
      <c r="H11" s="184"/>
      <c r="I11" s="5"/>
      <c r="J11" s="5"/>
    </row>
    <row r="12" spans="3:10">
      <c r="C12" s="155"/>
      <c r="D12" s="155"/>
      <c r="E12" s="155"/>
      <c r="F12" s="155"/>
      <c r="G12" s="155"/>
      <c r="H12" s="155"/>
      <c r="I12" s="5"/>
      <c r="J12" s="5"/>
    </row>
    <row r="13" spans="3:10" ht="15" customHeight="1">
      <c r="C13" s="211" t="s">
        <v>44</v>
      </c>
      <c r="D13" s="212"/>
      <c r="E13" s="207" t="s">
        <v>82</v>
      </c>
      <c r="F13" s="228"/>
      <c r="G13" s="155" t="s">
        <v>249</v>
      </c>
      <c r="H13" s="157"/>
      <c r="I13" s="5"/>
      <c r="J13" s="5"/>
    </row>
    <row r="14" spans="3:10">
      <c r="C14" s="222"/>
      <c r="D14" s="223"/>
      <c r="E14" s="58" t="s">
        <v>78</v>
      </c>
      <c r="F14" s="58">
        <v>3</v>
      </c>
      <c r="G14" s="167"/>
      <c r="H14" s="167"/>
      <c r="I14" s="5"/>
      <c r="J14" s="5"/>
    </row>
    <row r="15" spans="3:10" ht="16.350000000000001" customHeight="1">
      <c r="C15" s="222"/>
      <c r="D15" s="223"/>
      <c r="E15" s="167" t="s">
        <v>84</v>
      </c>
      <c r="F15" s="167"/>
      <c r="G15" s="167" t="s">
        <v>51</v>
      </c>
      <c r="H15" s="167"/>
      <c r="I15" s="5"/>
      <c r="J15" s="5"/>
    </row>
    <row r="16" spans="3:10">
      <c r="C16" s="222"/>
      <c r="D16" s="223"/>
      <c r="E16" s="58" t="s">
        <v>78</v>
      </c>
      <c r="F16" s="58">
        <v>6</v>
      </c>
      <c r="G16" s="167"/>
      <c r="H16" s="167"/>
      <c r="I16" s="5"/>
      <c r="J16" s="5"/>
    </row>
    <row r="17" spans="3:10">
      <c r="C17" s="222"/>
      <c r="D17" s="223"/>
      <c r="E17" s="167" t="s">
        <v>86</v>
      </c>
      <c r="F17" s="167"/>
      <c r="G17" s="167" t="s">
        <v>52</v>
      </c>
      <c r="H17" s="167"/>
      <c r="I17" s="5"/>
      <c r="J17" s="5"/>
    </row>
    <row r="18" spans="3:10">
      <c r="C18" s="222"/>
      <c r="D18" s="223"/>
      <c r="E18" s="58" t="s">
        <v>78</v>
      </c>
      <c r="F18" s="58">
        <v>3</v>
      </c>
      <c r="G18" s="167"/>
      <c r="H18" s="167"/>
      <c r="I18" s="5"/>
      <c r="J18" s="5"/>
    </row>
    <row r="19" spans="3:10">
      <c r="C19" s="222"/>
      <c r="D19" s="223"/>
      <c r="E19" s="167" t="s">
        <v>87</v>
      </c>
      <c r="F19" s="167"/>
      <c r="G19" s="167" t="s">
        <v>53</v>
      </c>
      <c r="H19" s="167"/>
      <c r="I19" s="5"/>
      <c r="J19" s="5"/>
    </row>
    <row r="20" spans="3:10">
      <c r="C20" s="213"/>
      <c r="D20" s="214"/>
      <c r="E20" s="58" t="s">
        <v>78</v>
      </c>
      <c r="F20" s="58">
        <v>3</v>
      </c>
      <c r="G20" s="155"/>
      <c r="H20" s="157"/>
      <c r="I20" s="5"/>
      <c r="J20" s="5"/>
    </row>
    <row r="21" spans="3:10">
      <c r="C21" s="184"/>
      <c r="D21" s="185"/>
      <c r="E21" s="54" t="s">
        <v>79</v>
      </c>
      <c r="F21" s="18">
        <f>SUM(F14,F16,F18,F20)</f>
        <v>15</v>
      </c>
      <c r="G21" s="215"/>
      <c r="H21" s="215"/>
      <c r="I21" s="5"/>
      <c r="J21" s="5"/>
    </row>
    <row r="22" spans="3:10">
      <c r="C22" s="219"/>
      <c r="D22" s="220"/>
      <c r="E22" s="220"/>
      <c r="F22" s="220"/>
      <c r="G22" s="220"/>
      <c r="H22" s="221"/>
      <c r="I22" s="5"/>
      <c r="J22" s="5"/>
    </row>
    <row r="23" spans="3:10">
      <c r="C23" s="211" t="s">
        <v>55</v>
      </c>
      <c r="D23" s="212"/>
      <c r="E23" s="167" t="s">
        <v>83</v>
      </c>
      <c r="F23" s="167"/>
      <c r="G23" s="167" t="s">
        <v>56</v>
      </c>
      <c r="H23" s="167"/>
      <c r="I23" s="5"/>
      <c r="J23" s="5"/>
    </row>
    <row r="24" spans="3:10">
      <c r="C24" s="213"/>
      <c r="D24" s="214"/>
      <c r="E24" s="9" t="s">
        <v>79</v>
      </c>
      <c r="F24" s="18">
        <f>3</f>
        <v>3</v>
      </c>
      <c r="G24" s="184"/>
      <c r="H24" s="185"/>
      <c r="I24" s="5"/>
      <c r="J24" s="5"/>
    </row>
    <row r="25" spans="3:10">
      <c r="C25" s="194"/>
      <c r="D25" s="227"/>
      <c r="E25" s="227"/>
      <c r="F25" s="227"/>
      <c r="G25" s="227"/>
      <c r="H25" s="195"/>
      <c r="I25" s="5"/>
      <c r="J25" s="5"/>
    </row>
    <row r="26" spans="3:10" ht="32.1" customHeight="1">
      <c r="C26" s="211" t="s">
        <v>58</v>
      </c>
      <c r="D26" s="212"/>
      <c r="E26" s="207" t="s">
        <v>82</v>
      </c>
      <c r="F26" s="207"/>
      <c r="G26" s="137" t="s">
        <v>318</v>
      </c>
      <c r="H26" s="139"/>
      <c r="I26" s="5"/>
      <c r="J26" s="5"/>
    </row>
    <row r="27" spans="3:10">
      <c r="C27" s="213"/>
      <c r="D27" s="214"/>
      <c r="E27" s="58" t="s">
        <v>78</v>
      </c>
      <c r="F27" s="58">
        <v>1</v>
      </c>
      <c r="G27" s="155"/>
      <c r="H27" s="157"/>
      <c r="I27" s="5"/>
      <c r="J27" s="5"/>
    </row>
    <row r="28" spans="3:10">
      <c r="C28" s="184"/>
      <c r="D28" s="185"/>
      <c r="E28" s="9" t="s">
        <v>79</v>
      </c>
      <c r="F28" s="9">
        <f>SUM(F27)</f>
        <v>1</v>
      </c>
      <c r="G28" s="215"/>
      <c r="H28" s="215"/>
      <c r="I28" s="5"/>
      <c r="J28" s="5"/>
    </row>
    <row r="29" spans="3:10">
      <c r="C29" s="219"/>
      <c r="D29" s="220"/>
      <c r="E29" s="220"/>
      <c r="F29" s="220"/>
      <c r="G29" s="220"/>
      <c r="H29" s="221"/>
      <c r="I29" s="5"/>
      <c r="J29" s="5"/>
    </row>
    <row r="30" spans="3:10">
      <c r="C30" s="211" t="s">
        <v>59</v>
      </c>
      <c r="D30" s="212"/>
      <c r="E30" s="207" t="s">
        <v>82</v>
      </c>
      <c r="F30" s="207"/>
      <c r="G30" s="155" t="s">
        <v>319</v>
      </c>
      <c r="H30" s="157"/>
      <c r="I30" s="5"/>
      <c r="J30" s="5"/>
    </row>
    <row r="31" spans="3:10">
      <c r="C31" s="213"/>
      <c r="D31" s="214"/>
      <c r="E31" s="9" t="s">
        <v>79</v>
      </c>
      <c r="F31" s="9">
        <v>1</v>
      </c>
      <c r="G31" s="190"/>
      <c r="H31" s="191"/>
      <c r="I31" s="5"/>
      <c r="J31" s="5"/>
    </row>
    <row r="32" spans="3:10">
      <c r="C32" s="216"/>
      <c r="D32" s="217"/>
      <c r="E32" s="217"/>
      <c r="F32" s="217"/>
      <c r="G32" s="217"/>
      <c r="H32" s="218"/>
      <c r="J32" s="5"/>
    </row>
    <row r="33" spans="3:10" ht="15" customHeight="1">
      <c r="C33" s="172" t="s">
        <v>60</v>
      </c>
      <c r="D33" s="172"/>
      <c r="E33" s="207" t="s">
        <v>82</v>
      </c>
      <c r="F33" s="204"/>
      <c r="G33" s="155" t="s">
        <v>309</v>
      </c>
      <c r="H33" s="157"/>
      <c r="J33" s="5"/>
    </row>
    <row r="34" spans="3:10">
      <c r="C34" s="172"/>
      <c r="D34" s="172"/>
      <c r="E34" s="58" t="s">
        <v>78</v>
      </c>
      <c r="F34" s="58">
        <v>1</v>
      </c>
      <c r="G34" s="192"/>
      <c r="H34" s="193"/>
    </row>
    <row r="35" spans="3:10">
      <c r="C35" s="172"/>
      <c r="D35" s="172"/>
      <c r="E35" s="167" t="s">
        <v>84</v>
      </c>
      <c r="F35" s="155"/>
      <c r="G35" s="155" t="s">
        <v>310</v>
      </c>
      <c r="H35" s="157"/>
    </row>
    <row r="36" spans="3:10" ht="18" customHeight="1">
      <c r="C36" s="172"/>
      <c r="D36" s="172"/>
      <c r="E36" s="58" t="s">
        <v>78</v>
      </c>
      <c r="F36" s="58">
        <v>2</v>
      </c>
      <c r="G36" s="210"/>
      <c r="H36" s="210"/>
    </row>
    <row r="37" spans="3:10">
      <c r="C37" s="172"/>
      <c r="D37" s="172"/>
      <c r="E37" s="167" t="s">
        <v>85</v>
      </c>
      <c r="F37" s="167"/>
      <c r="G37" s="150" t="s">
        <v>303</v>
      </c>
      <c r="H37" s="150"/>
      <c r="I37" s="64"/>
    </row>
    <row r="38" spans="3:10">
      <c r="C38" s="172"/>
      <c r="D38" s="172"/>
      <c r="E38" s="58" t="s">
        <v>78</v>
      </c>
      <c r="F38" s="58">
        <v>1</v>
      </c>
      <c r="G38" s="155"/>
      <c r="H38" s="157"/>
    </row>
    <row r="39" spans="3:10" ht="17.100000000000001" customHeight="1">
      <c r="C39" s="172"/>
      <c r="D39" s="172"/>
      <c r="E39" s="167" t="s">
        <v>86</v>
      </c>
      <c r="F39" s="167"/>
      <c r="G39" s="224" t="s">
        <v>302</v>
      </c>
      <c r="H39" s="225"/>
      <c r="I39" s="65"/>
    </row>
    <row r="40" spans="3:10">
      <c r="C40" s="172"/>
      <c r="D40" s="172"/>
      <c r="E40" s="58" t="s">
        <v>78</v>
      </c>
      <c r="F40" s="58">
        <v>1</v>
      </c>
      <c r="G40" s="155"/>
      <c r="H40" s="157"/>
    </row>
    <row r="41" spans="3:10">
      <c r="C41" s="184"/>
      <c r="D41" s="185"/>
      <c r="E41" s="9" t="s">
        <v>79</v>
      </c>
      <c r="F41" s="9">
        <f>SUM(F34,F36,F38)</f>
        <v>4</v>
      </c>
      <c r="G41" s="215"/>
      <c r="H41" s="215"/>
      <c r="I41" s="68"/>
    </row>
    <row r="42" spans="3:10">
      <c r="C42" s="61"/>
      <c r="D42" s="62"/>
      <c r="E42" s="60"/>
      <c r="F42" s="60"/>
      <c r="G42" s="62"/>
      <c r="H42" s="63"/>
    </row>
    <row r="43" spans="3:10">
      <c r="C43" s="211" t="s">
        <v>61</v>
      </c>
      <c r="D43" s="212"/>
      <c r="E43" s="167" t="s">
        <v>82</v>
      </c>
      <c r="F43" s="167"/>
      <c r="G43" s="167" t="s">
        <v>315</v>
      </c>
      <c r="H43" s="167"/>
    </row>
    <row r="44" spans="3:10" ht="32.1" customHeight="1">
      <c r="C44" s="213"/>
      <c r="D44" s="214"/>
      <c r="E44" s="9" t="s">
        <v>79</v>
      </c>
      <c r="F44" s="9">
        <f>2</f>
        <v>2</v>
      </c>
      <c r="G44" s="184"/>
      <c r="H44" s="185"/>
    </row>
    <row r="45" spans="3:10">
      <c r="C45" s="59"/>
      <c r="D45" s="60"/>
      <c r="E45" s="60"/>
      <c r="F45" s="60"/>
      <c r="G45" s="62"/>
      <c r="H45" s="63"/>
    </row>
    <row r="46" spans="3:10">
      <c r="C46" s="211" t="s">
        <v>62</v>
      </c>
      <c r="D46" s="212"/>
      <c r="E46" s="167" t="s">
        <v>82</v>
      </c>
      <c r="F46" s="167"/>
      <c r="G46" s="155" t="s">
        <v>312</v>
      </c>
      <c r="H46" s="157"/>
    </row>
    <row r="47" spans="3:10">
      <c r="C47" s="213"/>
      <c r="D47" s="214"/>
      <c r="E47" s="9" t="s">
        <v>79</v>
      </c>
      <c r="F47" s="9">
        <f>1</f>
        <v>1</v>
      </c>
      <c r="G47" s="184"/>
      <c r="H47" s="185"/>
    </row>
    <row r="48" spans="3:10">
      <c r="C48" s="59"/>
      <c r="D48" s="60"/>
      <c r="E48" s="69"/>
      <c r="F48" s="69"/>
      <c r="G48" s="62"/>
      <c r="H48" s="63"/>
    </row>
    <row r="49" spans="3:8">
      <c r="C49" s="190" t="s">
        <v>72</v>
      </c>
      <c r="D49" s="191"/>
      <c r="E49" s="206" t="s">
        <v>82</v>
      </c>
      <c r="F49" s="207"/>
      <c r="G49" s="155" t="s">
        <v>91</v>
      </c>
      <c r="H49" s="157"/>
    </row>
    <row r="50" spans="3:8">
      <c r="C50" s="192"/>
      <c r="D50" s="193"/>
      <c r="E50" s="72" t="s">
        <v>78</v>
      </c>
      <c r="F50" s="70">
        <v>2</v>
      </c>
      <c r="G50" s="155"/>
      <c r="H50" s="157"/>
    </row>
    <row r="51" spans="3:8">
      <c r="C51" s="192"/>
      <c r="D51" s="193"/>
      <c r="E51" s="157" t="s">
        <v>84</v>
      </c>
      <c r="F51" s="167"/>
      <c r="G51" s="155" t="s">
        <v>93</v>
      </c>
      <c r="H51" s="157"/>
    </row>
    <row r="52" spans="3:8">
      <c r="C52" s="192"/>
      <c r="D52" s="193"/>
      <c r="E52" s="71" t="s">
        <v>78</v>
      </c>
      <c r="F52" s="58">
        <v>2</v>
      </c>
      <c r="G52" s="155"/>
      <c r="H52" s="157"/>
    </row>
    <row r="53" spans="3:8" ht="17.100000000000001" customHeight="1">
      <c r="C53" s="192"/>
      <c r="D53" s="193"/>
      <c r="E53" s="157" t="s">
        <v>85</v>
      </c>
      <c r="F53" s="167"/>
      <c r="G53" s="155" t="s">
        <v>94</v>
      </c>
      <c r="H53" s="157"/>
    </row>
    <row r="54" spans="3:8">
      <c r="C54" s="192"/>
      <c r="D54" s="193"/>
      <c r="E54" s="71" t="s">
        <v>78</v>
      </c>
      <c r="F54" s="58">
        <v>1</v>
      </c>
      <c r="G54" s="155"/>
      <c r="H54" s="157"/>
    </row>
    <row r="55" spans="3:8">
      <c r="C55" s="192"/>
      <c r="D55" s="193"/>
      <c r="E55" s="206" t="s">
        <v>86</v>
      </c>
      <c r="F55" s="207"/>
      <c r="G55" s="155" t="s">
        <v>95</v>
      </c>
      <c r="H55" s="157"/>
    </row>
    <row r="56" spans="3:8">
      <c r="C56" s="192"/>
      <c r="D56" s="193"/>
      <c r="E56" s="71" t="s">
        <v>78</v>
      </c>
      <c r="F56" s="58">
        <v>1</v>
      </c>
      <c r="G56" s="155"/>
      <c r="H56" s="157"/>
    </row>
    <row r="57" spans="3:8">
      <c r="C57" s="192"/>
      <c r="D57" s="193"/>
      <c r="E57" s="157" t="s">
        <v>87</v>
      </c>
      <c r="F57" s="167"/>
      <c r="G57" s="155" t="s">
        <v>96</v>
      </c>
      <c r="H57" s="157"/>
    </row>
    <row r="58" spans="3:8">
      <c r="C58" s="192"/>
      <c r="D58" s="193"/>
      <c r="E58" s="71" t="s">
        <v>78</v>
      </c>
      <c r="F58" s="58">
        <v>1</v>
      </c>
      <c r="G58" s="155"/>
      <c r="H58" s="157"/>
    </row>
    <row r="59" spans="3:8">
      <c r="C59" s="192"/>
      <c r="D59" s="193"/>
      <c r="E59" s="157" t="s">
        <v>92</v>
      </c>
      <c r="F59" s="167"/>
      <c r="G59" s="155" t="s">
        <v>111</v>
      </c>
      <c r="H59" s="157"/>
    </row>
    <row r="60" spans="3:8">
      <c r="C60" s="192"/>
      <c r="D60" s="193"/>
      <c r="E60" s="71" t="s">
        <v>78</v>
      </c>
      <c r="F60" s="58">
        <v>1</v>
      </c>
      <c r="G60" s="155"/>
      <c r="H60" s="157"/>
    </row>
    <row r="61" spans="3:8">
      <c r="C61" s="192"/>
      <c r="D61" s="193"/>
      <c r="E61" s="157" t="s">
        <v>97</v>
      </c>
      <c r="F61" s="167"/>
      <c r="G61" s="155" t="s">
        <v>112</v>
      </c>
      <c r="H61" s="157"/>
    </row>
    <row r="62" spans="3:8">
      <c r="C62" s="192"/>
      <c r="D62" s="193"/>
      <c r="E62" s="71" t="s">
        <v>78</v>
      </c>
      <c r="F62" s="58">
        <v>1</v>
      </c>
      <c r="G62" s="155"/>
      <c r="H62" s="157"/>
    </row>
    <row r="63" spans="3:8">
      <c r="C63" s="192"/>
      <c r="D63" s="193"/>
      <c r="E63" s="157" t="s">
        <v>98</v>
      </c>
      <c r="F63" s="167"/>
      <c r="G63" s="155" t="s">
        <v>113</v>
      </c>
      <c r="H63" s="157"/>
    </row>
    <row r="64" spans="3:8">
      <c r="C64" s="192"/>
      <c r="D64" s="193"/>
      <c r="E64" s="71" t="s">
        <v>78</v>
      </c>
      <c r="F64" s="58">
        <v>1</v>
      </c>
      <c r="G64" s="155"/>
      <c r="H64" s="157"/>
    </row>
    <row r="65" spans="3:8">
      <c r="C65" s="192"/>
      <c r="D65" s="193"/>
      <c r="E65" s="157" t="s">
        <v>99</v>
      </c>
      <c r="F65" s="167"/>
      <c r="G65" s="155" t="s">
        <v>114</v>
      </c>
      <c r="H65" s="157"/>
    </row>
    <row r="66" spans="3:8">
      <c r="C66" s="192"/>
      <c r="D66" s="193"/>
      <c r="E66" s="71" t="s">
        <v>78</v>
      </c>
      <c r="F66" s="58">
        <v>1</v>
      </c>
      <c r="G66" s="155"/>
      <c r="H66" s="157"/>
    </row>
    <row r="67" spans="3:8">
      <c r="C67" s="192"/>
      <c r="D67" s="193"/>
      <c r="E67" s="157" t="s">
        <v>100</v>
      </c>
      <c r="F67" s="167"/>
      <c r="G67" s="155" t="s">
        <v>115</v>
      </c>
      <c r="H67" s="157"/>
    </row>
    <row r="68" spans="3:8">
      <c r="C68" s="192"/>
      <c r="D68" s="193"/>
      <c r="E68" s="71" t="s">
        <v>78</v>
      </c>
      <c r="F68" s="58">
        <v>1</v>
      </c>
      <c r="G68" s="155"/>
      <c r="H68" s="157"/>
    </row>
    <row r="69" spans="3:8">
      <c r="C69" s="192"/>
      <c r="D69" s="193"/>
      <c r="E69" s="157" t="s">
        <v>101</v>
      </c>
      <c r="F69" s="167"/>
      <c r="G69" s="155" t="s">
        <v>116</v>
      </c>
      <c r="H69" s="157"/>
    </row>
    <row r="70" spans="3:8">
      <c r="C70" s="192"/>
      <c r="D70" s="193"/>
      <c r="E70" s="71" t="s">
        <v>78</v>
      </c>
      <c r="F70" s="58">
        <v>1</v>
      </c>
      <c r="G70" s="155"/>
      <c r="H70" s="157"/>
    </row>
    <row r="71" spans="3:8">
      <c r="C71" s="192"/>
      <c r="D71" s="193"/>
      <c r="E71" s="157" t="s">
        <v>102</v>
      </c>
      <c r="F71" s="167"/>
      <c r="G71" s="155" t="s">
        <v>117</v>
      </c>
      <c r="H71" s="157"/>
    </row>
    <row r="72" spans="3:8">
      <c r="C72" s="192"/>
      <c r="D72" s="193"/>
      <c r="E72" s="71" t="s">
        <v>78</v>
      </c>
      <c r="F72" s="58">
        <v>1</v>
      </c>
      <c r="G72" s="155"/>
      <c r="H72" s="157"/>
    </row>
    <row r="73" spans="3:8">
      <c r="C73" s="192"/>
      <c r="D73" s="193"/>
      <c r="E73" s="157" t="s">
        <v>103</v>
      </c>
      <c r="F73" s="167"/>
      <c r="G73" s="155" t="s">
        <v>118</v>
      </c>
      <c r="H73" s="157"/>
    </row>
    <row r="74" spans="3:8">
      <c r="C74" s="192"/>
      <c r="D74" s="193"/>
      <c r="E74" s="71" t="s">
        <v>78</v>
      </c>
      <c r="F74" s="58">
        <v>1</v>
      </c>
      <c r="G74" s="155"/>
      <c r="H74" s="157"/>
    </row>
    <row r="75" spans="3:8">
      <c r="C75" s="192"/>
      <c r="D75" s="193"/>
      <c r="E75" s="157" t="s">
        <v>104</v>
      </c>
      <c r="F75" s="167"/>
      <c r="G75" s="155" t="s">
        <v>119</v>
      </c>
      <c r="H75" s="157"/>
    </row>
    <row r="76" spans="3:8">
      <c r="C76" s="192"/>
      <c r="D76" s="193"/>
      <c r="E76" s="71" t="s">
        <v>78</v>
      </c>
      <c r="F76" s="58">
        <v>1</v>
      </c>
      <c r="G76" s="155"/>
      <c r="H76" s="157"/>
    </row>
    <row r="77" spans="3:8">
      <c r="C77" s="192"/>
      <c r="D77" s="193"/>
      <c r="E77" s="157" t="s">
        <v>105</v>
      </c>
      <c r="F77" s="167"/>
      <c r="G77" s="155" t="s">
        <v>120</v>
      </c>
      <c r="H77" s="157"/>
    </row>
    <row r="78" spans="3:8">
      <c r="C78" s="192"/>
      <c r="D78" s="193"/>
      <c r="E78" s="71" t="s">
        <v>78</v>
      </c>
      <c r="F78" s="58">
        <v>1</v>
      </c>
      <c r="G78" s="155"/>
      <c r="H78" s="157"/>
    </row>
    <row r="79" spans="3:8" ht="32.1" customHeight="1">
      <c r="C79" s="192"/>
      <c r="D79" s="193"/>
      <c r="E79" s="157" t="s">
        <v>106</v>
      </c>
      <c r="F79" s="167"/>
      <c r="G79" s="155" t="s">
        <v>121</v>
      </c>
      <c r="H79" s="157"/>
    </row>
    <row r="80" spans="3:8">
      <c r="C80" s="192"/>
      <c r="D80" s="193"/>
      <c r="E80" s="71" t="s">
        <v>78</v>
      </c>
      <c r="F80" s="58">
        <v>1</v>
      </c>
      <c r="G80" s="155"/>
      <c r="H80" s="157"/>
    </row>
    <row r="81" spans="3:17">
      <c r="C81" s="192"/>
      <c r="D81" s="193"/>
      <c r="E81" s="157" t="s">
        <v>107</v>
      </c>
      <c r="F81" s="167"/>
      <c r="G81" s="155" t="s">
        <v>119</v>
      </c>
      <c r="H81" s="157"/>
    </row>
    <row r="82" spans="3:17">
      <c r="C82" s="192"/>
      <c r="D82" s="193"/>
      <c r="E82" s="71" t="s">
        <v>78</v>
      </c>
      <c r="F82" s="58">
        <v>1</v>
      </c>
      <c r="G82" s="155"/>
      <c r="H82" s="157"/>
    </row>
    <row r="83" spans="3:17">
      <c r="C83" s="192"/>
      <c r="D83" s="193"/>
      <c r="E83" s="157" t="s">
        <v>108</v>
      </c>
      <c r="F83" s="167"/>
      <c r="G83" s="155" t="s">
        <v>122</v>
      </c>
      <c r="H83" s="157"/>
    </row>
    <row r="84" spans="3:17">
      <c r="C84" s="192"/>
      <c r="D84" s="193"/>
      <c r="E84" s="71" t="s">
        <v>78</v>
      </c>
      <c r="F84" s="58">
        <v>1</v>
      </c>
      <c r="G84" s="155"/>
      <c r="H84" s="157"/>
    </row>
    <row r="85" spans="3:17">
      <c r="C85" s="192"/>
      <c r="D85" s="193"/>
      <c r="E85" s="157" t="s">
        <v>109</v>
      </c>
      <c r="F85" s="167"/>
      <c r="G85" s="155" t="s">
        <v>123</v>
      </c>
      <c r="H85" s="157"/>
    </row>
    <row r="86" spans="3:17">
      <c r="C86" s="192"/>
      <c r="D86" s="193"/>
      <c r="E86" s="71" t="s">
        <v>78</v>
      </c>
      <c r="F86" s="58">
        <v>1</v>
      </c>
      <c r="G86" s="155"/>
      <c r="H86" s="157"/>
    </row>
    <row r="87" spans="3:17">
      <c r="C87" s="192"/>
      <c r="D87" s="193"/>
      <c r="E87" s="157" t="s">
        <v>110</v>
      </c>
      <c r="F87" s="167"/>
      <c r="G87" s="155" t="s">
        <v>124</v>
      </c>
      <c r="H87" s="157"/>
    </row>
    <row r="88" spans="3:17">
      <c r="C88" s="192"/>
      <c r="D88" s="193"/>
      <c r="E88" s="71" t="s">
        <v>78</v>
      </c>
      <c r="F88" s="58">
        <v>2</v>
      </c>
      <c r="G88" s="155"/>
      <c r="H88" s="157"/>
    </row>
    <row r="89" spans="3:17">
      <c r="C89" s="192"/>
      <c r="D89" s="193"/>
      <c r="E89" s="157" t="s">
        <v>130</v>
      </c>
      <c r="F89" s="167"/>
      <c r="G89" s="155" t="s">
        <v>125</v>
      </c>
      <c r="H89" s="157"/>
    </row>
    <row r="90" spans="3:17">
      <c r="C90" s="192"/>
      <c r="D90" s="193"/>
      <c r="E90" s="71" t="s">
        <v>78</v>
      </c>
      <c r="F90" s="58">
        <v>1</v>
      </c>
      <c r="G90" s="155"/>
      <c r="H90" s="157"/>
      <c r="Q90" s="64"/>
    </row>
    <row r="91" spans="3:17">
      <c r="C91" s="192"/>
      <c r="D91" s="193"/>
      <c r="E91" s="157" t="s">
        <v>131</v>
      </c>
      <c r="F91" s="167"/>
      <c r="G91" s="155" t="s">
        <v>126</v>
      </c>
      <c r="H91" s="157"/>
      <c r="Q91" s="64"/>
    </row>
    <row r="92" spans="3:17">
      <c r="C92" s="192"/>
      <c r="D92" s="193"/>
      <c r="E92" s="71" t="s">
        <v>78</v>
      </c>
      <c r="F92" s="58">
        <v>1</v>
      </c>
      <c r="G92" s="155"/>
      <c r="H92" s="157"/>
      <c r="Q92" s="64"/>
    </row>
    <row r="93" spans="3:17">
      <c r="C93" s="192"/>
      <c r="D93" s="193"/>
      <c r="E93" s="157" t="s">
        <v>132</v>
      </c>
      <c r="F93" s="167"/>
      <c r="G93" s="155" t="s">
        <v>127</v>
      </c>
      <c r="H93" s="157"/>
      <c r="Q93" s="64"/>
    </row>
    <row r="94" spans="3:17">
      <c r="C94" s="192"/>
      <c r="D94" s="193"/>
      <c r="E94" s="71" t="s">
        <v>78</v>
      </c>
      <c r="F94" s="58">
        <v>1</v>
      </c>
      <c r="G94" s="155"/>
      <c r="H94" s="157"/>
      <c r="Q94" s="64"/>
    </row>
    <row r="95" spans="3:17">
      <c r="C95" s="192"/>
      <c r="D95" s="193"/>
      <c r="E95" s="157" t="s">
        <v>133</v>
      </c>
      <c r="F95" s="167"/>
      <c r="G95" s="155" t="s">
        <v>128</v>
      </c>
      <c r="H95" s="157"/>
      <c r="Q95" s="64"/>
    </row>
    <row r="96" spans="3:17">
      <c r="C96" s="192"/>
      <c r="D96" s="193"/>
      <c r="E96" s="71" t="s">
        <v>78</v>
      </c>
      <c r="F96" s="58">
        <v>1</v>
      </c>
      <c r="G96" s="155"/>
      <c r="H96" s="157"/>
      <c r="Q96" s="64"/>
    </row>
    <row r="97" spans="3:17">
      <c r="C97" s="192"/>
      <c r="D97" s="193"/>
      <c r="E97" s="157" t="s">
        <v>134</v>
      </c>
      <c r="F97" s="167"/>
      <c r="G97" s="155" t="s">
        <v>129</v>
      </c>
      <c r="H97" s="157"/>
      <c r="Q97" s="64"/>
    </row>
    <row r="98" spans="3:17">
      <c r="C98" s="194"/>
      <c r="D98" s="195"/>
      <c r="E98" s="71" t="s">
        <v>78</v>
      </c>
      <c r="F98" s="58">
        <v>1</v>
      </c>
      <c r="G98" s="155"/>
      <c r="H98" s="157"/>
      <c r="Q98" s="64"/>
    </row>
    <row r="99" spans="3:17">
      <c r="C99" s="186"/>
      <c r="D99" s="187"/>
      <c r="E99" s="9" t="s">
        <v>79</v>
      </c>
      <c r="F99" s="9">
        <f>SUM(F50,F52,F54,F56,F58,F60,F62,F64,F66,F68,F70,F72,F76,F78,F80,F74,F82,F84,F86,F88,F90,F92,F94,F96,F98)</f>
        <v>28</v>
      </c>
      <c r="G99" s="184"/>
      <c r="H99" s="185"/>
      <c r="Q99" s="64"/>
    </row>
    <row r="100" spans="3:17">
      <c r="C100" s="188"/>
      <c r="D100" s="189"/>
      <c r="E100" s="189"/>
      <c r="F100" s="189"/>
      <c r="G100" s="62"/>
      <c r="H100" s="63"/>
      <c r="Q100" s="64"/>
    </row>
    <row r="101" spans="3:17">
      <c r="C101" s="196" t="s">
        <v>140</v>
      </c>
      <c r="D101" s="197"/>
      <c r="E101" s="208" t="s">
        <v>82</v>
      </c>
      <c r="F101" s="206"/>
      <c r="G101" s="202" t="s">
        <v>135</v>
      </c>
      <c r="H101" s="203"/>
      <c r="Q101" s="64"/>
    </row>
    <row r="102" spans="3:17">
      <c r="C102" s="198"/>
      <c r="D102" s="199"/>
      <c r="E102" s="72" t="s">
        <v>78</v>
      </c>
      <c r="F102" s="72">
        <v>9</v>
      </c>
      <c r="G102" s="204"/>
      <c r="H102" s="205"/>
      <c r="Q102" s="64"/>
    </row>
    <row r="103" spans="3:17">
      <c r="C103" s="198"/>
      <c r="D103" s="199"/>
      <c r="E103" s="208" t="s">
        <v>84</v>
      </c>
      <c r="F103" s="206"/>
      <c r="G103" s="202" t="s">
        <v>136</v>
      </c>
      <c r="H103" s="203"/>
      <c r="Q103" s="74"/>
    </row>
    <row r="104" spans="3:17">
      <c r="C104" s="198"/>
      <c r="D104" s="199"/>
      <c r="E104" s="72" t="s">
        <v>78</v>
      </c>
      <c r="F104" s="72">
        <v>12</v>
      </c>
      <c r="G104" s="204"/>
      <c r="H104" s="205"/>
      <c r="Q104" s="74"/>
    </row>
    <row r="105" spans="3:17">
      <c r="C105" s="198"/>
      <c r="D105" s="199"/>
      <c r="E105" s="157" t="s">
        <v>85</v>
      </c>
      <c r="F105" s="167"/>
      <c r="G105" s="204" t="s">
        <v>137</v>
      </c>
      <c r="H105" s="205"/>
    </row>
    <row r="106" spans="3:17">
      <c r="C106" s="198"/>
      <c r="D106" s="199"/>
      <c r="E106" s="71" t="s">
        <v>78</v>
      </c>
      <c r="F106" s="58">
        <v>1</v>
      </c>
      <c r="G106" s="204"/>
      <c r="H106" s="205"/>
    </row>
    <row r="107" spans="3:17">
      <c r="C107" s="198"/>
      <c r="D107" s="199"/>
      <c r="E107" s="206" t="s">
        <v>86</v>
      </c>
      <c r="F107" s="207"/>
      <c r="G107" s="204" t="s">
        <v>138</v>
      </c>
      <c r="H107" s="205"/>
    </row>
    <row r="108" spans="3:17">
      <c r="C108" s="198"/>
      <c r="D108" s="199"/>
      <c r="E108" s="71" t="s">
        <v>78</v>
      </c>
      <c r="F108" s="58">
        <v>5</v>
      </c>
      <c r="G108" s="204"/>
      <c r="H108" s="205"/>
    </row>
    <row r="109" spans="3:17">
      <c r="C109" s="198"/>
      <c r="D109" s="199"/>
      <c r="E109" s="157" t="s">
        <v>87</v>
      </c>
      <c r="F109" s="167"/>
      <c r="G109" s="204" t="s">
        <v>139</v>
      </c>
      <c r="H109" s="205"/>
    </row>
    <row r="110" spans="3:17">
      <c r="C110" s="200"/>
      <c r="D110" s="201"/>
      <c r="E110" s="71" t="s">
        <v>78</v>
      </c>
      <c r="F110" s="58">
        <v>12</v>
      </c>
      <c r="G110" s="204"/>
      <c r="H110" s="205"/>
    </row>
    <row r="111" spans="3:17">
      <c r="C111" s="186"/>
      <c r="D111" s="187"/>
      <c r="E111" s="9" t="s">
        <v>79</v>
      </c>
      <c r="F111" s="9">
        <f>SUM(F102,F104,F106,F108,F110)</f>
        <v>39</v>
      </c>
      <c r="G111" s="184"/>
      <c r="H111" s="185"/>
    </row>
    <row r="112" spans="3:17">
      <c r="C112" s="188"/>
      <c r="D112" s="189"/>
      <c r="E112" s="189"/>
      <c r="F112" s="189"/>
      <c r="G112" s="62"/>
      <c r="H112" s="63"/>
    </row>
  </sheetData>
  <mergeCells count="162">
    <mergeCell ref="C112:F112"/>
    <mergeCell ref="C13:D20"/>
    <mergeCell ref="C26:D27"/>
    <mergeCell ref="E39:F39"/>
    <mergeCell ref="G39:H39"/>
    <mergeCell ref="G40:H40"/>
    <mergeCell ref="C33:D40"/>
    <mergeCell ref="G9:H9"/>
    <mergeCell ref="C9:F9"/>
    <mergeCell ref="G10:H10"/>
    <mergeCell ref="G11:H11"/>
    <mergeCell ref="G13:H13"/>
    <mergeCell ref="G14:H14"/>
    <mergeCell ref="G15:H15"/>
    <mergeCell ref="E10:F10"/>
    <mergeCell ref="C23:D24"/>
    <mergeCell ref="G24:H24"/>
    <mergeCell ref="C25:H25"/>
    <mergeCell ref="E26:F26"/>
    <mergeCell ref="C21:D21"/>
    <mergeCell ref="E23:F23"/>
    <mergeCell ref="C22:H22"/>
    <mergeCell ref="G23:H23"/>
    <mergeCell ref="E13:F13"/>
    <mergeCell ref="G30:H30"/>
    <mergeCell ref="G31:H31"/>
    <mergeCell ref="G33:H33"/>
    <mergeCell ref="C28:D28"/>
    <mergeCell ref="G28:H28"/>
    <mergeCell ref="C29:H29"/>
    <mergeCell ref="G26:H26"/>
    <mergeCell ref="G27:H27"/>
    <mergeCell ref="E15:F15"/>
    <mergeCell ref="E17:F17"/>
    <mergeCell ref="E19:F19"/>
    <mergeCell ref="G16:H16"/>
    <mergeCell ref="G17:H17"/>
    <mergeCell ref="G18:H18"/>
    <mergeCell ref="G19:H19"/>
    <mergeCell ref="G20:H20"/>
    <mergeCell ref="G21:H21"/>
    <mergeCell ref="C8:H8"/>
    <mergeCell ref="E37:F37"/>
    <mergeCell ref="G36:H36"/>
    <mergeCell ref="G37:H37"/>
    <mergeCell ref="C10:D11"/>
    <mergeCell ref="C12:H12"/>
    <mergeCell ref="G47:H47"/>
    <mergeCell ref="C43:D44"/>
    <mergeCell ref="C46:D47"/>
    <mergeCell ref="E46:F46"/>
    <mergeCell ref="E43:F43"/>
    <mergeCell ref="G43:H43"/>
    <mergeCell ref="G44:H44"/>
    <mergeCell ref="G46:H46"/>
    <mergeCell ref="G38:H38"/>
    <mergeCell ref="C41:D41"/>
    <mergeCell ref="G41:H41"/>
    <mergeCell ref="G34:H34"/>
    <mergeCell ref="C30:D31"/>
    <mergeCell ref="C32:H32"/>
    <mergeCell ref="E33:F33"/>
    <mergeCell ref="E35:F35"/>
    <mergeCell ref="G35:H35"/>
    <mergeCell ref="E30:F30"/>
    <mergeCell ref="G54:H54"/>
    <mergeCell ref="E55:F55"/>
    <mergeCell ref="G55:H55"/>
    <mergeCell ref="G56:H56"/>
    <mergeCell ref="E57:F57"/>
    <mergeCell ref="G57:H57"/>
    <mergeCell ref="E53:F53"/>
    <mergeCell ref="G49:H49"/>
    <mergeCell ref="G50:H50"/>
    <mergeCell ref="G51:H51"/>
    <mergeCell ref="G52:H52"/>
    <mergeCell ref="G53:H53"/>
    <mergeCell ref="E49:F49"/>
    <mergeCell ref="E51:F51"/>
    <mergeCell ref="G65:H65"/>
    <mergeCell ref="G58:H58"/>
    <mergeCell ref="E59:F59"/>
    <mergeCell ref="G59:H59"/>
    <mergeCell ref="G60:H60"/>
    <mergeCell ref="E61:F61"/>
    <mergeCell ref="E63:F63"/>
    <mergeCell ref="G61:H61"/>
    <mergeCell ref="G62:H62"/>
    <mergeCell ref="G63:H63"/>
    <mergeCell ref="G64:H64"/>
    <mergeCell ref="E65:F65"/>
    <mergeCell ref="E67:F67"/>
    <mergeCell ref="E69:F69"/>
    <mergeCell ref="E71:F71"/>
    <mergeCell ref="E73:F73"/>
    <mergeCell ref="E75:F75"/>
    <mergeCell ref="E77:F77"/>
    <mergeCell ref="E79:F79"/>
    <mergeCell ref="E81:F81"/>
    <mergeCell ref="G93:H93"/>
    <mergeCell ref="G88:H88"/>
    <mergeCell ref="G89:H89"/>
    <mergeCell ref="G90:H90"/>
    <mergeCell ref="G91:H91"/>
    <mergeCell ref="G92:H92"/>
    <mergeCell ref="G85:H85"/>
    <mergeCell ref="E83:F83"/>
    <mergeCell ref="E85:F85"/>
    <mergeCell ref="E87:F87"/>
    <mergeCell ref="C101:D110"/>
    <mergeCell ref="G103:H103"/>
    <mergeCell ref="G104:H104"/>
    <mergeCell ref="E105:F105"/>
    <mergeCell ref="E107:F107"/>
    <mergeCell ref="E109:F109"/>
    <mergeCell ref="G105:H105"/>
    <mergeCell ref="G107:H107"/>
    <mergeCell ref="G106:H106"/>
    <mergeCell ref="G108:H108"/>
    <mergeCell ref="E101:F101"/>
    <mergeCell ref="G101:H101"/>
    <mergeCell ref="G102:H102"/>
    <mergeCell ref="E103:F103"/>
    <mergeCell ref="G109:H109"/>
    <mergeCell ref="G110:H110"/>
    <mergeCell ref="C111:D111"/>
    <mergeCell ref="G99:H99"/>
    <mergeCell ref="C100:F100"/>
    <mergeCell ref="C99:D99"/>
    <mergeCell ref="G72:H72"/>
    <mergeCell ref="G73:H73"/>
    <mergeCell ref="G83:H83"/>
    <mergeCell ref="G84:H84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E89:F89"/>
    <mergeCell ref="E91:F91"/>
    <mergeCell ref="E93:F93"/>
    <mergeCell ref="E95:F95"/>
    <mergeCell ref="E97:F97"/>
    <mergeCell ref="C49:D98"/>
    <mergeCell ref="G94:H94"/>
    <mergeCell ref="G66:H66"/>
    <mergeCell ref="G67:H67"/>
    <mergeCell ref="G68:H68"/>
    <mergeCell ref="G69:H69"/>
    <mergeCell ref="G70:H70"/>
    <mergeCell ref="G71:H71"/>
    <mergeCell ref="G86:H86"/>
    <mergeCell ref="G87:H87"/>
    <mergeCell ref="G111:H111"/>
    <mergeCell ref="G95:H95"/>
    <mergeCell ref="G96:H96"/>
    <mergeCell ref="G97:H97"/>
    <mergeCell ref="G98:H9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09D57887C8E047A522BE8783315FD5" ma:contentTypeVersion="10" ma:contentTypeDescription="Crée un document." ma:contentTypeScope="" ma:versionID="b6d573cdf87c766dfe5efab7c91f3c60">
  <xsd:schema xmlns:xsd="http://www.w3.org/2001/XMLSchema" xmlns:xs="http://www.w3.org/2001/XMLSchema" xmlns:p="http://schemas.microsoft.com/office/2006/metadata/properties" xmlns:ns3="98a26963-9f1c-41ce-b32f-bd6ae39f9e45" targetNamespace="http://schemas.microsoft.com/office/2006/metadata/properties" ma:root="true" ma:fieldsID="8b8a00d191a547cf9ddabb970b1cfe46" ns3:_="">
    <xsd:import namespace="98a26963-9f1c-41ce-b32f-bd6ae39f9e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a26963-9f1c-41ce-b32f-bd6ae39f9e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8a26963-9f1c-41ce-b32f-bd6ae39f9e45" xsi:nil="true"/>
  </documentManagement>
</p:properties>
</file>

<file path=customXml/itemProps1.xml><?xml version="1.0" encoding="utf-8"?>
<ds:datastoreItem xmlns:ds="http://schemas.openxmlformats.org/officeDocument/2006/customXml" ds:itemID="{176C97C8-61E7-4B7E-ACE6-732012EC5C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a26963-9f1c-41ce-b32f-bd6ae39f9e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BA823D-0AA7-4B4A-AD62-C115050951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BC897D-9A6C-41D1-BFDC-78FC83389EED}">
  <ds:schemaRefs>
    <ds:schemaRef ds:uri="http://purl.org/dc/dcmitype/"/>
    <ds:schemaRef ds:uri="98a26963-9f1c-41ce-b32f-bd6ae39f9e45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3d6f09e-9ba9-4a36-ad75-d9039be4fe29}" enabled="0" method="" siteId="{e3d6f09e-9ba9-4a36-ad75-d9039be4fe2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Damètre conduites</vt:lpstr>
      <vt:lpstr>Choix des organes</vt:lpstr>
      <vt:lpstr>PDC singuliere-repartie</vt:lpstr>
      <vt:lpstr>Choix des organes (2)</vt:lpstr>
      <vt:lpstr>Feuil1</vt:lpstr>
      <vt:lpstr>Métré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Marouane Azouaoui</dc:creator>
  <cp:lastModifiedBy>Walid Abdelkhalek</cp:lastModifiedBy>
  <cp:lastPrinted>2025-03-20T09:04:34Z</cp:lastPrinted>
  <dcterms:created xsi:type="dcterms:W3CDTF">2025-02-05T07:42:40Z</dcterms:created>
  <dcterms:modified xsi:type="dcterms:W3CDTF">2026-09-03T18:15:44Z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0x0101004E09D57887C8E047A522BE8783315FD5</vt:lpwstr>
  </property>
</Properties>
</file>