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ink/ink1.xml" ContentType="application/inkml+xml"/>
  <Override PartName="/xl/ink/ink2.xml" ContentType="application/inkml+xml"/>
  <Override PartName="/xl/ink/ink3.xml" ContentType="application/inkml+xml"/>
  <Override PartName="/xl/ink/ink4.xml" ContentType="application/inkml+xml"/>
  <Override PartName="/xl/ink/ink5.xml" ContentType="application/inkml+xml"/>
  <Override PartName="/xl/ink/ink6.xml" ContentType="application/inkml+xml"/>
  <Override PartName="/xl/ink/ink7.xml" ContentType="application/inkml+xml"/>
  <Override PartName="/xl/ink/ink8.xml" ContentType="application/inkml+xml"/>
  <Override PartName="/xl/comments2.xml" ContentType="application/vnd.openxmlformats-officedocument.spreadsheetml.comments+xml"/>
  <Override PartName="/xl/threadedComments/threadedComment2.xml" ContentType="application/vnd.ms-excel.threadedcomments+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omments3.xml" ContentType="application/vnd.openxmlformats-officedocument.spreadsheetml.comments+xml"/>
  <Override PartName="/xl/threadedComments/threadedComment3.xml" ContentType="application/vnd.ms-excel.threadedcomments+xml"/>
  <Override PartName="/xl/drawings/drawing7.xml" ContentType="application/vnd.openxmlformats-officedocument.drawing+xml"/>
  <Override PartName="/xl/comments4.xml" ContentType="application/vnd.openxmlformats-officedocument.spreadsheetml.comments+xml"/>
  <Override PartName="/xl/threadedComments/threadedComment4.xml" ContentType="application/vnd.ms-excel.threadedcomments+xml"/>
  <Override PartName="/xl/ink/ink9.xml" ContentType="application/inkml+xml"/>
  <Override PartName="/xl/ink/ink10.xml" ContentType="application/inkml+xml"/>
  <Override PartName="/xl/ink/ink11.xml" ContentType="application/inkml+xml"/>
  <Override PartName="/xl/ink/ink12.xml" ContentType="application/inkml+xml"/>
  <Override PartName="/xl/ink/ink13.xml" ContentType="application/inkml+xml"/>
  <Override PartName="/xl/drawings/drawing8.xml" ContentType="application/vnd.openxmlformats-officedocument.drawing+xml"/>
  <Override PartName="/xl/drawings/drawing9.xml" ContentType="application/vnd.openxmlformats-officedocument.drawing+xml"/>
  <Override PartName="/xl/ink/ink14.xml" ContentType="application/inkml+xml"/>
  <Override PartName="/xl/ink/ink15.xml" ContentType="application/inkml+xml"/>
  <Override PartName="/xl/ink/ink16.xml" ContentType="application/inkml+xml"/>
  <Override PartName="/xl/ink/ink17.xml" ContentType="application/inkml+xml"/>
  <Override PartName="/xl/ink/ink18.xml" ContentType="application/inkml+xml"/>
  <Override PartName="/xl/ink/ink19.xml" ContentType="application/inkml+xml"/>
  <Override PartName="/xl/ink/ink20.xml" ContentType="application/inkml+xml"/>
  <Override PartName="/xl/ink/ink21.xml" ContentType="application/inkml+xml"/>
  <Override PartName="/xl/ink/ink22.xml" ContentType="application/inkml+xml"/>
  <Override PartName="/xl/ink/ink23.xml" ContentType="application/inkml+xml"/>
  <Override PartName="/xl/ink/ink24.xml" ContentType="application/inkml+xml"/>
  <Override PartName="/xl/ink/ink25.xml" ContentType="application/inkml+xml"/>
  <Override PartName="/xl/ink/ink26.xml" ContentType="application/inkml+xml"/>
  <Override PartName="/xl/ink/ink27.xml" ContentType="application/inkml+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ink/ink28.xml" ContentType="application/inkml+xml"/>
  <Override PartName="/xl/ink/ink29.xml" ContentType="application/inkml+xml"/>
  <Override PartName="/xl/ink/ink30.xml" ContentType="application/inkml+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mc:AlternateContent xmlns:mc="http://schemas.openxmlformats.org/markup-compatibility/2006">
    <mc:Choice Requires="x15">
      <x15ac:absPath xmlns:x15ac="http://schemas.microsoft.com/office/spreadsheetml/2010/11/ac" url="https://d.docs.live.net/dce4e9057fa51e59/Documents/"/>
    </mc:Choice>
  </mc:AlternateContent>
  <xr:revisionPtr revIDLastSave="0" documentId="8_{60426A54-6A1C-4FCE-A072-4D808B692C50}" xr6:coauthVersionLast="47" xr6:coauthVersionMax="47" xr10:uidLastSave="{00000000-0000-0000-0000-000000000000}"/>
  <bookViews>
    <workbookView xWindow="-120" yWindow="-120" windowWidth="29040" windowHeight="15840" tabRatio="845" firstSheet="12" activeTab="19" xr2:uid="{00000000-000D-0000-FFFF-FFFF00000000}"/>
  </bookViews>
  <sheets>
    <sheet name="Données" sheetId="1" r:id="rId1"/>
    <sheet name="Parois" sheetId="5" r:id="rId2"/>
    <sheet name="Entrée (1)" sheetId="11" r:id="rId3"/>
    <sheet name="Distrib et Approv" sheetId="24" r:id="rId4"/>
    <sheet name="Escalier (1)" sheetId="13" r:id="rId5"/>
    <sheet name="Trappe (2)" sheetId="14" r:id="rId6"/>
    <sheet name="Coffre-fort (1)" sheetId="9" r:id="rId7"/>
    <sheet name="Bureau (5)" sheetId="7" r:id="rId8"/>
    <sheet name="Couloir (1)" sheetId="10" r:id="rId9"/>
    <sheet name="Salle d'attente (1)" sheetId="12" r:id="rId10"/>
    <sheet name="SDR (3)" sheetId="8" r:id="rId11"/>
    <sheet name="WC (4)" sheetId="6" r:id="rId12"/>
    <sheet name="Renouvellement d'air" sheetId="15" r:id="rId13"/>
    <sheet name="(Surpuissance de relance)" sheetId="16" r:id="rId14"/>
    <sheet name="Charge therm. total" sheetId="19" r:id="rId15"/>
    <sheet name="TRANS PAROIS OPAQUE" sheetId="26" r:id="rId16"/>
    <sheet name="TRANS PAROI VITREE" sheetId="27" r:id="rId17"/>
    <sheet name="APPORT EXTERNE TOT" sheetId="31" r:id="rId18"/>
    <sheet name="APPORT INTERNE" sheetId="28" r:id="rId19"/>
    <sheet name="TOT APPORT DEPERD" sheetId="29" r:id="rId20"/>
    <sheet name="TOT TOT" sheetId="30" r:id="rId2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23" i="15" l="1"/>
  <c r="I23" i="15"/>
  <c r="H23" i="15"/>
  <c r="H25" i="15"/>
  <c r="H17" i="15"/>
  <c r="Q22" i="28"/>
  <c r="O24" i="29"/>
  <c r="Q23" i="29"/>
  <c r="M22" i="26"/>
  <c r="Z35" i="24"/>
  <c r="Z17" i="24"/>
  <c r="M71" i="9"/>
  <c r="I26" i="28"/>
  <c r="I14" i="28"/>
  <c r="I32" i="28"/>
  <c r="R13" i="27"/>
  <c r="H27" i="15"/>
  <c r="H28" i="15" s="1"/>
  <c r="J13" i="27"/>
  <c r="J17" i="27"/>
  <c r="I13" i="27"/>
  <c r="AC79" i="14"/>
  <c r="M79" i="14"/>
  <c r="X36" i="13"/>
  <c r="X48" i="13"/>
  <c r="O20" i="29"/>
  <c r="X19" i="11"/>
  <c r="O36" i="29"/>
  <c r="H14" i="16"/>
  <c r="AG8" i="5"/>
  <c r="P17" i="15"/>
  <c r="I17" i="15"/>
  <c r="N110" i="12"/>
  <c r="O32" i="29"/>
  <c r="AL180" i="6"/>
  <c r="AL134" i="6"/>
  <c r="AL90" i="6"/>
  <c r="AL43" i="6"/>
  <c r="AL31" i="6"/>
  <c r="AL37" i="6"/>
  <c r="M98" i="12"/>
  <c r="M99" i="12"/>
  <c r="N105" i="12"/>
  <c r="AD99" i="10"/>
  <c r="BF27" i="7"/>
  <c r="W19" i="27"/>
  <c r="T8" i="28"/>
  <c r="I18" i="28"/>
  <c r="K28" i="29"/>
  <c r="AF127" i="7"/>
  <c r="AH127" i="7"/>
  <c r="AF39" i="8"/>
  <c r="H142" i="7"/>
  <c r="K11" i="15"/>
  <c r="L11" i="15"/>
  <c r="R25" i="27"/>
  <c r="R12" i="27"/>
  <c r="V14" i="27"/>
  <c r="V11" i="27"/>
  <c r="V12" i="27"/>
  <c r="R24" i="27"/>
  <c r="R11" i="27"/>
  <c r="I17" i="31"/>
  <c r="J17" i="31"/>
  <c r="K10" i="26"/>
  <c r="O65" i="29"/>
  <c r="O67" i="29"/>
  <c r="O68" i="29"/>
  <c r="K53" i="29"/>
  <c r="K54" i="29"/>
  <c r="K55" i="29"/>
  <c r="K56" i="29"/>
  <c r="K57" i="29"/>
  <c r="K58" i="29"/>
  <c r="K59" i="29"/>
  <c r="K60" i="29"/>
  <c r="K61" i="29"/>
  <c r="K63" i="29"/>
  <c r="K67" i="29"/>
  <c r="K68" i="29"/>
  <c r="K69" i="29"/>
  <c r="K70" i="29"/>
  <c r="K72" i="29"/>
  <c r="K52" i="29"/>
  <c r="G61" i="1"/>
  <c r="J11" i="15"/>
  <c r="G32" i="28"/>
  <c r="J24" i="31"/>
  <c r="S31" i="29"/>
  <c r="S33" i="29"/>
  <c r="S34" i="29"/>
  <c r="H26" i="1"/>
  <c r="G11" i="16"/>
  <c r="H11" i="16"/>
  <c r="I11" i="15"/>
  <c r="H11" i="15"/>
  <c r="J32" i="31"/>
  <c r="AE8" i="5"/>
  <c r="AC103" i="10"/>
  <c r="AB99" i="10"/>
  <c r="AB88" i="10"/>
  <c r="AB89" i="10"/>
  <c r="AB90" i="10"/>
  <c r="AB91" i="10"/>
  <c r="AB92" i="10"/>
  <c r="AB93" i="10"/>
  <c r="AB94" i="10"/>
  <c r="AB95" i="10"/>
  <c r="AB96" i="10"/>
  <c r="AB97" i="10"/>
  <c r="AB98" i="10"/>
  <c r="AB87" i="10"/>
  <c r="Y99" i="10"/>
  <c r="Y98" i="10"/>
  <c r="Y97" i="10"/>
  <c r="Y96" i="10"/>
  <c r="Y95" i="10"/>
  <c r="Y94" i="10"/>
  <c r="Y93" i="10"/>
  <c r="Y92" i="10"/>
  <c r="K17" i="26"/>
  <c r="Y91" i="10"/>
  <c r="Y89" i="10"/>
  <c r="Y88" i="10"/>
  <c r="Y90" i="10"/>
  <c r="Y87" i="10"/>
  <c r="L13" i="5"/>
  <c r="K13" i="27"/>
  <c r="H21" i="31"/>
  <c r="H35" i="31" s="1"/>
  <c r="V20" i="27"/>
  <c r="B40" i="1"/>
  <c r="B39" i="1"/>
  <c r="H52" i="1"/>
  <c r="H46" i="1"/>
  <c r="H49" i="1"/>
  <c r="H50" i="1"/>
  <c r="H51" i="1"/>
  <c r="H45" i="1"/>
  <c r="H23" i="1"/>
  <c r="H24" i="1"/>
  <c r="H27" i="1"/>
  <c r="H28" i="1"/>
  <c r="H29" i="1"/>
  <c r="H30" i="1"/>
  <c r="H31" i="1"/>
  <c r="H32" i="1"/>
  <c r="H33" i="1"/>
  <c r="H34" i="1"/>
  <c r="H35" i="1"/>
  <c r="H36" i="1"/>
  <c r="H22" i="1"/>
  <c r="J22" i="31"/>
  <c r="J23" i="31"/>
  <c r="J25" i="31"/>
  <c r="J27" i="31"/>
  <c r="K31" i="29"/>
  <c r="J28" i="31"/>
  <c r="K32" i="29"/>
  <c r="J29" i="31"/>
  <c r="K33" i="29"/>
  <c r="J30" i="31"/>
  <c r="K34" i="29"/>
  <c r="J33" i="31"/>
  <c r="K37" i="29"/>
  <c r="J34" i="31"/>
  <c r="AC80" i="14"/>
  <c r="O38" i="29"/>
  <c r="AB65" i="14"/>
  <c r="AB66" i="14"/>
  <c r="Y66" i="14"/>
  <c r="Y64" i="14"/>
  <c r="Y65" i="14"/>
  <c r="AC77" i="14"/>
  <c r="AC78" i="14"/>
  <c r="AC76" i="14"/>
  <c r="AA65" i="14"/>
  <c r="AA66" i="14"/>
  <c r="AA64" i="14"/>
  <c r="AB107" i="10"/>
  <c r="Z66" i="14"/>
  <c r="L14" i="28"/>
  <c r="L15" i="28"/>
  <c r="L16" i="28"/>
  <c r="L17" i="28"/>
  <c r="AA98" i="10"/>
  <c r="Z64" i="14"/>
  <c r="L23" i="28"/>
  <c r="Z65" i="14"/>
  <c r="Z42" i="10"/>
  <c r="Z39" i="10"/>
  <c r="AA95" i="10"/>
  <c r="J33" i="10"/>
  <c r="Z37" i="10"/>
  <c r="AA93" i="10"/>
  <c r="M15" i="28"/>
  <c r="M16" i="28"/>
  <c r="M17" i="28"/>
  <c r="M14" i="28"/>
  <c r="M77" i="14"/>
  <c r="M78" i="14"/>
  <c r="M76" i="14"/>
  <c r="J15" i="12"/>
  <c r="K65" i="14"/>
  <c r="K66" i="14"/>
  <c r="K64" i="14"/>
  <c r="J66" i="14"/>
  <c r="J94" i="12"/>
  <c r="J88" i="12"/>
  <c r="M89" i="12"/>
  <c r="M90" i="12"/>
  <c r="M91" i="12"/>
  <c r="M92" i="12"/>
  <c r="M93" i="12"/>
  <c r="M94" i="12"/>
  <c r="M95" i="12"/>
  <c r="M96" i="12"/>
  <c r="M97" i="12"/>
  <c r="J65" i="14"/>
  <c r="J93" i="12"/>
  <c r="J92" i="12"/>
  <c r="J91" i="12"/>
  <c r="J64" i="14"/>
  <c r="J89" i="12"/>
  <c r="K89" i="12"/>
  <c r="L88" i="12"/>
  <c r="L89" i="12"/>
  <c r="L91" i="12"/>
  <c r="L92" i="12"/>
  <c r="AB72" i="14"/>
  <c r="AC73" i="14"/>
  <c r="L96" i="12"/>
  <c r="L94" i="12"/>
  <c r="L93" i="12"/>
  <c r="L90" i="12"/>
  <c r="L95" i="12"/>
  <c r="O34" i="29"/>
  <c r="L97" i="12"/>
  <c r="K96" i="12"/>
  <c r="K97" i="12"/>
  <c r="O33" i="29"/>
  <c r="K95" i="12"/>
  <c r="K88" i="12"/>
  <c r="M88" i="12"/>
  <c r="K90" i="12"/>
  <c r="K91" i="12"/>
  <c r="K92" i="12"/>
  <c r="K93" i="12"/>
  <c r="K94" i="12"/>
  <c r="O31" i="29"/>
  <c r="H40" i="12"/>
  <c r="O27" i="29"/>
  <c r="BI116" i="8"/>
  <c r="O23" i="29"/>
  <c r="O22" i="29"/>
  <c r="BH105" i="8"/>
  <c r="BI111" i="8"/>
  <c r="BH104" i="8"/>
  <c r="O21" i="29"/>
  <c r="BH98" i="8"/>
  <c r="BG96" i="8"/>
  <c r="BG95" i="8"/>
  <c r="N117" i="8"/>
  <c r="BG97" i="8"/>
  <c r="BG98" i="8"/>
  <c r="N101" i="8"/>
  <c r="BG100" i="8"/>
  <c r="M97" i="8"/>
  <c r="M98" i="8"/>
  <c r="M99" i="8"/>
  <c r="M100" i="8"/>
  <c r="BH29" i="8"/>
  <c r="M96" i="8"/>
  <c r="BH30" i="8"/>
  <c r="J100" i="8"/>
  <c r="J99" i="8"/>
  <c r="J98" i="8"/>
  <c r="J97" i="8"/>
  <c r="J96" i="8"/>
  <c r="L52" i="9"/>
  <c r="I52" i="9"/>
  <c r="I51" i="9"/>
  <c r="I50" i="9"/>
  <c r="I49" i="9"/>
  <c r="L100" i="8"/>
  <c r="I48" i="9"/>
  <c r="I47" i="9"/>
  <c r="I46" i="9"/>
  <c r="M67" i="9"/>
  <c r="M68" i="9"/>
  <c r="M69" i="9"/>
  <c r="M70" i="9"/>
  <c r="M66" i="9"/>
  <c r="J51" i="9"/>
  <c r="J52" i="9"/>
  <c r="K52" i="9"/>
  <c r="K51" i="9"/>
  <c r="K47" i="9"/>
  <c r="K48" i="9"/>
  <c r="K49" i="9"/>
  <c r="K46" i="9"/>
  <c r="J49" i="9"/>
  <c r="J48" i="9"/>
  <c r="BE100" i="8"/>
  <c r="BF100" i="8"/>
  <c r="BE101" i="8"/>
  <c r="J47" i="9"/>
  <c r="J50" i="9"/>
  <c r="BE99" i="8"/>
  <c r="BF99" i="8"/>
  <c r="BG99" i="8"/>
  <c r="J46" i="9"/>
  <c r="BF60" i="7"/>
  <c r="BH111" i="7"/>
  <c r="BH95" i="7"/>
  <c r="BG90" i="7"/>
  <c r="BD90" i="7"/>
  <c r="BD89" i="7"/>
  <c r="BD88" i="7"/>
  <c r="BD87" i="7"/>
  <c r="BF28" i="8"/>
  <c r="BF95" i="8"/>
  <c r="BF97" i="8"/>
  <c r="BG88" i="7"/>
  <c r="BG87" i="7"/>
  <c r="BF90" i="7"/>
  <c r="BF89" i="7"/>
  <c r="BF88" i="7"/>
  <c r="BF87" i="7"/>
  <c r="BE90" i="7"/>
  <c r="BE89" i="7"/>
  <c r="BE88" i="7"/>
  <c r="BE97" i="8"/>
  <c r="BE98" i="8"/>
  <c r="BE87" i="7"/>
  <c r="BE95" i="8"/>
  <c r="BE96" i="8"/>
  <c r="L62" i="9"/>
  <c r="M63" i="9"/>
  <c r="AI92" i="7"/>
  <c r="AH91" i="7"/>
  <c r="AE89" i="7"/>
  <c r="AE90" i="7"/>
  <c r="AE91" i="7"/>
  <c r="AG91" i="7"/>
  <c r="AF91" i="7"/>
  <c r="BG97" i="7"/>
  <c r="BH109" i="7"/>
  <c r="AL174" i="6"/>
  <c r="AL128" i="6"/>
  <c r="AL84" i="6"/>
  <c r="W35" i="13"/>
  <c r="W34" i="13"/>
  <c r="T35" i="13"/>
  <c r="T34" i="13"/>
  <c r="U35" i="13"/>
  <c r="U34" i="13"/>
  <c r="AG97" i="8"/>
  <c r="V35" i="13"/>
  <c r="V34" i="13"/>
  <c r="AF84" i="8"/>
  <c r="X46" i="13"/>
  <c r="X47" i="13"/>
  <c r="X45" i="13"/>
  <c r="AH35" i="6"/>
  <c r="AH126" i="7"/>
  <c r="W9" i="13"/>
  <c r="AI103" i="8"/>
  <c r="AH84" i="8"/>
  <c r="U9" i="13"/>
  <c r="T9" i="13"/>
  <c r="AB85" i="24"/>
  <c r="Y66" i="24"/>
  <c r="Z66" i="24"/>
  <c r="J65" i="24"/>
  <c r="X66" i="24"/>
  <c r="AB78" i="24"/>
  <c r="Z78" i="24"/>
  <c r="AI133" i="7"/>
  <c r="AJ145" i="7"/>
  <c r="G71" i="7"/>
  <c r="T65" i="7"/>
  <c r="V75" i="7"/>
  <c r="W86" i="7"/>
  <c r="T67" i="7"/>
  <c r="V12" i="24"/>
  <c r="V10" i="24"/>
  <c r="V9" i="24"/>
  <c r="V8" i="24"/>
  <c r="V7" i="24"/>
  <c r="BD54" i="7"/>
  <c r="Z29" i="24"/>
  <c r="Z30" i="24"/>
  <c r="Z31" i="24"/>
  <c r="Z32" i="24"/>
  <c r="Z28" i="24"/>
  <c r="BD53" i="7"/>
  <c r="X32" i="24"/>
  <c r="X31" i="24"/>
  <c r="X30" i="24"/>
  <c r="I35" i="7"/>
  <c r="X29" i="24"/>
  <c r="X28" i="24"/>
  <c r="X12" i="24"/>
  <c r="X11" i="24"/>
  <c r="X10" i="24"/>
  <c r="AH171" i="6"/>
  <c r="X9" i="24"/>
  <c r="BD52" i="7"/>
  <c r="X8" i="24"/>
  <c r="X7" i="24"/>
  <c r="W12" i="24"/>
  <c r="W11" i="24"/>
  <c r="W7" i="24"/>
  <c r="W8" i="24"/>
  <c r="W9" i="24"/>
  <c r="W10" i="24"/>
  <c r="H19" i="24"/>
  <c r="H20" i="24"/>
  <c r="H21" i="24"/>
  <c r="H22" i="24"/>
  <c r="H23" i="24"/>
  <c r="Y7" i="24"/>
  <c r="V11" i="24"/>
  <c r="Y11" i="24"/>
  <c r="Y10" i="24"/>
  <c r="AJ172" i="6"/>
  <c r="AJ170" i="6"/>
  <c r="AJ168" i="6"/>
  <c r="AH170" i="6"/>
  <c r="AI170" i="6"/>
  <c r="AH169" i="6"/>
  <c r="AH168" i="6"/>
  <c r="AH172" i="6"/>
  <c r="BC54" i="7"/>
  <c r="H37" i="7"/>
  <c r="BC52" i="7"/>
  <c r="BC53" i="7"/>
  <c r="H35" i="7"/>
  <c r="AJ126" i="6"/>
  <c r="BC21" i="7"/>
  <c r="BC20" i="7"/>
  <c r="AH126" i="6"/>
  <c r="AJ127" i="6"/>
  <c r="AA74" i="24"/>
  <c r="AB75" i="24"/>
  <c r="X57" i="24"/>
  <c r="AA57" i="24"/>
  <c r="Z79" i="24"/>
  <c r="AB79" i="24"/>
  <c r="Z80" i="24"/>
  <c r="AB80" i="24"/>
  <c r="X61" i="24"/>
  <c r="Z81" i="24"/>
  <c r="AB81" i="24"/>
  <c r="Z82" i="24"/>
  <c r="AB82" i="24"/>
  <c r="AA66" i="24"/>
  <c r="Z83" i="24"/>
  <c r="AB83" i="24"/>
  <c r="X63" i="24"/>
  <c r="Z84" i="24"/>
  <c r="AB84" i="24"/>
  <c r="X65" i="24"/>
  <c r="AA65" i="24"/>
  <c r="Y57" i="24"/>
  <c r="Z57" i="24"/>
  <c r="X58" i="24"/>
  <c r="Z58" i="24"/>
  <c r="X59" i="24"/>
  <c r="Y59" i="24"/>
  <c r="Y58" i="24"/>
  <c r="AA58" i="24"/>
  <c r="AA59" i="24"/>
  <c r="X60" i="24"/>
  <c r="AA60" i="24"/>
  <c r="Y60" i="24"/>
  <c r="Z60" i="24"/>
  <c r="Z61" i="24"/>
  <c r="Y62" i="24"/>
  <c r="Y61" i="24"/>
  <c r="Z63" i="24"/>
  <c r="Y64" i="24"/>
  <c r="Y63" i="24"/>
  <c r="Z64" i="24"/>
  <c r="Y65" i="24"/>
  <c r="Z65" i="24"/>
  <c r="Y24" i="24"/>
  <c r="Z25" i="24"/>
  <c r="Z33" i="24"/>
  <c r="Z34" i="24"/>
  <c r="AH127" i="6"/>
  <c r="AJ124" i="6"/>
  <c r="AH124" i="6"/>
  <c r="AH125" i="6"/>
  <c r="AL85" i="6"/>
  <c r="AJ82" i="6"/>
  <c r="AJ80" i="6"/>
  <c r="AH80" i="6"/>
  <c r="X31" i="11"/>
  <c r="X32" i="11"/>
  <c r="X33" i="11"/>
  <c r="X34" i="11"/>
  <c r="X35" i="11"/>
  <c r="X36" i="11"/>
  <c r="AH82" i="6"/>
  <c r="AH81" i="6"/>
  <c r="X30" i="11"/>
  <c r="AI30" i="6"/>
  <c r="T18" i="11"/>
  <c r="T17" i="11"/>
  <c r="W17" i="11"/>
  <c r="T16" i="11"/>
  <c r="W16" i="11"/>
  <c r="T15" i="11"/>
  <c r="W15" i="11"/>
  <c r="AJ30" i="6"/>
  <c r="BE62" i="7"/>
  <c r="BF70" i="7"/>
  <c r="T14" i="11"/>
  <c r="W14" i="11"/>
  <c r="AH30" i="6"/>
  <c r="T13" i="11"/>
  <c r="W13" i="11"/>
  <c r="AK30" i="6"/>
  <c r="AH36" i="6"/>
  <c r="AK36" i="6"/>
  <c r="AI36" i="6"/>
  <c r="V36" i="11"/>
  <c r="V35" i="11"/>
  <c r="V34" i="11"/>
  <c r="BD20" i="7"/>
  <c r="AG33" i="7"/>
  <c r="V33" i="11"/>
  <c r="BD19" i="7"/>
  <c r="AG32" i="7"/>
  <c r="V32" i="11"/>
  <c r="V31" i="11"/>
  <c r="V30" i="11"/>
  <c r="V9" i="11"/>
  <c r="V10" i="11"/>
  <c r="V12" i="11"/>
  <c r="AJ7" i="6"/>
  <c r="V13" i="11"/>
  <c r="V15" i="11"/>
  <c r="V16" i="11"/>
  <c r="AJ35" i="6"/>
  <c r="BE29" i="7"/>
  <c r="BF40" i="7"/>
  <c r="V17" i="11"/>
  <c r="V18" i="11"/>
  <c r="U16" i="11"/>
  <c r="U18" i="11"/>
  <c r="W18" i="11"/>
  <c r="X37" i="11"/>
  <c r="O28" i="29"/>
  <c r="U9" i="11"/>
  <c r="U11" i="11"/>
  <c r="U10" i="11"/>
  <c r="U12" i="11"/>
  <c r="U14" i="11"/>
  <c r="U13" i="11"/>
  <c r="U15" i="11"/>
  <c r="U17" i="11"/>
  <c r="AF34" i="7"/>
  <c r="AF33" i="7"/>
  <c r="AF32" i="7"/>
  <c r="AI7" i="6"/>
  <c r="BC19" i="7"/>
  <c r="AF15" i="7"/>
  <c r="K9" i="5"/>
  <c r="I36" i="7"/>
  <c r="K24" i="28"/>
  <c r="L12" i="5"/>
  <c r="K38" i="29"/>
  <c r="K27" i="29"/>
  <c r="K29" i="29"/>
  <c r="K26" i="29"/>
  <c r="K18" i="29"/>
  <c r="H26" i="31"/>
  <c r="H24" i="31"/>
  <c r="H17" i="31"/>
  <c r="H18" i="31"/>
  <c r="H20" i="31"/>
  <c r="O23" i="28"/>
  <c r="R17" i="27"/>
  <c r="V17" i="27"/>
  <c r="R22" i="27"/>
  <c r="V25" i="27"/>
  <c r="I22" i="27"/>
  <c r="R19" i="27"/>
  <c r="V19" i="27"/>
  <c r="I25" i="27"/>
  <c r="I26" i="27"/>
  <c r="I28" i="27"/>
  <c r="R20" i="27"/>
  <c r="N30" i="27"/>
  <c r="V22" i="27"/>
  <c r="V24" i="27"/>
  <c r="I26" i="31"/>
  <c r="J26" i="31"/>
  <c r="K30" i="29"/>
  <c r="V13" i="27"/>
  <c r="H13" i="27"/>
  <c r="K20" i="26"/>
  <c r="L35" i="5"/>
  <c r="I33" i="6"/>
  <c r="H33" i="6"/>
  <c r="I17" i="6"/>
  <c r="G17" i="6"/>
  <c r="G4" i="6"/>
  <c r="AH7" i="6"/>
  <c r="P22" i="28"/>
  <c r="K11" i="28"/>
  <c r="K23" i="28"/>
  <c r="K22" i="28"/>
  <c r="K21" i="28"/>
  <c r="K20" i="28"/>
  <c r="K19" i="28"/>
  <c r="W13" i="15"/>
  <c r="K18" i="26"/>
  <c r="H9" i="8"/>
  <c r="N9" i="8"/>
  <c r="H8" i="8"/>
  <c r="L17" i="26"/>
  <c r="G5" i="7"/>
  <c r="L18" i="26"/>
  <c r="BE14" i="8"/>
  <c r="BE12" i="8"/>
  <c r="L12" i="26"/>
  <c r="K14" i="26"/>
  <c r="L13" i="26"/>
  <c r="K16" i="28"/>
  <c r="K15" i="28"/>
  <c r="K14" i="28"/>
  <c r="K12" i="28"/>
  <c r="K13" i="28"/>
  <c r="Q13" i="28"/>
  <c r="M20" i="29"/>
  <c r="L11" i="26"/>
  <c r="L10" i="26"/>
  <c r="I13" i="28"/>
  <c r="K19" i="26"/>
  <c r="K21" i="26"/>
  <c r="K17" i="28"/>
  <c r="K18" i="28"/>
  <c r="G4" i="27"/>
  <c r="J28" i="27"/>
  <c r="K28" i="27"/>
  <c r="L21" i="5"/>
  <c r="J77" i="8"/>
  <c r="M78" i="8"/>
  <c r="AI79" i="8"/>
  <c r="AG96" i="8"/>
  <c r="AG95" i="8"/>
  <c r="M106" i="8"/>
  <c r="BH109" i="8"/>
  <c r="N107" i="8"/>
  <c r="BI114" i="8"/>
  <c r="N109" i="8"/>
  <c r="AJ108" i="8"/>
  <c r="AJ109" i="8"/>
  <c r="J27" i="27"/>
  <c r="I27" i="27"/>
  <c r="R23" i="27"/>
  <c r="V23" i="27"/>
  <c r="I24" i="27"/>
  <c r="R21" i="27"/>
  <c r="V21" i="27"/>
  <c r="I14" i="27"/>
  <c r="I15" i="27"/>
  <c r="I16" i="27"/>
  <c r="I17" i="27"/>
  <c r="R14" i="27"/>
  <c r="I19" i="31"/>
  <c r="I18" i="27"/>
  <c r="R15" i="27"/>
  <c r="V15" i="27"/>
  <c r="I20" i="31"/>
  <c r="I19" i="27"/>
  <c r="R16" i="27"/>
  <c r="V16" i="27"/>
  <c r="I20" i="27"/>
  <c r="I21" i="27"/>
  <c r="R18" i="27"/>
  <c r="V18" i="27"/>
  <c r="I23" i="27"/>
  <c r="H25" i="27"/>
  <c r="H26" i="27"/>
  <c r="H27" i="27"/>
  <c r="H28" i="27"/>
  <c r="H24" i="27"/>
  <c r="H14" i="27"/>
  <c r="H15" i="27"/>
  <c r="H16" i="27"/>
  <c r="H17" i="27"/>
  <c r="H18" i="27"/>
  <c r="H19" i="27"/>
  <c r="H20" i="27"/>
  <c r="H21" i="27"/>
  <c r="H22" i="27"/>
  <c r="H23" i="27"/>
  <c r="Y11" i="27"/>
  <c r="Q11" i="28"/>
  <c r="M18" i="29"/>
  <c r="I27" i="28"/>
  <c r="I28" i="28"/>
  <c r="I29" i="28"/>
  <c r="I30" i="28"/>
  <c r="I31" i="28"/>
  <c r="I24" i="28"/>
  <c r="I12" i="28"/>
  <c r="Q12" i="28"/>
  <c r="M19" i="29"/>
  <c r="I23" i="28"/>
  <c r="Q14" i="28"/>
  <c r="M21" i="29"/>
  <c r="I15" i="28"/>
  <c r="Q15" i="28"/>
  <c r="M22" i="29"/>
  <c r="I22" i="28"/>
  <c r="M29" i="29"/>
  <c r="I16" i="28"/>
  <c r="Q16" i="28"/>
  <c r="M23" i="29"/>
  <c r="I25" i="28"/>
  <c r="I17" i="28"/>
  <c r="Q17" i="28"/>
  <c r="M24" i="29"/>
  <c r="Q18" i="28"/>
  <c r="M25" i="29"/>
  <c r="Q20" i="28"/>
  <c r="M27" i="29"/>
  <c r="Q27" i="29"/>
  <c r="I24" i="31"/>
  <c r="I21" i="31"/>
  <c r="I35" i="31" s="1"/>
  <c r="AB64" i="14"/>
  <c r="AF95" i="8"/>
  <c r="BH96" i="8"/>
  <c r="BH100" i="8"/>
  <c r="BH99" i="8"/>
  <c r="BG101" i="8"/>
  <c r="AF97" i="8"/>
  <c r="BF98" i="8"/>
  <c r="BH95" i="8"/>
  <c r="BI115" i="8"/>
  <c r="O19" i="29"/>
  <c r="BH97" i="8"/>
  <c r="L46" i="9"/>
  <c r="L47" i="9"/>
  <c r="L48" i="9"/>
  <c r="L49" i="9"/>
  <c r="L51" i="9"/>
  <c r="L50" i="9"/>
  <c r="M55" i="9"/>
  <c r="O18" i="29"/>
  <c r="BG101" i="7"/>
  <c r="BH105" i="7"/>
  <c r="BH106" i="7"/>
  <c r="BH107" i="7"/>
  <c r="BH108" i="7"/>
  <c r="AF96" i="8"/>
  <c r="BE33" i="7"/>
  <c r="BF34" i="7"/>
  <c r="BF37" i="7"/>
  <c r="BF38" i="7"/>
  <c r="BB19" i="7"/>
  <c r="BE19" i="7"/>
  <c r="BF39" i="7"/>
  <c r="AI137" i="7"/>
  <c r="AJ141" i="7"/>
  <c r="AJ142" i="7"/>
  <c r="AJ143" i="7"/>
  <c r="AJ144" i="7"/>
  <c r="BF41" i="7"/>
  <c r="V79" i="7"/>
  <c r="W83" i="7"/>
  <c r="W84" i="7"/>
  <c r="W85" i="7"/>
  <c r="W87" i="7"/>
  <c r="AI96" i="8"/>
  <c r="Y9" i="24"/>
  <c r="Y8" i="24"/>
  <c r="AA63" i="24"/>
  <c r="AA61" i="24"/>
  <c r="X64" i="24"/>
  <c r="AA64" i="24"/>
  <c r="X62" i="24"/>
  <c r="AA62" i="24"/>
  <c r="AB67" i="24"/>
  <c r="AB86" i="24"/>
  <c r="BF72" i="7"/>
  <c r="BE66" i="7"/>
  <c r="BF71" i="7"/>
  <c r="BF73" i="7"/>
  <c r="BF74" i="7"/>
  <c r="Q24" i="28"/>
  <c r="M31" i="29"/>
  <c r="Q31" i="29"/>
  <c r="T31" i="29"/>
  <c r="V26" i="27"/>
  <c r="I15" i="30"/>
  <c r="J20" i="27"/>
  <c r="J24" i="27"/>
  <c r="Q23" i="28"/>
  <c r="M30" i="29"/>
  <c r="Q21" i="28"/>
  <c r="M28" i="29"/>
  <c r="Q19" i="28"/>
  <c r="M26" i="29"/>
  <c r="J21" i="27"/>
  <c r="K21" i="27"/>
  <c r="J14" i="27"/>
  <c r="J22" i="27"/>
  <c r="J15" i="27"/>
  <c r="K15" i="27"/>
  <c r="J23" i="27"/>
  <c r="K23" i="27"/>
  <c r="J16" i="27"/>
  <c r="J25" i="27"/>
  <c r="J18" i="27"/>
  <c r="K18" i="27"/>
  <c r="J26" i="27"/>
  <c r="J19" i="27"/>
  <c r="S27" i="5"/>
  <c r="L49" i="5"/>
  <c r="I23" i="24"/>
  <c r="AF6" i="7"/>
  <c r="Y16" i="10"/>
  <c r="AA87" i="10"/>
  <c r="BH23" i="8"/>
  <c r="AF8" i="7"/>
  <c r="AF7" i="7"/>
  <c r="I9" i="8"/>
  <c r="H6" i="7"/>
  <c r="H111" i="7"/>
  <c r="H110" i="7"/>
  <c r="H60" i="7"/>
  <c r="H59" i="7"/>
  <c r="L42" i="5"/>
  <c r="I29" i="11"/>
  <c r="H10" i="11"/>
  <c r="H9" i="11"/>
  <c r="H8" i="11"/>
  <c r="H7" i="11"/>
  <c r="AG9" i="5"/>
  <c r="AG10" i="5"/>
  <c r="AG11" i="5"/>
  <c r="AG12" i="5"/>
  <c r="AG13" i="5"/>
  <c r="AG14" i="5"/>
  <c r="AG15" i="5"/>
  <c r="AG16" i="5"/>
  <c r="AG17" i="5"/>
  <c r="AG18" i="5"/>
  <c r="AG19" i="5"/>
  <c r="AG20" i="5"/>
  <c r="AG21" i="5"/>
  <c r="AG22" i="5"/>
  <c r="AG23" i="5"/>
  <c r="AG24" i="5"/>
  <c r="M21" i="15"/>
  <c r="AE17" i="5"/>
  <c r="AD8" i="5"/>
  <c r="G49" i="1"/>
  <c r="H17" i="9"/>
  <c r="H17" i="12"/>
  <c r="H15" i="12"/>
  <c r="J12" i="9"/>
  <c r="H34" i="12"/>
  <c r="I12" i="9"/>
  <c r="H12" i="9"/>
  <c r="H144" i="7"/>
  <c r="AG129" i="7"/>
  <c r="I144" i="7"/>
  <c r="AH129" i="7"/>
  <c r="G144" i="7"/>
  <c r="I20" i="24"/>
  <c r="Y11" i="14"/>
  <c r="H32" i="11"/>
  <c r="G32" i="11"/>
  <c r="I31" i="11"/>
  <c r="H31" i="11"/>
  <c r="K15" i="8"/>
  <c r="J66" i="7"/>
  <c r="I22" i="19"/>
  <c r="I9" i="19"/>
  <c r="I27" i="14"/>
  <c r="K14" i="27"/>
  <c r="K20" i="27"/>
  <c r="K27" i="27"/>
  <c r="K11" i="26"/>
  <c r="K12" i="26"/>
  <c r="K13" i="26"/>
  <c r="AH143" i="6"/>
  <c r="AI143" i="6"/>
  <c r="AK144" i="6"/>
  <c r="AL149" i="6"/>
  <c r="AK148" i="6"/>
  <c r="AK153" i="6"/>
  <c r="AK154" i="6"/>
  <c r="AL159" i="6"/>
  <c r="AL164" i="6"/>
  <c r="AI168" i="6"/>
  <c r="AK168" i="6"/>
  <c r="AI169" i="6"/>
  <c r="AK169" i="6"/>
  <c r="AK170" i="6"/>
  <c r="AK171" i="6"/>
  <c r="AI171" i="6"/>
  <c r="AJ171" i="6"/>
  <c r="AI172" i="6"/>
  <c r="AI173" i="6"/>
  <c r="AJ173" i="6"/>
  <c r="AK179" i="6"/>
  <c r="AK109" i="6"/>
  <c r="AL114" i="6"/>
  <c r="AL119" i="6"/>
  <c r="AI123" i="6"/>
  <c r="AJ123" i="6"/>
  <c r="AI124" i="6"/>
  <c r="AK124" i="6"/>
  <c r="AK125" i="6"/>
  <c r="AI125" i="6"/>
  <c r="AI126" i="6"/>
  <c r="AK126" i="6"/>
  <c r="AI127" i="6"/>
  <c r="AK133" i="6"/>
  <c r="AK172" i="6"/>
  <c r="AH97" i="6"/>
  <c r="AI97" i="6"/>
  <c r="AH98" i="6"/>
  <c r="AI98" i="6"/>
  <c r="AK99" i="6"/>
  <c r="AL104" i="6"/>
  <c r="AK103" i="6"/>
  <c r="AL73" i="6"/>
  <c r="AI80" i="6"/>
  <c r="AI81" i="6"/>
  <c r="AI82" i="6"/>
  <c r="AI83" i="6"/>
  <c r="AK89" i="6"/>
  <c r="AK81" i="6"/>
  <c r="AH51" i="6"/>
  <c r="AK51" i="6"/>
  <c r="AK53" i="6"/>
  <c r="AL58" i="6"/>
  <c r="AI51" i="6"/>
  <c r="AH52" i="6"/>
  <c r="AI52" i="6"/>
  <c r="AK57" i="6"/>
  <c r="AH62" i="6"/>
  <c r="AI62" i="6"/>
  <c r="AJ83" i="6"/>
  <c r="AK62" i="6"/>
  <c r="AH63" i="6"/>
  <c r="AH9" i="6"/>
  <c r="AI9" i="6"/>
  <c r="AK14" i="6"/>
  <c r="AI19" i="6"/>
  <c r="AK19" i="6"/>
  <c r="AJ20" i="6"/>
  <c r="AH20" i="6"/>
  <c r="AK20" i="6"/>
  <c r="AI20" i="6"/>
  <c r="AI35" i="6"/>
  <c r="AK42" i="6"/>
  <c r="AK7" i="6"/>
  <c r="M103" i="12"/>
  <c r="N108" i="12"/>
  <c r="M72" i="12"/>
  <c r="AC100" i="10"/>
  <c r="AC101" i="10"/>
  <c r="AB71" i="10"/>
  <c r="I84" i="10"/>
  <c r="J86" i="10"/>
  <c r="I85" i="10"/>
  <c r="J85" i="10"/>
  <c r="I86" i="10"/>
  <c r="I87" i="10"/>
  <c r="J87" i="10"/>
  <c r="L97" i="10"/>
  <c r="L98" i="10"/>
  <c r="K68" i="10"/>
  <c r="L94" i="10"/>
  <c r="S4" i="5"/>
  <c r="AE9" i="5"/>
  <c r="L28" i="5"/>
  <c r="L65" i="5"/>
  <c r="Q18" i="29"/>
  <c r="O52" i="29"/>
  <c r="S18" i="29"/>
  <c r="T18" i="29"/>
  <c r="Q28" i="29"/>
  <c r="T28" i="29"/>
  <c r="K85" i="10"/>
  <c r="M72" i="9"/>
  <c r="BB20" i="7"/>
  <c r="BE20" i="7"/>
  <c r="AF124" i="7"/>
  <c r="AF123" i="7"/>
  <c r="AF126" i="7"/>
  <c r="AF125" i="7"/>
  <c r="AF129" i="7"/>
  <c r="AI129" i="7"/>
  <c r="BB21" i="7"/>
  <c r="BE21" i="7"/>
  <c r="BH102" i="7"/>
  <c r="BG89" i="7"/>
  <c r="J144" i="7"/>
  <c r="AJ138" i="7"/>
  <c r="S66" i="7"/>
  <c r="S67" i="7"/>
  <c r="S65" i="7"/>
  <c r="BB54" i="7"/>
  <c r="BE54" i="7"/>
  <c r="BB53" i="7"/>
  <c r="BE53" i="7"/>
  <c r="BB52" i="7"/>
  <c r="BE52" i="7"/>
  <c r="W80" i="7"/>
  <c r="Y12" i="24"/>
  <c r="AL175" i="6"/>
  <c r="BF43" i="7"/>
  <c r="O25" i="29"/>
  <c r="BF67" i="7"/>
  <c r="AK127" i="6"/>
  <c r="AL129" i="6"/>
  <c r="K26" i="27"/>
  <c r="I32" i="11"/>
  <c r="Q17" i="15"/>
  <c r="I21" i="24"/>
  <c r="K16" i="27"/>
  <c r="K24" i="27"/>
  <c r="K17" i="27"/>
  <c r="H19" i="31"/>
  <c r="J32" i="11"/>
  <c r="K19" i="27"/>
  <c r="K22" i="27"/>
  <c r="K25" i="27"/>
  <c r="AI63" i="6"/>
  <c r="AK21" i="6"/>
  <c r="AL26" i="6"/>
  <c r="AK80" i="6"/>
  <c r="AK83" i="6"/>
  <c r="AJ63" i="6"/>
  <c r="AK35" i="6"/>
  <c r="AL36" i="6"/>
  <c r="AL15" i="6"/>
  <c r="AL38" i="6"/>
  <c r="O35" i="29"/>
  <c r="AC102" i="10"/>
  <c r="W26" i="11"/>
  <c r="K86" i="10"/>
  <c r="K84" i="10"/>
  <c r="K87" i="10"/>
  <c r="L72" i="14"/>
  <c r="W41" i="13"/>
  <c r="G33" i="16"/>
  <c r="G32" i="16"/>
  <c r="I28" i="19"/>
  <c r="H32" i="16"/>
  <c r="G31" i="16"/>
  <c r="G30" i="16"/>
  <c r="G21" i="16"/>
  <c r="I19" i="19"/>
  <c r="G25" i="16"/>
  <c r="I21" i="19"/>
  <c r="G24" i="16"/>
  <c r="I20" i="19"/>
  <c r="G20" i="16"/>
  <c r="I18" i="19"/>
  <c r="G19" i="16"/>
  <c r="I17" i="19"/>
  <c r="G18" i="16"/>
  <c r="I16" i="19"/>
  <c r="G17" i="16"/>
  <c r="I15" i="19"/>
  <c r="G16" i="16"/>
  <c r="I14" i="19"/>
  <c r="G15" i="16"/>
  <c r="I13" i="19"/>
  <c r="G14" i="16"/>
  <c r="I12" i="19"/>
  <c r="G13" i="16"/>
  <c r="I11" i="19"/>
  <c r="G12" i="16"/>
  <c r="I10" i="19"/>
  <c r="Y17" i="15"/>
  <c r="Z17" i="15"/>
  <c r="AA17" i="15"/>
  <c r="AB17" i="15"/>
  <c r="X13" i="15"/>
  <c r="Z23" i="15"/>
  <c r="AA23" i="15"/>
  <c r="AB23" i="15"/>
  <c r="H21" i="15"/>
  <c r="AD22" i="15"/>
  <c r="AD19" i="15"/>
  <c r="AC19" i="15"/>
  <c r="AD21" i="15"/>
  <c r="L21" i="15"/>
  <c r="K21" i="15"/>
  <c r="J21" i="15"/>
  <c r="I21" i="15"/>
  <c r="M19" i="15"/>
  <c r="L19" i="15"/>
  <c r="K19" i="15"/>
  <c r="I19" i="15"/>
  <c r="AE20" i="5"/>
  <c r="AD17" i="15"/>
  <c r="AC17" i="15"/>
  <c r="K23" i="15"/>
  <c r="I13" i="15"/>
  <c r="H13" i="15"/>
  <c r="Q13" i="15"/>
  <c r="P13" i="15"/>
  <c r="W23" i="15"/>
  <c r="O13" i="15"/>
  <c r="N13" i="15"/>
  <c r="N23" i="15"/>
  <c r="I20" i="7"/>
  <c r="I19" i="7"/>
  <c r="I49" i="8"/>
  <c r="I21" i="8"/>
  <c r="L97" i="8"/>
  <c r="J32" i="14"/>
  <c r="AE8" i="7"/>
  <c r="H27" i="14"/>
  <c r="K27" i="14"/>
  <c r="K34" i="14"/>
  <c r="G6" i="7"/>
  <c r="K37" i="14"/>
  <c r="K38" i="14"/>
  <c r="K32" i="14"/>
  <c r="K18" i="14"/>
  <c r="G19" i="7"/>
  <c r="G73" i="7"/>
  <c r="H39" i="12"/>
  <c r="H38" i="12"/>
  <c r="H37" i="12"/>
  <c r="I57" i="12"/>
  <c r="I56" i="12"/>
  <c r="I90" i="7"/>
  <c r="U67" i="7"/>
  <c r="V67" i="7"/>
  <c r="G90" i="7"/>
  <c r="G88" i="7"/>
  <c r="H90" i="7"/>
  <c r="I71" i="7"/>
  <c r="H101" i="7"/>
  <c r="G60" i="7"/>
  <c r="G59" i="7"/>
  <c r="G57" i="7"/>
  <c r="L19" i="26"/>
  <c r="G8" i="11"/>
  <c r="G112" i="7"/>
  <c r="G110" i="7"/>
  <c r="G111" i="7"/>
  <c r="AF90" i="7"/>
  <c r="G9" i="11"/>
  <c r="J12" i="7"/>
  <c r="AG62" i="7"/>
  <c r="BF20" i="8"/>
  <c r="BG20" i="8"/>
  <c r="S9" i="5"/>
  <c r="V13" i="15"/>
  <c r="U13" i="15"/>
  <c r="R13" i="15"/>
  <c r="H158" i="7"/>
  <c r="H143" i="7"/>
  <c r="AG128" i="7"/>
  <c r="K18" i="5"/>
  <c r="J40" i="12"/>
  <c r="I40" i="12"/>
  <c r="G21" i="7"/>
  <c r="H21" i="7"/>
  <c r="Y36" i="14"/>
  <c r="Y35" i="14"/>
  <c r="V37" i="14"/>
  <c r="X37" i="14"/>
  <c r="X36" i="14"/>
  <c r="X35" i="14"/>
  <c r="W37" i="14"/>
  <c r="W35" i="14"/>
  <c r="W36" i="14"/>
  <c r="AA55" i="10"/>
  <c r="Y21" i="10"/>
  <c r="AA92" i="10"/>
  <c r="V10" i="14"/>
  <c r="X49" i="14"/>
  <c r="W49" i="14"/>
  <c r="W48" i="14"/>
  <c r="W47" i="14"/>
  <c r="Y42" i="14"/>
  <c r="W21" i="14"/>
  <c r="V21" i="14"/>
  <c r="W20" i="14"/>
  <c r="V20" i="14"/>
  <c r="Y15" i="14"/>
  <c r="H47" i="11"/>
  <c r="J28" i="24"/>
  <c r="I89" i="7"/>
  <c r="I88" i="7"/>
  <c r="U66" i="7"/>
  <c r="I87" i="7"/>
  <c r="G87" i="7"/>
  <c r="G89" i="7"/>
  <c r="H89" i="7"/>
  <c r="H88" i="7"/>
  <c r="H87" i="7"/>
  <c r="T66" i="7"/>
  <c r="I73" i="7"/>
  <c r="H71" i="7"/>
  <c r="U65" i="7"/>
  <c r="V65" i="7"/>
  <c r="J75" i="24"/>
  <c r="J77" i="24"/>
  <c r="J78" i="24"/>
  <c r="I37" i="7"/>
  <c r="G37" i="7"/>
  <c r="G35" i="7"/>
  <c r="G36" i="7"/>
  <c r="H36" i="7"/>
  <c r="K65" i="24"/>
  <c r="H157" i="7"/>
  <c r="J79" i="24"/>
  <c r="I21" i="7"/>
  <c r="L70" i="24"/>
  <c r="H20" i="7"/>
  <c r="G20" i="7"/>
  <c r="H46" i="11"/>
  <c r="Y60" i="10"/>
  <c r="H20" i="8"/>
  <c r="K96" i="8"/>
  <c r="Z40" i="10"/>
  <c r="AA96" i="10"/>
  <c r="Y40" i="10"/>
  <c r="Z96" i="10"/>
  <c r="H37" i="24"/>
  <c r="AG45" i="7"/>
  <c r="AF45" i="7"/>
  <c r="J22" i="8"/>
  <c r="I22" i="8"/>
  <c r="L98" i="8"/>
  <c r="H22" i="8"/>
  <c r="K98" i="8"/>
  <c r="G33" i="6"/>
  <c r="G77" i="6"/>
  <c r="G169" i="6"/>
  <c r="J96" i="6"/>
  <c r="K101" i="6"/>
  <c r="G124" i="6"/>
  <c r="H37" i="8"/>
  <c r="I37" i="8"/>
  <c r="K100" i="8"/>
  <c r="H36" i="8"/>
  <c r="J36" i="8"/>
  <c r="L99" i="8"/>
  <c r="I36" i="8"/>
  <c r="K99" i="8"/>
  <c r="H21" i="8"/>
  <c r="K97" i="8"/>
  <c r="I20" i="8"/>
  <c r="L96" i="8"/>
  <c r="Y56" i="10"/>
  <c r="X43" i="10"/>
  <c r="Y53" i="10"/>
  <c r="AA53" i="10"/>
  <c r="Y54" i="10"/>
  <c r="AA54" i="10"/>
  <c r="AE15" i="7"/>
  <c r="H7" i="8"/>
  <c r="L14" i="26"/>
  <c r="Y20" i="10"/>
  <c r="AA91" i="10"/>
  <c r="Y57" i="10"/>
  <c r="Y19" i="10"/>
  <c r="AA90" i="10"/>
  <c r="H32" i="13"/>
  <c r="H31" i="13"/>
  <c r="X19" i="10"/>
  <c r="Z90" i="10"/>
  <c r="G31" i="13"/>
  <c r="G32" i="13"/>
  <c r="Y58" i="10"/>
  <c r="Y59" i="10"/>
  <c r="Y18" i="10"/>
  <c r="AA89" i="10"/>
  <c r="Y17" i="10"/>
  <c r="AA88" i="10"/>
  <c r="G6" i="13"/>
  <c r="BG31" i="8"/>
  <c r="X18" i="10"/>
  <c r="Z89" i="10"/>
  <c r="X21" i="10"/>
  <c r="BF31" i="8"/>
  <c r="BF101" i="8"/>
  <c r="BH101" i="8"/>
  <c r="M98" i="5"/>
  <c r="M99" i="5"/>
  <c r="L96" i="5"/>
  <c r="M96" i="5"/>
  <c r="L97" i="5"/>
  <c r="M97" i="5"/>
  <c r="L98" i="5"/>
  <c r="X16" i="10"/>
  <c r="Z87" i="10"/>
  <c r="BE31" i="8"/>
  <c r="AA7" i="10"/>
  <c r="AA11" i="10"/>
  <c r="X20" i="10"/>
  <c r="Z91" i="10"/>
  <c r="AB33" i="10"/>
  <c r="Y37" i="10"/>
  <c r="Z93" i="10"/>
  <c r="Y38" i="10"/>
  <c r="Z94" i="10"/>
  <c r="Y39" i="10"/>
  <c r="Z95" i="10"/>
  <c r="Y41" i="10"/>
  <c r="Z97" i="10"/>
  <c r="Y42" i="10"/>
  <c r="Z98" i="10"/>
  <c r="Y43" i="10"/>
  <c r="Z99" i="10"/>
  <c r="AA49" i="10"/>
  <c r="H26" i="11"/>
  <c r="H23" i="11"/>
  <c r="H18" i="24"/>
  <c r="K75" i="24"/>
  <c r="K76" i="24"/>
  <c r="K77" i="24"/>
  <c r="K78" i="24"/>
  <c r="K79" i="24"/>
  <c r="H140" i="7"/>
  <c r="AG125" i="7"/>
  <c r="AG34" i="7"/>
  <c r="R72" i="5"/>
  <c r="S72" i="5"/>
  <c r="I140" i="7"/>
  <c r="AH125" i="7"/>
  <c r="H141" i="7"/>
  <c r="AG126" i="7"/>
  <c r="H21" i="16"/>
  <c r="O71" i="29"/>
  <c r="K30" i="28"/>
  <c r="Q30" i="28"/>
  <c r="M37" i="29"/>
  <c r="S37" i="29"/>
  <c r="O54" i="29"/>
  <c r="S20" i="29"/>
  <c r="H33" i="16"/>
  <c r="I29" i="19"/>
  <c r="S28" i="29"/>
  <c r="O62" i="29"/>
  <c r="O61" i="29"/>
  <c r="S27" i="29"/>
  <c r="T27" i="29"/>
  <c r="O63" i="29"/>
  <c r="S29" i="29"/>
  <c r="O57" i="29"/>
  <c r="S23" i="29"/>
  <c r="O64" i="29"/>
  <c r="S30" i="29"/>
  <c r="S24" i="29"/>
  <c r="O58" i="29"/>
  <c r="O53" i="29"/>
  <c r="S19" i="29"/>
  <c r="S21" i="29"/>
  <c r="O55" i="29"/>
  <c r="S25" i="29"/>
  <c r="O59" i="29"/>
  <c r="S22" i="29"/>
  <c r="O56" i="29"/>
  <c r="O60" i="29"/>
  <c r="S26" i="29"/>
  <c r="AB25" i="15"/>
  <c r="AB27" i="15"/>
  <c r="Z25" i="15"/>
  <c r="Z27" i="15"/>
  <c r="AA25" i="15"/>
  <c r="AA27" i="15"/>
  <c r="Z36" i="24"/>
  <c r="O29" i="29"/>
  <c r="H31" i="16"/>
  <c r="I27" i="19"/>
  <c r="H30" i="16"/>
  <c r="I26" i="19"/>
  <c r="X17" i="10"/>
  <c r="Z88" i="10"/>
  <c r="Z92" i="10"/>
  <c r="M73" i="14"/>
  <c r="I64" i="14"/>
  <c r="I66" i="14"/>
  <c r="L66" i="14"/>
  <c r="I65" i="14"/>
  <c r="L65" i="14"/>
  <c r="Z19" i="10"/>
  <c r="AA19" i="10"/>
  <c r="X40" i="10"/>
  <c r="AA40" i="10"/>
  <c r="L39" i="14"/>
  <c r="Z17" i="10"/>
  <c r="AA17" i="10"/>
  <c r="Z21" i="10"/>
  <c r="AA21" i="10"/>
  <c r="AA58" i="10"/>
  <c r="Z18" i="10"/>
  <c r="AA18" i="10"/>
  <c r="Z16" i="10"/>
  <c r="Z20" i="10"/>
  <c r="AA20" i="10"/>
  <c r="V66" i="7"/>
  <c r="AI126" i="7"/>
  <c r="AI125" i="7"/>
  <c r="W73" i="7"/>
  <c r="W89" i="7"/>
  <c r="BF76" i="7"/>
  <c r="X27" i="11"/>
  <c r="T12" i="11"/>
  <c r="W12" i="11"/>
  <c r="T10" i="11"/>
  <c r="W10" i="11"/>
  <c r="T11" i="11"/>
  <c r="W11" i="11"/>
  <c r="T9" i="11"/>
  <c r="AK82" i="6"/>
  <c r="W9" i="11"/>
  <c r="J89" i="7"/>
  <c r="J90" i="7"/>
  <c r="K29" i="27"/>
  <c r="O26" i="29"/>
  <c r="Q26" i="29"/>
  <c r="T26" i="29"/>
  <c r="K33" i="11"/>
  <c r="K51" i="11"/>
  <c r="L100" i="10"/>
  <c r="AK63" i="6"/>
  <c r="AK66" i="6"/>
  <c r="AL68" i="6"/>
  <c r="L99" i="10"/>
  <c r="L64" i="14"/>
  <c r="X49" i="13"/>
  <c r="J110" i="7"/>
  <c r="AH65" i="7"/>
  <c r="AD23" i="15"/>
  <c r="AD25" i="15"/>
  <c r="AD27" i="15"/>
  <c r="J6" i="7"/>
  <c r="Y21" i="14"/>
  <c r="Y22" i="14"/>
  <c r="AC23" i="15"/>
  <c r="AC25" i="15"/>
  <c r="AC27" i="15"/>
  <c r="X41" i="10"/>
  <c r="AG127" i="7"/>
  <c r="V23" i="15"/>
  <c r="U17" i="15"/>
  <c r="BH31" i="8"/>
  <c r="BH20" i="8"/>
  <c r="R23" i="15"/>
  <c r="X39" i="10"/>
  <c r="AA39" i="10"/>
  <c r="L79" i="24"/>
  <c r="AA59" i="10"/>
  <c r="AA60" i="10"/>
  <c r="J118" i="7"/>
  <c r="L78" i="24"/>
  <c r="L77" i="24"/>
  <c r="L75" i="24"/>
  <c r="J87" i="7"/>
  <c r="J88" i="7"/>
  <c r="J36" i="7"/>
  <c r="AA57" i="10"/>
  <c r="L71" i="24"/>
  <c r="AA56" i="10"/>
  <c r="K37" i="8"/>
  <c r="K9" i="8"/>
  <c r="K40" i="12"/>
  <c r="Y43" i="14"/>
  <c r="J37" i="7"/>
  <c r="X42" i="10"/>
  <c r="AA42" i="10"/>
  <c r="X38" i="10"/>
  <c r="AB12" i="10"/>
  <c r="X37" i="10"/>
  <c r="AA37" i="10"/>
  <c r="L60" i="24"/>
  <c r="J158" i="7"/>
  <c r="BE45" i="8"/>
  <c r="BE44" i="8"/>
  <c r="BG30" i="8"/>
  <c r="BG29" i="8"/>
  <c r="BG28" i="8"/>
  <c r="BH51" i="8"/>
  <c r="BH52" i="8"/>
  <c r="BG58" i="8"/>
  <c r="BI58" i="8"/>
  <c r="BF58" i="8"/>
  <c r="BF57" i="8"/>
  <c r="BG45" i="8"/>
  <c r="BG44" i="8"/>
  <c r="BF45" i="8"/>
  <c r="BF44" i="8"/>
  <c r="BE30" i="8"/>
  <c r="BF29" i="8"/>
  <c r="BF96" i="8"/>
  <c r="BE29" i="8"/>
  <c r="BE28" i="8"/>
  <c r="AI46" i="7"/>
  <c r="AH46" i="7"/>
  <c r="H10" i="9"/>
  <c r="H9" i="9"/>
  <c r="H7" i="9"/>
  <c r="H6" i="9"/>
  <c r="I44" i="11"/>
  <c r="I27" i="11"/>
  <c r="H28" i="11"/>
  <c r="H27" i="11"/>
  <c r="AE7" i="7"/>
  <c r="AG7" i="7"/>
  <c r="AE6" i="7"/>
  <c r="AE5" i="7"/>
  <c r="L21" i="26"/>
  <c r="AG90" i="7"/>
  <c r="AG89" i="7"/>
  <c r="AF89" i="7"/>
  <c r="AE56" i="7"/>
  <c r="I60" i="6"/>
  <c r="AF88" i="7"/>
  <c r="AG101" i="7"/>
  <c r="AI102" i="7"/>
  <c r="AG100" i="7"/>
  <c r="AI101" i="7"/>
  <c r="AC20" i="5"/>
  <c r="J12" i="11"/>
  <c r="H36" i="24"/>
  <c r="H35" i="24"/>
  <c r="H34" i="24"/>
  <c r="M75" i="24"/>
  <c r="H169" i="6"/>
  <c r="H124" i="6"/>
  <c r="H77" i="6"/>
  <c r="AG39" i="8"/>
  <c r="H18" i="12"/>
  <c r="G80" i="6"/>
  <c r="G79" i="6"/>
  <c r="K22" i="9"/>
  <c r="J11" i="9"/>
  <c r="J10" i="9"/>
  <c r="J9" i="9"/>
  <c r="J7" i="9"/>
  <c r="J6" i="9"/>
  <c r="I7" i="9"/>
  <c r="J37" i="12"/>
  <c r="J38" i="12"/>
  <c r="I17" i="9"/>
  <c r="E33" i="1"/>
  <c r="I9" i="9"/>
  <c r="H11" i="9"/>
  <c r="AF38" i="8"/>
  <c r="AE23" i="8"/>
  <c r="I34" i="12"/>
  <c r="I39" i="12"/>
  <c r="I38" i="12"/>
  <c r="I37" i="12"/>
  <c r="H33" i="24"/>
  <c r="I33" i="24"/>
  <c r="I34" i="24"/>
  <c r="I35" i="24"/>
  <c r="I36" i="24"/>
  <c r="I37" i="24"/>
  <c r="J8" i="24"/>
  <c r="K13" i="24"/>
  <c r="S35" i="5"/>
  <c r="R35" i="5"/>
  <c r="S34" i="5"/>
  <c r="K34" i="5"/>
  <c r="L34" i="5"/>
  <c r="H112" i="7"/>
  <c r="S21" i="5"/>
  <c r="S28" i="5"/>
  <c r="R42" i="5"/>
  <c r="S41" i="5"/>
  <c r="K41" i="5"/>
  <c r="L41" i="5"/>
  <c r="G11" i="11"/>
  <c r="M23" i="15"/>
  <c r="B41" i="1"/>
  <c r="B49" i="1"/>
  <c r="B46" i="1"/>
  <c r="B44" i="1"/>
  <c r="B43" i="1"/>
  <c r="B42" i="1"/>
  <c r="R28" i="5"/>
  <c r="K27" i="5"/>
  <c r="L27" i="5"/>
  <c r="R21" i="5"/>
  <c r="K63" i="5"/>
  <c r="L63" i="5"/>
  <c r="S63" i="5"/>
  <c r="K64" i="5"/>
  <c r="L64" i="5"/>
  <c r="S64" i="5"/>
  <c r="R65" i="5"/>
  <c r="S65" i="5"/>
  <c r="S20" i="5"/>
  <c r="K20" i="5"/>
  <c r="L20" i="5"/>
  <c r="L18" i="5"/>
  <c r="H168" i="6"/>
  <c r="H167" i="6"/>
  <c r="H165" i="6"/>
  <c r="H170" i="6"/>
  <c r="H123" i="6"/>
  <c r="H121" i="6"/>
  <c r="H120" i="6"/>
  <c r="G94" i="6"/>
  <c r="G60" i="6"/>
  <c r="G59" i="6"/>
  <c r="G48" i="6"/>
  <c r="H32" i="6"/>
  <c r="H79" i="6"/>
  <c r="K61" i="12"/>
  <c r="K60" i="12"/>
  <c r="K59" i="12"/>
  <c r="I52" i="12"/>
  <c r="U35" i="12"/>
  <c r="J150" i="7"/>
  <c r="G141" i="7"/>
  <c r="G95" i="6"/>
  <c r="H80" i="6"/>
  <c r="G49" i="6"/>
  <c r="B47" i="1"/>
  <c r="G11" i="1"/>
  <c r="K21" i="9"/>
  <c r="U119" i="6"/>
  <c r="AH71" i="7"/>
  <c r="J37" i="11"/>
  <c r="AB126" i="15"/>
  <c r="AB128" i="15"/>
  <c r="AB129" i="15"/>
  <c r="AA126" i="15"/>
  <c r="AA128" i="15"/>
  <c r="AA129" i="15"/>
  <c r="Z126" i="15"/>
  <c r="Z128" i="15"/>
  <c r="Z129" i="15"/>
  <c r="Y126" i="15"/>
  <c r="Y128" i="15"/>
  <c r="Y129" i="15"/>
  <c r="W109" i="15"/>
  <c r="V109" i="15"/>
  <c r="U109" i="15"/>
  <c r="T109" i="15"/>
  <c r="S109" i="15"/>
  <c r="R109" i="15"/>
  <c r="Q109" i="15"/>
  <c r="P109" i="15"/>
  <c r="O109" i="15"/>
  <c r="N109" i="15"/>
  <c r="M109" i="15"/>
  <c r="L109" i="15"/>
  <c r="K109" i="15"/>
  <c r="J109" i="15"/>
  <c r="I109" i="15"/>
  <c r="H109" i="15"/>
  <c r="G109" i="15"/>
  <c r="G108" i="15"/>
  <c r="W107" i="15"/>
  <c r="W115" i="15"/>
  <c r="W126" i="15"/>
  <c r="W128" i="15"/>
  <c r="V107" i="15"/>
  <c r="V115" i="15"/>
  <c r="V126" i="15"/>
  <c r="V128" i="15"/>
  <c r="U107" i="15"/>
  <c r="U115" i="15"/>
  <c r="U126" i="15"/>
  <c r="U128" i="15"/>
  <c r="T107" i="15"/>
  <c r="T115" i="15"/>
  <c r="T126" i="15"/>
  <c r="T128" i="15"/>
  <c r="S107" i="15"/>
  <c r="S115" i="15"/>
  <c r="S126" i="15"/>
  <c r="S128" i="15"/>
  <c r="R107" i="15"/>
  <c r="R115" i="15"/>
  <c r="R126" i="15"/>
  <c r="R128" i="15"/>
  <c r="Q107" i="15"/>
  <c r="Q115" i="15"/>
  <c r="Q126" i="15"/>
  <c r="Q128" i="15"/>
  <c r="P107" i="15"/>
  <c r="P115" i="15"/>
  <c r="P126" i="15"/>
  <c r="P128" i="15"/>
  <c r="O107" i="15"/>
  <c r="O115" i="15"/>
  <c r="O126" i="15"/>
  <c r="O128" i="15"/>
  <c r="N107" i="15"/>
  <c r="N115" i="15"/>
  <c r="N126" i="15"/>
  <c r="N128" i="15"/>
  <c r="M107" i="15"/>
  <c r="M115" i="15"/>
  <c r="M126" i="15"/>
  <c r="M128" i="15"/>
  <c r="L107" i="15"/>
  <c r="L115" i="15"/>
  <c r="L126" i="15"/>
  <c r="L128" i="15"/>
  <c r="K107" i="15"/>
  <c r="K115" i="15"/>
  <c r="K126" i="15"/>
  <c r="K128" i="15"/>
  <c r="J107" i="15"/>
  <c r="J115" i="15"/>
  <c r="J126" i="15"/>
  <c r="J128" i="15"/>
  <c r="I107" i="15"/>
  <c r="I115" i="15"/>
  <c r="I126" i="15"/>
  <c r="I128" i="15"/>
  <c r="H107" i="15"/>
  <c r="H115" i="15"/>
  <c r="H126" i="15"/>
  <c r="H128" i="15"/>
  <c r="G107" i="15"/>
  <c r="G115" i="15"/>
  <c r="G26" i="16"/>
  <c r="H26" i="16"/>
  <c r="H25" i="16"/>
  <c r="H24" i="16"/>
  <c r="G19" i="19"/>
  <c r="M62" i="29"/>
  <c r="H20" i="16"/>
  <c r="G18" i="19"/>
  <c r="M61" i="29"/>
  <c r="H19" i="16"/>
  <c r="G17" i="19"/>
  <c r="M60" i="29"/>
  <c r="H18" i="16"/>
  <c r="G16" i="19"/>
  <c r="M59" i="29"/>
  <c r="H16" i="16"/>
  <c r="G14" i="19"/>
  <c r="M57" i="29"/>
  <c r="H15" i="16"/>
  <c r="G13" i="19"/>
  <c r="M56" i="29"/>
  <c r="G12" i="19"/>
  <c r="M55" i="29"/>
  <c r="H13" i="16"/>
  <c r="G11" i="19"/>
  <c r="M54" i="29"/>
  <c r="H12" i="16"/>
  <c r="G10" i="19"/>
  <c r="M53" i="29"/>
  <c r="M13" i="15"/>
  <c r="L13" i="15"/>
  <c r="K13" i="15"/>
  <c r="J13" i="15"/>
  <c r="I55" i="12"/>
  <c r="K55" i="12"/>
  <c r="I58" i="12"/>
  <c r="K58" i="12"/>
  <c r="J44" i="14"/>
  <c r="I44" i="14"/>
  <c r="K8" i="14"/>
  <c r="K12" i="14"/>
  <c r="J37" i="13"/>
  <c r="J38" i="13"/>
  <c r="I44" i="13"/>
  <c r="H44" i="13"/>
  <c r="I43" i="13"/>
  <c r="H43" i="13"/>
  <c r="I17" i="12"/>
  <c r="I42" i="13"/>
  <c r="H42" i="13"/>
  <c r="J11" i="13"/>
  <c r="H25" i="11"/>
  <c r="H24" i="11"/>
  <c r="I46" i="11"/>
  <c r="I45" i="11"/>
  <c r="H45" i="11"/>
  <c r="I43" i="11"/>
  <c r="H43" i="11"/>
  <c r="I42" i="11"/>
  <c r="H42" i="11"/>
  <c r="I56" i="10"/>
  <c r="H36" i="10"/>
  <c r="I36" i="10"/>
  <c r="I32" i="9"/>
  <c r="K56" i="12"/>
  <c r="I51" i="12"/>
  <c r="K51" i="12"/>
  <c r="K47" i="12"/>
  <c r="L30" i="12"/>
  <c r="K10" i="12"/>
  <c r="K6" i="12"/>
  <c r="AD25" i="5"/>
  <c r="AB25" i="5"/>
  <c r="I54" i="10"/>
  <c r="K54" i="10"/>
  <c r="I53" i="10"/>
  <c r="K53" i="10"/>
  <c r="I51" i="10"/>
  <c r="K51" i="10"/>
  <c r="I38" i="10"/>
  <c r="I39" i="10"/>
  <c r="I35" i="10"/>
  <c r="I37" i="10"/>
  <c r="AH52" i="8"/>
  <c r="AI52" i="8"/>
  <c r="AH53" i="8"/>
  <c r="AI53" i="8"/>
  <c r="AI50" i="8"/>
  <c r="AG51" i="8"/>
  <c r="AI51" i="8"/>
  <c r="AF51" i="8"/>
  <c r="AF50" i="8"/>
  <c r="AH50" i="8"/>
  <c r="I34" i="10"/>
  <c r="G122" i="6"/>
  <c r="I52" i="10"/>
  <c r="H39" i="10"/>
  <c r="I49" i="10"/>
  <c r="H37" i="10"/>
  <c r="I50" i="10"/>
  <c r="H35" i="10"/>
  <c r="K35" i="10"/>
  <c r="I33" i="10"/>
  <c r="H18" i="10"/>
  <c r="H17" i="10"/>
  <c r="BI56" i="8"/>
  <c r="BI57" i="8"/>
  <c r="BF56" i="8"/>
  <c r="H16" i="10"/>
  <c r="I16" i="10"/>
  <c r="H15" i="10"/>
  <c r="K45" i="10"/>
  <c r="L29" i="10"/>
  <c r="K10" i="10"/>
  <c r="I50" i="8"/>
  <c r="K50" i="8"/>
  <c r="I48" i="8"/>
  <c r="K48" i="8"/>
  <c r="AD10" i="5"/>
  <c r="I31" i="9"/>
  <c r="I30" i="9"/>
  <c r="I28" i="9"/>
  <c r="AH46" i="8"/>
  <c r="AE39" i="8"/>
  <c r="AH12" i="8"/>
  <c r="AH13" i="8"/>
  <c r="AH18" i="8"/>
  <c r="AH24" i="8"/>
  <c r="K36" i="8"/>
  <c r="K38" i="8"/>
  <c r="K44" i="8"/>
  <c r="L50" i="8"/>
  <c r="L51" i="8"/>
  <c r="L52" i="8"/>
  <c r="L53" i="8"/>
  <c r="J17" i="9"/>
  <c r="I27" i="9"/>
  <c r="K12" i="9"/>
  <c r="K100" i="7"/>
  <c r="AG102" i="7"/>
  <c r="AI103" i="7"/>
  <c r="AF102" i="7"/>
  <c r="AH102" i="7"/>
  <c r="AF100" i="7"/>
  <c r="I101" i="7"/>
  <c r="K101" i="7"/>
  <c r="J101" i="7"/>
  <c r="AI45" i="7"/>
  <c r="AH44" i="7"/>
  <c r="AI44" i="7"/>
  <c r="I49" i="7"/>
  <c r="K49" i="7"/>
  <c r="H49" i="7"/>
  <c r="J49" i="7"/>
  <c r="H47" i="7"/>
  <c r="J47" i="7"/>
  <c r="I157" i="7"/>
  <c r="K157" i="7"/>
  <c r="J157" i="7"/>
  <c r="I156" i="7"/>
  <c r="K156" i="7"/>
  <c r="H156" i="7"/>
  <c r="I155" i="7"/>
  <c r="K155" i="7"/>
  <c r="H155" i="7"/>
  <c r="H154" i="7"/>
  <c r="J154" i="7"/>
  <c r="K154" i="7"/>
  <c r="K47" i="7"/>
  <c r="K48" i="7"/>
  <c r="G140" i="6"/>
  <c r="J141" i="6"/>
  <c r="G6" i="6"/>
  <c r="G123" i="6"/>
  <c r="H122" i="6"/>
  <c r="G121" i="6"/>
  <c r="J122" i="6"/>
  <c r="AH96" i="7"/>
  <c r="J96" i="7"/>
  <c r="J100" i="6"/>
  <c r="J106" i="6"/>
  <c r="K111" i="6"/>
  <c r="K116" i="6"/>
  <c r="T119" i="6"/>
  <c r="J130" i="6"/>
  <c r="G168" i="6"/>
  <c r="G167" i="6"/>
  <c r="G165" i="6"/>
  <c r="G166" i="6"/>
  <c r="H166" i="6"/>
  <c r="J166" i="6"/>
  <c r="J145" i="6"/>
  <c r="K161" i="6"/>
  <c r="J176" i="6"/>
  <c r="AH40" i="7"/>
  <c r="AG15" i="7"/>
  <c r="H78" i="6"/>
  <c r="J54" i="6"/>
  <c r="K70" i="6"/>
  <c r="J86" i="6"/>
  <c r="G78" i="6"/>
  <c r="J78" i="6"/>
  <c r="J43" i="7"/>
  <c r="T35" i="12"/>
  <c r="H35" i="12"/>
  <c r="L11" i="12"/>
  <c r="K6" i="10"/>
  <c r="K146" i="6"/>
  <c r="J18" i="13"/>
  <c r="J39" i="6"/>
  <c r="G32" i="6"/>
  <c r="AD21" i="5"/>
  <c r="AB21" i="5"/>
  <c r="AB22" i="5"/>
  <c r="AC22" i="5"/>
  <c r="AD22" i="5"/>
  <c r="AE22" i="5"/>
  <c r="N3" i="5"/>
  <c r="S5" i="5"/>
  <c r="J11" i="6"/>
  <c r="S3" i="5"/>
  <c r="K39" i="5"/>
  <c r="L39" i="5"/>
  <c r="K40" i="5"/>
  <c r="L40" i="5"/>
  <c r="AB9" i="5"/>
  <c r="AD9" i="5"/>
  <c r="AD11" i="5"/>
  <c r="AD12" i="5"/>
  <c r="AD13" i="5"/>
  <c r="AD14" i="5"/>
  <c r="AD15" i="5"/>
  <c r="AD16" i="5"/>
  <c r="AD17" i="5"/>
  <c r="AD18" i="5"/>
  <c r="AD19" i="5"/>
  <c r="AD20" i="5"/>
  <c r="AD23" i="5"/>
  <c r="AD24" i="5"/>
  <c r="AC9" i="5"/>
  <c r="AB10" i="5"/>
  <c r="AC10" i="5"/>
  <c r="AE10" i="5"/>
  <c r="AB11" i="5"/>
  <c r="AC11" i="5"/>
  <c r="AB12" i="5"/>
  <c r="AC12" i="5"/>
  <c r="AB13" i="5"/>
  <c r="AC13" i="5"/>
  <c r="AE58" i="7"/>
  <c r="AB14" i="5"/>
  <c r="AC14" i="5"/>
  <c r="AE59" i="7"/>
  <c r="AB15" i="5"/>
  <c r="AC15" i="5"/>
  <c r="AB16" i="5"/>
  <c r="AC16" i="5"/>
  <c r="AE16" i="5"/>
  <c r="AB17" i="5"/>
  <c r="AC17" i="5"/>
  <c r="AB18" i="5"/>
  <c r="AB19" i="5"/>
  <c r="AC19" i="5"/>
  <c r="AB23" i="5"/>
  <c r="AC23" i="5"/>
  <c r="AB24" i="5"/>
  <c r="AC24" i="5"/>
  <c r="AE24" i="5"/>
  <c r="AB8" i="5"/>
  <c r="AC8" i="5"/>
  <c r="K10" i="5"/>
  <c r="K11" i="5"/>
  <c r="K12" i="5"/>
  <c r="I4" i="6"/>
  <c r="K19" i="5"/>
  <c r="L19" i="5"/>
  <c r="K53" i="5"/>
  <c r="L59" i="5"/>
  <c r="K54" i="5"/>
  <c r="L54" i="5"/>
  <c r="K55" i="5"/>
  <c r="L55" i="5"/>
  <c r="K56" i="5"/>
  <c r="K57" i="5"/>
  <c r="K58" i="5"/>
  <c r="L56" i="5"/>
  <c r="L57" i="5"/>
  <c r="L58" i="5"/>
  <c r="K47" i="5"/>
  <c r="L47" i="5"/>
  <c r="K46" i="5"/>
  <c r="K48" i="5"/>
  <c r="L48" i="5"/>
  <c r="I169" i="6"/>
  <c r="J169" i="6"/>
  <c r="K171" i="6"/>
  <c r="L46" i="5"/>
  <c r="S39" i="5"/>
  <c r="S42" i="5"/>
  <c r="S40" i="5"/>
  <c r="K32" i="5"/>
  <c r="L32" i="5"/>
  <c r="S32" i="5"/>
  <c r="K33" i="5"/>
  <c r="S33" i="5"/>
  <c r="S19" i="5"/>
  <c r="S18" i="5"/>
  <c r="S12" i="5"/>
  <c r="S13" i="5"/>
  <c r="S10" i="5"/>
  <c r="K25" i="5"/>
  <c r="L25" i="5"/>
  <c r="S25" i="5"/>
  <c r="K26" i="5"/>
  <c r="S26" i="5"/>
  <c r="L10" i="5"/>
  <c r="L11" i="5"/>
  <c r="R13" i="5"/>
  <c r="S11" i="5"/>
  <c r="K17" i="15"/>
  <c r="L33" i="5"/>
  <c r="BE13" i="8"/>
  <c r="K10" i="8"/>
  <c r="AC21" i="5"/>
  <c r="AE21" i="5"/>
  <c r="AE11" i="8"/>
  <c r="J17" i="15"/>
  <c r="K28" i="6"/>
  <c r="O72" i="29"/>
  <c r="K31" i="28"/>
  <c r="Q31" i="28"/>
  <c r="M38" i="29"/>
  <c r="Q38" i="29"/>
  <c r="S38" i="29"/>
  <c r="K28" i="28"/>
  <c r="Q28" i="28"/>
  <c r="M35" i="29"/>
  <c r="O69" i="29"/>
  <c r="S35" i="29"/>
  <c r="K29" i="28"/>
  <c r="Q29" i="28"/>
  <c r="M36" i="29"/>
  <c r="Q36" i="29"/>
  <c r="O70" i="29"/>
  <c r="S36" i="29"/>
  <c r="Q29" i="29"/>
  <c r="G27" i="16"/>
  <c r="H27" i="16"/>
  <c r="H25" i="1"/>
  <c r="L23" i="15"/>
  <c r="J9" i="19" a="1"/>
  <c r="AA16" i="10"/>
  <c r="M80" i="14"/>
  <c r="O37" i="29"/>
  <c r="Q37" i="29"/>
  <c r="T37" i="29"/>
  <c r="AA23" i="10"/>
  <c r="K39" i="8"/>
  <c r="AE32" i="7"/>
  <c r="G140" i="7"/>
  <c r="G139" i="7"/>
  <c r="G138" i="7"/>
  <c r="G142" i="7"/>
  <c r="L65" i="24"/>
  <c r="M67" i="24"/>
  <c r="M72" i="24"/>
  <c r="M81" i="24"/>
  <c r="I65" i="24"/>
  <c r="J156" i="7"/>
  <c r="AH15" i="7"/>
  <c r="AI13" i="7"/>
  <c r="AE33" i="7"/>
  <c r="AH33" i="7"/>
  <c r="AE34" i="7"/>
  <c r="AH34" i="7"/>
  <c r="J141" i="7"/>
  <c r="AE25" i="5"/>
  <c r="K10" i="9"/>
  <c r="K60" i="11"/>
  <c r="K61" i="11"/>
  <c r="K64" i="11"/>
  <c r="K63" i="11"/>
  <c r="J48" i="11"/>
  <c r="K9" i="9"/>
  <c r="X38" i="11"/>
  <c r="K37" i="12"/>
  <c r="K38" i="12"/>
  <c r="O23" i="15"/>
  <c r="W17" i="15"/>
  <c r="J18" i="12"/>
  <c r="K18" i="12"/>
  <c r="J21" i="8"/>
  <c r="K21" i="8"/>
  <c r="I59" i="6"/>
  <c r="H44" i="11"/>
  <c r="K62" i="11"/>
  <c r="J76" i="24"/>
  <c r="L76" i="24"/>
  <c r="H100" i="7"/>
  <c r="J20" i="8"/>
  <c r="AG23" i="8"/>
  <c r="I150" i="6"/>
  <c r="AE19" i="5"/>
  <c r="G7" i="11"/>
  <c r="J7" i="11"/>
  <c r="AE23" i="5"/>
  <c r="AH39" i="8"/>
  <c r="J47" i="11"/>
  <c r="K17" i="9"/>
  <c r="L20" i="9"/>
  <c r="BH45" i="8"/>
  <c r="L42" i="14"/>
  <c r="Z47" i="14"/>
  <c r="Z48" i="14"/>
  <c r="Z49" i="14"/>
  <c r="Y48" i="14"/>
  <c r="Y37" i="14"/>
  <c r="AE88" i="7"/>
  <c r="AH32" i="7"/>
  <c r="AE38" i="8"/>
  <c r="J43" i="11"/>
  <c r="J29" i="24"/>
  <c r="G23" i="24"/>
  <c r="J23" i="24"/>
  <c r="M78" i="24"/>
  <c r="H110" i="15"/>
  <c r="H129" i="15"/>
  <c r="J42" i="11"/>
  <c r="J46" i="11"/>
  <c r="J45" i="11"/>
  <c r="V17" i="15"/>
  <c r="V25" i="15"/>
  <c r="V27" i="15"/>
  <c r="I29" i="9"/>
  <c r="J15" i="10"/>
  <c r="AF101" i="7"/>
  <c r="AH101" i="7"/>
  <c r="I16" i="6"/>
  <c r="H12" i="15"/>
  <c r="J36" i="24"/>
  <c r="AB28" i="10"/>
  <c r="AH14" i="8"/>
  <c r="L11" i="10"/>
  <c r="J34" i="24"/>
  <c r="M77" i="24"/>
  <c r="M79" i="24"/>
  <c r="J33" i="24"/>
  <c r="J35" i="24"/>
  <c r="J37" i="24"/>
  <c r="K38" i="24"/>
  <c r="M76" i="24"/>
  <c r="J140" i="7"/>
  <c r="AH6" i="7"/>
  <c r="J111" i="7"/>
  <c r="AH7" i="7"/>
  <c r="AH8" i="7"/>
  <c r="AE55" i="7"/>
  <c r="L20" i="26"/>
  <c r="AH100" i="7"/>
  <c r="J112" i="7"/>
  <c r="AH45" i="7"/>
  <c r="J155" i="7"/>
  <c r="K7" i="9"/>
  <c r="AH90" i="7"/>
  <c r="K19" i="14"/>
  <c r="I10" i="9"/>
  <c r="H95" i="6"/>
  <c r="H140" i="6"/>
  <c r="H49" i="6"/>
  <c r="H6" i="6"/>
  <c r="AF56" i="7"/>
  <c r="AF11" i="8"/>
  <c r="I6" i="9"/>
  <c r="K6" i="9"/>
  <c r="K35" i="24"/>
  <c r="I18" i="24"/>
  <c r="L53" i="5"/>
  <c r="J34" i="12"/>
  <c r="K34" i="12"/>
  <c r="K34" i="24"/>
  <c r="I142" i="7"/>
  <c r="AI127" i="7"/>
  <c r="I19" i="24"/>
  <c r="I124" i="6"/>
  <c r="J124" i="6"/>
  <c r="I77" i="6"/>
  <c r="J77" i="6"/>
  <c r="K81" i="6"/>
  <c r="J91" i="7"/>
  <c r="K36" i="24"/>
  <c r="J36" i="10"/>
  <c r="K36" i="10"/>
  <c r="K33" i="24"/>
  <c r="K37" i="24"/>
  <c r="K110" i="15"/>
  <c r="K129" i="15"/>
  <c r="O110" i="15"/>
  <c r="O129" i="15"/>
  <c r="Q110" i="15"/>
  <c r="Q129" i="15"/>
  <c r="V110" i="15"/>
  <c r="V129" i="15"/>
  <c r="L110" i="15"/>
  <c r="L129" i="15"/>
  <c r="M110" i="15"/>
  <c r="M129" i="15"/>
  <c r="N110" i="15"/>
  <c r="N129" i="15"/>
  <c r="P110" i="15"/>
  <c r="P129" i="15"/>
  <c r="R110" i="15"/>
  <c r="R129" i="15"/>
  <c r="T110" i="15"/>
  <c r="T129" i="15"/>
  <c r="U110" i="15"/>
  <c r="U129" i="15"/>
  <c r="I31" i="13"/>
  <c r="I23" i="11"/>
  <c r="I15" i="10"/>
  <c r="J39" i="10"/>
  <c r="BF30" i="8"/>
  <c r="BH28" i="8"/>
  <c r="I32" i="13"/>
  <c r="K22" i="8"/>
  <c r="I26" i="11"/>
  <c r="I24" i="11"/>
  <c r="H19" i="7"/>
  <c r="J19" i="7"/>
  <c r="I17" i="10"/>
  <c r="BH15" i="8"/>
  <c r="L26" i="5"/>
  <c r="J8" i="11"/>
  <c r="H94" i="6"/>
  <c r="J33" i="6"/>
  <c r="K34" i="6"/>
  <c r="G110" i="15"/>
  <c r="I110" i="15"/>
  <c r="I129" i="15"/>
  <c r="J110" i="15"/>
  <c r="J129" i="15"/>
  <c r="H34" i="10"/>
  <c r="K25" i="15"/>
  <c r="K27" i="15"/>
  <c r="W110" i="15"/>
  <c r="W129" i="15"/>
  <c r="H38" i="10"/>
  <c r="K38" i="10"/>
  <c r="L44" i="14"/>
  <c r="AC107" i="15"/>
  <c r="AC18" i="5"/>
  <c r="BH16" i="8"/>
  <c r="AE15" i="5"/>
  <c r="BF14" i="8"/>
  <c r="BH14" i="8"/>
  <c r="AC25" i="5"/>
  <c r="H139" i="7"/>
  <c r="AE11" i="5"/>
  <c r="AE12" i="5"/>
  <c r="AE14" i="5"/>
  <c r="AF59" i="7"/>
  <c r="AH59" i="7"/>
  <c r="AE13" i="5"/>
  <c r="AF58" i="7"/>
  <c r="AH58" i="7"/>
  <c r="M17" i="15"/>
  <c r="M25" i="15"/>
  <c r="M27" i="15"/>
  <c r="L17" i="15"/>
  <c r="K56" i="10"/>
  <c r="L43" i="14"/>
  <c r="S110" i="15"/>
  <c r="S129" i="15"/>
  <c r="H33" i="10"/>
  <c r="J35" i="7"/>
  <c r="J38" i="7"/>
  <c r="K23" i="9"/>
  <c r="K27" i="9"/>
  <c r="AC115" i="15"/>
  <c r="G126" i="15"/>
  <c r="G128" i="15"/>
  <c r="J25" i="15"/>
  <c r="J27" i="15" s="1"/>
  <c r="J28" i="15" s="1"/>
  <c r="F11" i="19" s="1"/>
  <c r="R17" i="15"/>
  <c r="R25" i="15"/>
  <c r="R27" i="15"/>
  <c r="K43" i="13"/>
  <c r="K44" i="13"/>
  <c r="K42" i="13"/>
  <c r="U23" i="15"/>
  <c r="U25" i="15"/>
  <c r="U27" i="15"/>
  <c r="O17" i="15"/>
  <c r="J38" i="11"/>
  <c r="G26" i="11"/>
  <c r="Y23" i="15"/>
  <c r="Y25" i="15"/>
  <c r="Y27" i="15"/>
  <c r="G9" i="19"/>
  <c r="M52" i="29"/>
  <c r="T38" i="29"/>
  <c r="H40" i="1"/>
  <c r="H61" i="1"/>
  <c r="I23" i="19"/>
  <c r="J9" i="19"/>
  <c r="P60" i="29"/>
  <c r="P55" i="29"/>
  <c r="P61" i="29"/>
  <c r="P58" i="29"/>
  <c r="P59" i="29"/>
  <c r="P56" i="29"/>
  <c r="P53" i="29"/>
  <c r="P54" i="29"/>
  <c r="P62" i="29"/>
  <c r="P57" i="29"/>
  <c r="L25" i="15"/>
  <c r="L27" i="15"/>
  <c r="T29" i="29"/>
  <c r="K39" i="10"/>
  <c r="Z43" i="10"/>
  <c r="K25" i="28"/>
  <c r="Q25" i="28"/>
  <c r="H138" i="7"/>
  <c r="AG123" i="7"/>
  <c r="AG124" i="7"/>
  <c r="E18" i="19"/>
  <c r="K24" i="24"/>
  <c r="K30" i="24"/>
  <c r="E20" i="19"/>
  <c r="H30" i="11"/>
  <c r="H29" i="11"/>
  <c r="I35" i="12"/>
  <c r="I36" i="12"/>
  <c r="AG25" i="5"/>
  <c r="O25" i="15"/>
  <c r="O27" i="15"/>
  <c r="G21" i="24"/>
  <c r="J21" i="24"/>
  <c r="G20" i="24"/>
  <c r="J20" i="24"/>
  <c r="G22" i="24"/>
  <c r="L13" i="9"/>
  <c r="L24" i="9"/>
  <c r="K57" i="11"/>
  <c r="G30" i="11"/>
  <c r="G31" i="11"/>
  <c r="J31" i="11"/>
  <c r="G23" i="11"/>
  <c r="J23" i="11"/>
  <c r="G27" i="11"/>
  <c r="J27" i="11"/>
  <c r="G25" i="11"/>
  <c r="J25" i="11"/>
  <c r="G29" i="11"/>
  <c r="G24" i="11"/>
  <c r="J24" i="11"/>
  <c r="G18" i="24"/>
  <c r="J18" i="24"/>
  <c r="G19" i="24"/>
  <c r="J19" i="24"/>
  <c r="BI31" i="8"/>
  <c r="BI60" i="8"/>
  <c r="L14" i="15"/>
  <c r="AD14" i="15"/>
  <c r="AD28" i="15"/>
  <c r="I25" i="15"/>
  <c r="I27" i="15" s="1"/>
  <c r="I28" i="15" s="1"/>
  <c r="F10" i="19" s="1"/>
  <c r="H14" i="15"/>
  <c r="W25" i="15"/>
  <c r="W27" i="15"/>
  <c r="J44" i="11"/>
  <c r="N14" i="15"/>
  <c r="V14" i="15"/>
  <c r="O14" i="15"/>
  <c r="Z50" i="14"/>
  <c r="R14" i="15"/>
  <c r="R28" i="15"/>
  <c r="F19" i="19"/>
  <c r="L62" i="29"/>
  <c r="AI35" i="7"/>
  <c r="AE18" i="5"/>
  <c r="G10" i="11"/>
  <c r="M14" i="15"/>
  <c r="M28" i="15"/>
  <c r="F14" i="19"/>
  <c r="L57" i="29"/>
  <c r="AC14" i="15"/>
  <c r="AC28" i="15"/>
  <c r="AB14" i="15"/>
  <c r="AB28" i="15"/>
  <c r="AA14" i="15"/>
  <c r="AA28" i="15"/>
  <c r="J113" i="7"/>
  <c r="K119" i="7"/>
  <c r="J9" i="11"/>
  <c r="J142" i="7"/>
  <c r="K14" i="15"/>
  <c r="K28" i="15"/>
  <c r="F12" i="19"/>
  <c r="L55" i="29"/>
  <c r="J14" i="15"/>
  <c r="AH89" i="7"/>
  <c r="I14" i="15"/>
  <c r="X14" i="15"/>
  <c r="Y14" i="15"/>
  <c r="Y28" i="15"/>
  <c r="K15" i="10"/>
  <c r="U14" i="15"/>
  <c r="U28" i="15"/>
  <c r="J125" i="7"/>
  <c r="Z14" i="15"/>
  <c r="Z28" i="15"/>
  <c r="W14" i="15"/>
  <c r="AI48" i="7"/>
  <c r="J26" i="11"/>
  <c r="G28" i="11"/>
  <c r="J28" i="11"/>
  <c r="I170" i="6"/>
  <c r="J150" i="6"/>
  <c r="J151" i="6"/>
  <c r="K156" i="6"/>
  <c r="K172" i="6"/>
  <c r="K177" i="6"/>
  <c r="E25" i="19"/>
  <c r="K20" i="8"/>
  <c r="H16" i="6"/>
  <c r="H17" i="6"/>
  <c r="J17" i="6"/>
  <c r="I168" i="6"/>
  <c r="J168" i="6"/>
  <c r="V35" i="12"/>
  <c r="W35" i="12"/>
  <c r="AF23" i="8"/>
  <c r="AH23" i="8"/>
  <c r="AH25" i="8"/>
  <c r="AG88" i="7"/>
  <c r="AH88" i="7"/>
  <c r="I120" i="6"/>
  <c r="I15" i="12"/>
  <c r="K15" i="12"/>
  <c r="I167" i="6"/>
  <c r="J167" i="6"/>
  <c r="J36" i="12"/>
  <c r="J34" i="10"/>
  <c r="AG38" i="8"/>
  <c r="AH72" i="7"/>
  <c r="BH44" i="8"/>
  <c r="BH47" i="8"/>
  <c r="I123" i="6"/>
  <c r="J123" i="6"/>
  <c r="I165" i="6"/>
  <c r="J165" i="6"/>
  <c r="K33" i="10"/>
  <c r="I138" i="7"/>
  <c r="I121" i="6"/>
  <c r="J121" i="6"/>
  <c r="H59" i="6"/>
  <c r="J39" i="12"/>
  <c r="K39" i="12"/>
  <c r="J37" i="10"/>
  <c r="V119" i="6"/>
  <c r="W119" i="6"/>
  <c r="G129" i="15"/>
  <c r="AC129" i="15"/>
  <c r="J31" i="13"/>
  <c r="J32" i="13"/>
  <c r="J59" i="7"/>
  <c r="J60" i="7"/>
  <c r="O66" i="29"/>
  <c r="O73" i="29"/>
  <c r="S32" i="29"/>
  <c r="P52" i="29"/>
  <c r="X23" i="15"/>
  <c r="X25" i="15"/>
  <c r="X27" i="15"/>
  <c r="X28" i="15"/>
  <c r="X17" i="15"/>
  <c r="J20" i="19" a="1"/>
  <c r="L28" i="15"/>
  <c r="F13" i="19"/>
  <c r="L56" i="29"/>
  <c r="K34" i="10"/>
  <c r="Z38" i="10"/>
  <c r="K37" i="10"/>
  <c r="Z41" i="10"/>
  <c r="AA99" i="10"/>
  <c r="AA43" i="10"/>
  <c r="M32" i="29"/>
  <c r="Q32" i="29"/>
  <c r="AH38" i="8"/>
  <c r="AH40" i="8"/>
  <c r="AI47" i="8"/>
  <c r="AI55" i="8"/>
  <c r="E22" i="19"/>
  <c r="K65" i="29"/>
  <c r="AH95" i="8"/>
  <c r="J138" i="7"/>
  <c r="AH123" i="7"/>
  <c r="AI123" i="7"/>
  <c r="J29" i="11"/>
  <c r="J35" i="12"/>
  <c r="K35" i="12"/>
  <c r="L42" i="12"/>
  <c r="I30" i="11"/>
  <c r="J30" i="11"/>
  <c r="I139" i="7"/>
  <c r="I22" i="24"/>
  <c r="J22" i="24"/>
  <c r="E9" i="19"/>
  <c r="K125" i="6"/>
  <c r="K126" i="6"/>
  <c r="K131" i="6"/>
  <c r="E24" i="19"/>
  <c r="V28" i="15"/>
  <c r="O28" i="15"/>
  <c r="F16" i="19"/>
  <c r="L59" i="29"/>
  <c r="W28" i="15"/>
  <c r="K23" i="8"/>
  <c r="J10" i="11"/>
  <c r="J33" i="13"/>
  <c r="L40" i="10"/>
  <c r="I32" i="6"/>
  <c r="J32" i="6"/>
  <c r="K33" i="6"/>
  <c r="J16" i="6"/>
  <c r="J18" i="6"/>
  <c r="I80" i="6"/>
  <c r="J80" i="6"/>
  <c r="J59" i="6"/>
  <c r="K45" i="13"/>
  <c r="T32" i="29"/>
  <c r="J20" i="19"/>
  <c r="P71" i="29"/>
  <c r="P66" i="29"/>
  <c r="P69" i="29"/>
  <c r="P70" i="29"/>
  <c r="P65" i="29"/>
  <c r="P72" i="29"/>
  <c r="P67" i="29"/>
  <c r="P68" i="29"/>
  <c r="P64" i="29"/>
  <c r="F20" i="19" a="1"/>
  <c r="AA97" i="10"/>
  <c r="AA41" i="10"/>
  <c r="AA94" i="10"/>
  <c r="AA38" i="10"/>
  <c r="AB44" i="10"/>
  <c r="AB50" i="10"/>
  <c r="E17" i="19"/>
  <c r="AG84" i="8"/>
  <c r="AI95" i="8"/>
  <c r="J139" i="7"/>
  <c r="AH124" i="7"/>
  <c r="AI124" i="7"/>
  <c r="K23" i="6"/>
  <c r="I79" i="6"/>
  <c r="J79" i="6"/>
  <c r="K80" i="6"/>
  <c r="H60" i="6"/>
  <c r="J60" i="6"/>
  <c r="J63" i="6"/>
  <c r="K65" i="6"/>
  <c r="F20" i="19"/>
  <c r="L63" i="29"/>
  <c r="L66" i="29"/>
  <c r="L70" i="29"/>
  <c r="L69" i="29"/>
  <c r="L67" i="29"/>
  <c r="L71" i="29"/>
  <c r="L68" i="29"/>
  <c r="L64" i="29"/>
  <c r="L72" i="29"/>
  <c r="L65" i="29"/>
  <c r="P63" i="29"/>
  <c r="P73" i="29"/>
  <c r="J30" i="19"/>
  <c r="AH97" i="8"/>
  <c r="AI97" i="8"/>
  <c r="AI98" i="8"/>
  <c r="AI84" i="8"/>
  <c r="AI99" i="8"/>
  <c r="AJ105" i="8"/>
  <c r="AJ110" i="8"/>
  <c r="I43" i="14"/>
  <c r="K43" i="14"/>
  <c r="L45" i="14"/>
  <c r="L46" i="14"/>
  <c r="E28" i="19"/>
  <c r="K71" i="29"/>
  <c r="I55" i="10"/>
  <c r="K55" i="10"/>
  <c r="J20" i="7"/>
  <c r="J22" i="7"/>
  <c r="P14" i="15"/>
  <c r="J73" i="7"/>
  <c r="J16" i="10"/>
  <c r="K16" i="10"/>
  <c r="M44" i="10"/>
  <c r="Q14" i="15"/>
  <c r="J17" i="12"/>
  <c r="K17" i="12"/>
  <c r="K57" i="12"/>
  <c r="I42" i="14"/>
  <c r="I51" i="8"/>
  <c r="K51" i="8"/>
  <c r="K49" i="8"/>
  <c r="H48" i="7"/>
  <c r="J48" i="7"/>
  <c r="Q23" i="15"/>
  <c r="J100" i="7"/>
  <c r="AJ111" i="8"/>
  <c r="K20" i="12"/>
  <c r="L25" i="12"/>
  <c r="L43" i="12"/>
  <c r="L48" i="12"/>
  <c r="E23" i="19"/>
  <c r="K66" i="29"/>
  <c r="P23" i="15"/>
  <c r="AE23" i="15"/>
  <c r="J71" i="7"/>
  <c r="J74" i="7"/>
  <c r="K78" i="7"/>
  <c r="J21" i="7"/>
  <c r="K19" i="10"/>
  <c r="L24" i="10"/>
  <c r="L41" i="10"/>
  <c r="Q25" i="15"/>
  <c r="Q27" i="15"/>
  <c r="Q28" i="15"/>
  <c r="F18" i="19"/>
  <c r="H18" i="19"/>
  <c r="L61" i="29"/>
  <c r="P25" i="15"/>
  <c r="P27" i="15"/>
  <c r="P28" i="15"/>
  <c r="L18" i="19"/>
  <c r="R61" i="29"/>
  <c r="N61" i="29"/>
  <c r="F17" i="19"/>
  <c r="H17" i="16"/>
  <c r="G40" i="1"/>
  <c r="H17" i="19"/>
  <c r="L60" i="29"/>
  <c r="N17" i="15"/>
  <c r="N25" i="15"/>
  <c r="N27" i="15"/>
  <c r="N28" i="15"/>
  <c r="AE11" i="15"/>
  <c r="G15" i="19"/>
  <c r="M58" i="29"/>
  <c r="L17" i="19"/>
  <c r="R60" i="29"/>
  <c r="N60" i="29"/>
  <c r="F15" i="19"/>
  <c r="L58" i="29"/>
  <c r="K39" i="24"/>
  <c r="Z44" i="14"/>
  <c r="Z51" i="14"/>
  <c r="E29" i="19"/>
  <c r="M13" i="26"/>
  <c r="G16" i="31"/>
  <c r="J16" i="31"/>
  <c r="K20" i="29"/>
  <c r="Q20" i="29"/>
  <c r="T20" i="29"/>
  <c r="H57" i="7"/>
  <c r="J57" i="7"/>
  <c r="J61" i="7"/>
  <c r="K67" i="7"/>
  <c r="K97" i="7"/>
  <c r="K103" i="7"/>
  <c r="E14" i="19"/>
  <c r="H14" i="19"/>
  <c r="N57" i="29"/>
  <c r="H48" i="6"/>
  <c r="J48" i="6"/>
  <c r="J50" i="6"/>
  <c r="K55" i="6"/>
  <c r="K82" i="6"/>
  <c r="K87" i="6"/>
  <c r="E27" i="19"/>
  <c r="M14" i="26"/>
  <c r="I8" i="8"/>
  <c r="K8" i="8"/>
  <c r="M18" i="26"/>
  <c r="G18" i="31"/>
  <c r="H11" i="11"/>
  <c r="J11" i="11"/>
  <c r="J14" i="11"/>
  <c r="K39" i="11"/>
  <c r="E19" i="19"/>
  <c r="H4" i="6"/>
  <c r="J4" i="6"/>
  <c r="J7" i="6"/>
  <c r="K12" i="6"/>
  <c r="K35" i="6"/>
  <c r="K40" i="6"/>
  <c r="E26" i="19"/>
  <c r="AF55" i="7"/>
  <c r="AH55" i="7"/>
  <c r="AH60" i="7"/>
  <c r="AI67" i="7"/>
  <c r="AJ100" i="7"/>
  <c r="AI98" i="7"/>
  <c r="AI105" i="7"/>
  <c r="E15" i="19"/>
  <c r="H15" i="19"/>
  <c r="N58" i="29"/>
  <c r="H5" i="7"/>
  <c r="J5" i="7"/>
  <c r="J8" i="7"/>
  <c r="K13" i="7"/>
  <c r="K39" i="7"/>
  <c r="K44" i="7"/>
  <c r="K51" i="7"/>
  <c r="E13" i="19"/>
  <c r="H13" i="19"/>
  <c r="N56" i="29"/>
  <c r="W10" i="14"/>
  <c r="Y10" i="14"/>
  <c r="M19" i="26"/>
  <c r="G19" i="31"/>
  <c r="I7" i="8"/>
  <c r="K7" i="8"/>
  <c r="AF5" i="7"/>
  <c r="AH5" i="7"/>
  <c r="AH9" i="7"/>
  <c r="AI26" i="7"/>
  <c r="M20" i="26"/>
  <c r="G20" i="31"/>
  <c r="M21" i="26"/>
  <c r="G21" i="31"/>
  <c r="BF12" i="8"/>
  <c r="BH12" i="8"/>
  <c r="BH17" i="8"/>
  <c r="BI24" i="8"/>
  <c r="BI53" i="8"/>
  <c r="BI61" i="8"/>
  <c r="E10" i="19"/>
  <c r="M11" i="26"/>
  <c r="G32" i="31"/>
  <c r="M17" i="26"/>
  <c r="L9" i="5"/>
  <c r="I143" i="7"/>
  <c r="H6" i="13"/>
  <c r="J6" i="13"/>
  <c r="J7" i="13"/>
  <c r="K39" i="13"/>
  <c r="K46" i="13"/>
  <c r="H19" i="19"/>
  <c r="N62" i="29"/>
  <c r="K62" i="29"/>
  <c r="J18" i="31"/>
  <c r="K22" i="29"/>
  <c r="Q22" i="29"/>
  <c r="T22" i="29"/>
  <c r="J19" i="31"/>
  <c r="K23" i="29"/>
  <c r="T23" i="29"/>
  <c r="J20" i="31"/>
  <c r="K24" i="29"/>
  <c r="Q24" i="29"/>
  <c r="T24" i="29"/>
  <c r="K36" i="29"/>
  <c r="T36" i="29"/>
  <c r="K11" i="8"/>
  <c r="L16" i="8"/>
  <c r="G17" i="31"/>
  <c r="J143" i="7"/>
  <c r="K145" i="7"/>
  <c r="K151" i="7"/>
  <c r="K160" i="7"/>
  <c r="E21" i="19"/>
  <c r="K64" i="29"/>
  <c r="K73" i="29"/>
  <c r="AH128" i="7"/>
  <c r="AI128" i="7"/>
  <c r="AJ131" i="7"/>
  <c r="AJ147" i="7"/>
  <c r="O30" i="29"/>
  <c r="O39" i="29"/>
  <c r="AJ44" i="7"/>
  <c r="AI41" i="7"/>
  <c r="AI49" i="7"/>
  <c r="L13" i="19"/>
  <c r="R56" i="29"/>
  <c r="E11" i="19"/>
  <c r="L14" i="19"/>
  <c r="R57" i="29"/>
  <c r="L47" i="8"/>
  <c r="L55" i="8"/>
  <c r="E12" i="19"/>
  <c r="H12" i="19"/>
  <c r="N55" i="29"/>
  <c r="K40" i="8"/>
  <c r="M12" i="26"/>
  <c r="G15" i="31"/>
  <c r="M10" i="26"/>
  <c r="L15" i="19"/>
  <c r="R58" i="29"/>
  <c r="L19" i="19"/>
  <c r="R62" i="29"/>
  <c r="Q30" i="29"/>
  <c r="K21" i="29"/>
  <c r="Q21" i="29"/>
  <c r="E16" i="19"/>
  <c r="H16" i="19"/>
  <c r="J15" i="31"/>
  <c r="E30" i="19"/>
  <c r="E63" i="1"/>
  <c r="C57" i="13"/>
  <c r="G31" i="31"/>
  <c r="I16" i="30"/>
  <c r="L12" i="19"/>
  <c r="R55" i="29"/>
  <c r="T30" i="29"/>
  <c r="L16" i="19"/>
  <c r="R59" i="29"/>
  <c r="N59" i="29"/>
  <c r="T21" i="29"/>
  <c r="J31" i="31"/>
  <c r="K19" i="29"/>
  <c r="Q19" i="29"/>
  <c r="T19" i="29"/>
  <c r="F13" i="30"/>
  <c r="G35" i="31"/>
  <c r="K35" i="29"/>
  <c r="Q35" i="29"/>
  <c r="T35" i="29"/>
  <c r="H48" i="1"/>
  <c r="G29" i="16"/>
  <c r="I25" i="19"/>
  <c r="K27" i="28"/>
  <c r="Q27" i="28"/>
  <c r="M34" i="29"/>
  <c r="Q34" i="29"/>
  <c r="T34" i="29"/>
  <c r="H29" i="16"/>
  <c r="H47" i="1"/>
  <c r="G28" i="16"/>
  <c r="H28" i="16"/>
  <c r="I24" i="19"/>
  <c r="I30" i="19"/>
  <c r="S39" i="29"/>
  <c r="K26" i="28"/>
  <c r="Q26" i="28"/>
  <c r="Q32" i="28"/>
  <c r="M33" i="29"/>
  <c r="G20" i="19" a="1"/>
  <c r="H34" i="16"/>
  <c r="Q33" i="29"/>
  <c r="M39" i="29"/>
  <c r="I13" i="30" s="1"/>
  <c r="M66" i="29"/>
  <c r="M70" i="29"/>
  <c r="M64" i="29"/>
  <c r="M72" i="29"/>
  <c r="M68" i="29"/>
  <c r="M65" i="29"/>
  <c r="M67" i="29"/>
  <c r="M71" i="29"/>
  <c r="M69" i="29"/>
  <c r="T33" i="29"/>
  <c r="H23" i="19"/>
  <c r="N66" i="29"/>
  <c r="H26" i="19"/>
  <c r="N69" i="29"/>
  <c r="H29" i="19"/>
  <c r="H28" i="19"/>
  <c r="N71" i="29"/>
  <c r="H25" i="19"/>
  <c r="N68" i="29"/>
  <c r="H27" i="19"/>
  <c r="N70" i="29"/>
  <c r="H22" i="19"/>
  <c r="N65" i="29"/>
  <c r="H24" i="19"/>
  <c r="N67" i="29"/>
  <c r="G20" i="19"/>
  <c r="M63" i="29"/>
  <c r="H21" i="19"/>
  <c r="N64" i="29"/>
  <c r="G63" i="1"/>
  <c r="F16" i="30"/>
  <c r="M73" i="29"/>
  <c r="L29" i="19"/>
  <c r="R72" i="29"/>
  <c r="N72" i="29"/>
  <c r="L25" i="19"/>
  <c r="R68" i="29"/>
  <c r="L27" i="19"/>
  <c r="R70" i="29"/>
  <c r="L26" i="19"/>
  <c r="R69" i="29"/>
  <c r="L21" i="19"/>
  <c r="R64" i="29"/>
  <c r="H20" i="19"/>
  <c r="N63" i="29"/>
  <c r="G30" i="19"/>
  <c r="L24" i="19"/>
  <c r="R67" i="29"/>
  <c r="L22" i="19"/>
  <c r="R65" i="29"/>
  <c r="L28" i="19"/>
  <c r="R71" i="29"/>
  <c r="L23" i="19"/>
  <c r="R66" i="29"/>
  <c r="L20" i="19"/>
  <c r="R63" i="29"/>
  <c r="J21" i="31" l="1"/>
  <c r="J35" i="31" s="1"/>
  <c r="L54" i="29"/>
  <c r="H11" i="19"/>
  <c r="L53" i="29"/>
  <c r="H10" i="19"/>
  <c r="AE28" i="15"/>
  <c r="F63" i="1" s="1"/>
  <c r="H63" i="1" s="1"/>
  <c r="F9" i="19"/>
  <c r="F30" i="19"/>
  <c r="K25" i="29"/>
  <c r="Q25" i="29" s="1"/>
  <c r="T25" i="29" s="1"/>
  <c r="N54" i="29" l="1"/>
  <c r="L11" i="19"/>
  <c r="R54" i="29" s="1"/>
  <c r="N53" i="29"/>
  <c r="L10" i="19"/>
  <c r="R53" i="29" s="1"/>
  <c r="L52" i="29"/>
  <c r="L73" i="29" s="1"/>
  <c r="H9" i="19"/>
  <c r="F15" i="30"/>
  <c r="F17" i="30" s="1"/>
  <c r="K39" i="29"/>
  <c r="K40" i="29" s="1"/>
  <c r="Q39" i="29"/>
  <c r="R38" i="29" s="1"/>
  <c r="R29" i="29"/>
  <c r="R21" i="29"/>
  <c r="R27" i="29"/>
  <c r="R23" i="29"/>
  <c r="R19" i="29"/>
  <c r="R37" i="29"/>
  <c r="R18" i="29"/>
  <c r="R36" i="29"/>
  <c r="R34" i="29"/>
  <c r="O40" i="29"/>
  <c r="R35" i="29"/>
  <c r="R31" i="29"/>
  <c r="R30" i="29"/>
  <c r="R26" i="29"/>
  <c r="R20" i="29"/>
  <c r="R33" i="29"/>
  <c r="R24" i="29"/>
  <c r="R25" i="29"/>
  <c r="I14" i="30" l="1"/>
  <c r="I17" i="30" s="1"/>
  <c r="N52" i="29"/>
  <c r="N73" i="29" s="1"/>
  <c r="L74" i="29" s="1"/>
  <c r="H30" i="19"/>
  <c r="K9" i="19" s="1"/>
  <c r="L9" i="19"/>
  <c r="R52" i="29" s="1"/>
  <c r="R22" i="29"/>
  <c r="M40" i="29"/>
  <c r="T39" i="29"/>
  <c r="R32" i="29"/>
  <c r="R28" i="29"/>
  <c r="R39" i="29" l="1"/>
  <c r="Q52" i="29"/>
  <c r="L30" i="19"/>
  <c r="K14" i="19"/>
  <c r="Q57" i="29" s="1"/>
  <c r="K27" i="19"/>
  <c r="Q70" i="29" s="1"/>
  <c r="G31" i="19"/>
  <c r="K24" i="19"/>
  <c r="Q67" i="29" s="1"/>
  <c r="K18" i="19"/>
  <c r="Q61" i="29" s="1"/>
  <c r="K16" i="19"/>
  <c r="Q59" i="29" s="1"/>
  <c r="K29" i="19"/>
  <c r="Q72" i="29" s="1"/>
  <c r="K25" i="19"/>
  <c r="Q68" i="29" s="1"/>
  <c r="K22" i="19"/>
  <c r="Q65" i="29" s="1"/>
  <c r="K28" i="19"/>
  <c r="Q71" i="29" s="1"/>
  <c r="K12" i="19"/>
  <c r="Q55" i="29" s="1"/>
  <c r="K10" i="19"/>
  <c r="Q53" i="29" s="1"/>
  <c r="K21" i="19"/>
  <c r="Q64" i="29" s="1"/>
  <c r="K15" i="19"/>
  <c r="Q58" i="29" s="1"/>
  <c r="K13" i="19"/>
  <c r="Q56" i="29" s="1"/>
  <c r="K20" i="19"/>
  <c r="Q63" i="29" s="1"/>
  <c r="K23" i="19"/>
  <c r="Q66" i="29" s="1"/>
  <c r="E31" i="19"/>
  <c r="K19" i="19"/>
  <c r="Q62" i="29" s="1"/>
  <c r="K26" i="19"/>
  <c r="Q69" i="29" s="1"/>
  <c r="K11" i="19"/>
  <c r="Q54" i="29" s="1"/>
  <c r="K17" i="19"/>
  <c r="Q60" i="29" s="1"/>
  <c r="F31" i="19"/>
  <c r="R73" i="29"/>
  <c r="M74" i="29"/>
  <c r="K74" i="29"/>
  <c r="Q73" i="29" l="1"/>
  <c r="K30" i="1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tc={94CBD0FB-CC7D-A947-90D6-1F40BE013A0D}</author>
    <author>tc={CEE7B8A1-5084-364D-824A-3952889283C1}</author>
    <author>tc={855DA0DC-D76C-4173-833A-B991B4F5813C}</author>
  </authors>
  <commentList>
    <comment ref="M46" authorId="0" shapeId="0" xr:uid="{94CBD0FB-CC7D-A947-90D6-1F40BE013A0D}">
      <text>
        <t xml:space="preserve">[Commentaire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https://energie.wallonie.be/servlet/Repository/agw-150514-annexe-b1-drt-fr.pdf?ID=32299
</t>
      </text>
    </comment>
    <comment ref="M55" authorId="1" shapeId="0" xr:uid="{CEE7B8A1-5084-364D-824A-3952889283C1}">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https://energie.wallonie.be/servlet/Repository/agw-150514-annexe-b1-drt-fr.pdf?ID=32299</t>
      </text>
    </comment>
    <comment ref="N96" authorId="2" shapeId="0" xr:uid="{855DA0DC-D76C-4173-833A-B991B4F5813C}">
      <text>
        <t xml:space="preserve">[Commentaire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https://energie.wallonie.be/servlet/Repository/agw-150514-annexe-b1-drt-fr.pdf?ID=32299
</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tc={4EE8E295-0C13-4D48-821A-905AFA4D1C6C}</author>
  </authors>
  <commentList>
    <comment ref="I7" authorId="0" shapeId="0" xr:uid="{4EE8E295-0C13-4D48-821A-905AFA4D1C6C}">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Pour une porte en acier massif non isolée 
U = 5,5 à 6</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tc={77C012D1-714C-7140-B6E2-AB46D9776CBC}</author>
  </authors>
  <commentList>
    <comment ref="G60" authorId="0" shapeId="0" xr:uid="{77C012D1-714C-7140-B6E2-AB46D9776CBC}">
      <text>
        <t xml:space="preserve">[Commentaire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fij = (teta int - teta espace adj)/(teta int - teta ext)
Réponse :
    ??????
</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tc={FD37D097-5D3B-1A44-928F-D106B5DE9ADE}</author>
    <author>tc={49525729-00BF-E14A-90AA-368C70B96C7C}</author>
    <author>tc={26F6B0B2-3B8F-B044-89BD-B66ED483FA6A}</author>
    <author>tc={F39FCFEE-E4AF-CB4C-8A34-2F3BB111A944}</author>
    <author>tc={6AD615C2-0973-A44E-A609-170156E90EA0}</author>
    <author>tc={A000473F-7D68-A94D-A436-5ECE4F54CF0C}</author>
  </authors>
  <commentList>
    <comment ref="H21" authorId="0" shapeId="0" xr:uid="{FD37D097-5D3B-1A44-928F-D106B5DE9ADE}">
      <text>
        <t xml:space="preserve">[Commentaire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p.79
</t>
      </text>
    </comment>
    <comment ref="J21" authorId="1" shapeId="0" xr:uid="{49525729-00BF-E14A-90AA-368C70B96C7C}">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hyp:- Site très abrité (loc au centre ville)</t>
      </text>
    </comment>
    <comment ref="M21" authorId="2" shapeId="0" xr:uid="{26F6B0B2-3B8F-B044-89BD-B66ED483FA6A}">
      <text>
        <t xml:space="preserve">[Commentaire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jsp pour les locaux non chauffé
Réponse :
    faire comme si ct chauffé
</t>
      </text>
    </comment>
    <comment ref="G112" authorId="3" shapeId="0" xr:uid="{F39FCFEE-E4AF-CB4C-8A34-2F3BB111A944}">
      <text>
        <t xml:space="preserve">[Commentaire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p.79 NBN
hyp: qualité des joints élevé
</t>
      </text>
    </comment>
    <comment ref="G113" authorId="4" shapeId="0" xr:uid="{6AD615C2-0973-A44E-A609-170156E90EA0}">
      <text>
        <t xml:space="preserve">[Commentaire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p.79
</t>
      </text>
    </comment>
    <comment ref="I113" authorId="5" shapeId="0" xr:uid="{A000473F-7D68-A94D-A436-5ECE4F54CF0C}">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hyp:- Site très abrité (loc au centre ville)</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RICHVALUE" minSupportedVersion="120000" copy="1" pasteAll="1" pasteValues="1" merge="1" splitFirst="1" rowColShift="1" clearFormats="1" clearComments="1" assign="1" coerce="1"/>
    <metadataType name="XLDAPR" minSupportedVersion="120000" copy="1" pasteAll="1" pasteValues="1" merge="1" splitFirst="1" rowColShift="1" clearFormats="1" clearComments="1" assign="1" coerce="1" cellMeta="1"/>
  </metadataTypes>
  <futureMetadata name="XLRICHVALUE" count="1">
    <bk>
      <extLst>
        <ext uri="{3e2802c4-a4d2-4d8b-9148-e3be6c30e623}">
          <xlrd:rvb i="0"/>
        </ext>
      </extLst>
    </bk>
  </futureMetadata>
  <futureMetadata name="XLDAPR" count="1">
    <bk>
      <extLst>
        <ext uri="{bdbb8cdc-fa1e-496e-a857-3c3f30c029c3}">
          <xda:dynamicArrayProperties fDynamic="1" fCollapsed="0"/>
        </ext>
      </extLst>
    </bk>
  </futureMetadata>
  <cellMetadata count="1">
    <bk>
      <rc t="2" v="0"/>
    </bk>
  </cellMetadata>
  <valueMetadata count="1">
    <bk>
      <rc t="1" v="0"/>
    </bk>
  </valueMetadata>
</metadata>
</file>

<file path=xl/sharedStrings.xml><?xml version="1.0" encoding="utf-8"?>
<sst xmlns="http://schemas.openxmlformats.org/spreadsheetml/2006/main" count="5120" uniqueCount="788">
  <si>
    <t>b=tint</t>
  </si>
  <si>
    <t>Données climatiques</t>
  </si>
  <si>
    <t>Description</t>
  </si>
  <si>
    <t>Symbole</t>
  </si>
  <si>
    <t>Unité</t>
  </si>
  <si>
    <t>Valeur</t>
  </si>
  <si>
    <t>Température extérieure de base</t>
  </si>
  <si>
    <t>T ext</t>
  </si>
  <si>
    <t>[°C]</t>
  </si>
  <si>
    <t>Moyenne annuelle de la température extérieure</t>
  </si>
  <si>
    <t>T m,ext</t>
  </si>
  <si>
    <t>Coefficients d'exposition e et e</t>
  </si>
  <si>
    <t>Orientation</t>
  </si>
  <si>
    <t>p.u.</t>
  </si>
  <si>
    <t>=('Données'!E25-</t>
  </si>
  <si>
    <t>Toutes</t>
  </si>
  <si>
    <t>1.00</t>
  </si>
  <si>
    <t>Données sur les pièces chauffées</t>
  </si>
  <si>
    <t>Nom de la pièce</t>
  </si>
  <si>
    <t>Température hiver</t>
  </si>
  <si>
    <t>Température été</t>
  </si>
  <si>
    <t>Aire de la pièce</t>
  </si>
  <si>
    <t>Volume intérieur</t>
  </si>
  <si>
    <t>Amélioration / précision ?</t>
  </si>
  <si>
    <t>T int</t>
  </si>
  <si>
    <t>A1</t>
  </si>
  <si>
    <t>V</t>
  </si>
  <si>
    <t xml:space="preserve"> Ajout hauteur des pieces</t>
  </si>
  <si>
    <t>[m ²]</t>
  </si>
  <si>
    <t>[m³]</t>
  </si>
  <si>
    <t>precision piece chauffé en hiver / été</t>
  </si>
  <si>
    <t>2.kitchenette et cafèt</t>
  </si>
  <si>
    <t>nb de personne ( occupant )</t>
  </si>
  <si>
    <t>4. Bureau 4</t>
  </si>
  <si>
    <t>puissance des eclairages pour chaque piece</t>
  </si>
  <si>
    <t>5. Bureau 5</t>
  </si>
  <si>
    <t>Données des matériaux</t>
  </si>
  <si>
    <t>17. Salle d'attente 17</t>
  </si>
  <si>
    <t>6. Bureau 6</t>
  </si>
  <si>
    <t>Données relatives aux matériaux</t>
  </si>
  <si>
    <t>7.Bureau 7</t>
  </si>
  <si>
    <t>Coefficient de transmission</t>
  </si>
  <si>
    <t>8. Salle de réunion 8</t>
  </si>
  <si>
    <t>béton</t>
  </si>
  <si>
    <t>15. Secrétariat 15</t>
  </si>
  <si>
    <t>enduit</t>
  </si>
  <si>
    <t>16. Salle de réunion 16</t>
  </si>
  <si>
    <t>béton armé</t>
  </si>
  <si>
    <t>Data center</t>
  </si>
  <si>
    <t>polystyrène expansé</t>
  </si>
  <si>
    <t>pieces</t>
  </si>
  <si>
    <t>A PORTE</t>
  </si>
  <si>
    <t>Etage</t>
  </si>
  <si>
    <t>isolant Ytong</t>
  </si>
  <si>
    <t>16 17 18 20 21 porte de 81cm</t>
  </si>
  <si>
    <t>1,6443m²</t>
  </si>
  <si>
    <t>9.Couloirs droite 9</t>
  </si>
  <si>
    <t>brique de terres cuites (rho = 1600)</t>
  </si>
  <si>
    <t>19 porte de 101cm PMR</t>
  </si>
  <si>
    <t>2,0503m²</t>
  </si>
  <si>
    <t>20.Toilette Femme</t>
  </si>
  <si>
    <t>vitrages</t>
  </si>
  <si>
    <t>21.Toilette Homme</t>
  </si>
  <si>
    <t>hourdis</t>
  </si>
  <si>
    <t>14. distributeur 14</t>
  </si>
  <si>
    <t>polyruéthane projeté</t>
  </si>
  <si>
    <t>chape armée</t>
  </si>
  <si>
    <t>dalle FXPI</t>
  </si>
  <si>
    <t>V16 (mcube)</t>
  </si>
  <si>
    <t>lame d'air</t>
  </si>
  <si>
    <t>V18</t>
  </si>
  <si>
    <t>Total</t>
  </si>
  <si>
    <t>V19</t>
  </si>
  <si>
    <t>V20</t>
  </si>
  <si>
    <t>Aire du sol</t>
  </si>
  <si>
    <t>Temperature hiver</t>
  </si>
  <si>
    <t>Volume de la pièce</t>
  </si>
  <si>
    <t>V21</t>
  </si>
  <si>
    <t xml:space="preserve">A </t>
  </si>
  <si>
    <t>T</t>
  </si>
  <si>
    <t>V17</t>
  </si>
  <si>
    <t>[m^2]</t>
  </si>
  <si>
    <t>[m^3]</t>
  </si>
  <si>
    <t>1.Coffre</t>
  </si>
  <si>
    <t>V1</t>
  </si>
  <si>
    <t>3. Escalier 3</t>
  </si>
  <si>
    <t>V9</t>
  </si>
  <si>
    <t>18. Toilette individuelle</t>
  </si>
  <si>
    <t>V15</t>
  </si>
  <si>
    <t>19. Toilette PMR</t>
  </si>
  <si>
    <t>V2</t>
  </si>
  <si>
    <t>trémis coté coffre</t>
  </si>
  <si>
    <t xml:space="preserve">22.Tremis coté bureau </t>
  </si>
  <si>
    <t>10. Approvisionnement 10</t>
  </si>
  <si>
    <t>11. Mini hall 11</t>
  </si>
  <si>
    <t>12 Entrée 12</t>
  </si>
  <si>
    <t>13. Mini hall 13</t>
  </si>
  <si>
    <t>LT chaufferie</t>
  </si>
  <si>
    <t>LT HVAC</t>
  </si>
  <si>
    <t>LT Prod Froid</t>
  </si>
  <si>
    <t>Autre pieces du sous sol</t>
  </si>
  <si>
    <t>Q-</t>
  </si>
  <si>
    <t>Transmission</t>
  </si>
  <si>
    <t>ventilation</t>
  </si>
  <si>
    <t>Relance</t>
  </si>
  <si>
    <t>total</t>
  </si>
  <si>
    <t>Mesurage</t>
  </si>
  <si>
    <t>Hauteur</t>
  </si>
  <si>
    <t>longueur(gauche droite</t>
  </si>
  <si>
    <t>largeur haut bas</t>
  </si>
  <si>
    <t xml:space="preserve">uUf comment on trouve le d </t>
  </si>
  <si>
    <t xml:space="preserve">U final il faut divisé le u trouvé par R ou pas ? </t>
  </si>
  <si>
    <t>Coef b et F en valeur absolu ?</t>
  </si>
  <si>
    <t xml:space="preserve">ouverture exposé </t>
  </si>
  <si>
    <t>A chassis</t>
  </si>
  <si>
    <t>MENFOU</t>
  </si>
  <si>
    <t xml:space="preserve">Coefficient de convection exterieur </t>
  </si>
  <si>
    <t>he</t>
  </si>
  <si>
    <t xml:space="preserve">Coefficient de convection intérieur </t>
  </si>
  <si>
    <t>hi</t>
  </si>
  <si>
    <t>h=1/R</t>
  </si>
  <si>
    <t>Rsi</t>
  </si>
  <si>
    <t>R=d/lambda</t>
  </si>
  <si>
    <t>horizontal</t>
  </si>
  <si>
    <t>Rse</t>
  </si>
  <si>
    <t>U=1/R</t>
  </si>
  <si>
    <t>ascendant</t>
  </si>
  <si>
    <t xml:space="preserve">ascendant </t>
  </si>
  <si>
    <t>Ufinal=1/somme(Rmat +Rconvection)</t>
  </si>
  <si>
    <t>descendant</t>
  </si>
  <si>
    <t>Base vitrage</t>
  </si>
  <si>
    <t>Hauteur vitrage</t>
  </si>
  <si>
    <t xml:space="preserve">Base encadrement </t>
  </si>
  <si>
    <t>Hauteur encadrement</t>
  </si>
  <si>
    <t>Aire vitrage</t>
  </si>
  <si>
    <t>Aire encadrement</t>
  </si>
  <si>
    <t>Périmètre du vitrage</t>
  </si>
  <si>
    <t>Uw</t>
  </si>
  <si>
    <t>Ufinal avec h</t>
  </si>
  <si>
    <t>Hypothèse : profilé en Aluminium</t>
  </si>
  <si>
    <t>Paroi extérieure</t>
  </si>
  <si>
    <t>Pour les apports</t>
  </si>
  <si>
    <t>[m]</t>
  </si>
  <si>
    <t>[m²]</t>
  </si>
  <si>
    <t>[W/K]</t>
  </si>
  <si>
    <t>Ug [ W/m²*K ]</t>
  </si>
  <si>
    <t>Double vitrage H.P en 4/16/4</t>
  </si>
  <si>
    <t>Couches</t>
  </si>
  <si>
    <t>d [m]</t>
  </si>
  <si>
    <t>λ [W/m.K]</t>
  </si>
  <si>
    <t>R [K/W]</t>
  </si>
  <si>
    <t>U [W/K]</t>
  </si>
  <si>
    <t>Source</t>
  </si>
  <si>
    <t>Masse volumique kg/m³</t>
  </si>
  <si>
    <t>kg/m²</t>
  </si>
  <si>
    <t>SDR 8</t>
  </si>
  <si>
    <t>Uf</t>
  </si>
  <si>
    <t>Brique de terre cuite</t>
  </si>
  <si>
    <t>caract_materiaux.pdf page 3</t>
  </si>
  <si>
    <t>BR 4</t>
  </si>
  <si>
    <t>ψg</t>
  </si>
  <si>
    <t>Pg 54 : C.2.4</t>
  </si>
  <si>
    <t>Polystyrène expansé</t>
  </si>
  <si>
    <t>caract_materiaux.pdf page 10</t>
  </si>
  <si>
    <t>BR 5</t>
  </si>
  <si>
    <t>Ug double vitrage [W/m²K]</t>
  </si>
  <si>
    <t>Double vitrage standard</t>
  </si>
  <si>
    <t>Béton armé</t>
  </si>
  <si>
    <t>caract_materiaux.pdf page 7</t>
  </si>
  <si>
    <t>BR 6a</t>
  </si>
  <si>
    <t>Enduit</t>
  </si>
  <si>
    <t>caract_materiaux.pdf page 8</t>
  </si>
  <si>
    <t xml:space="preserve"> </t>
  </si>
  <si>
    <t>BR 6b</t>
  </si>
  <si>
    <t>/</t>
  </si>
  <si>
    <t>BR 7a</t>
  </si>
  <si>
    <t>BR 7b</t>
  </si>
  <si>
    <t>Kitchen/cafet 2</t>
  </si>
  <si>
    <t>Paroi extérieure rouge</t>
  </si>
  <si>
    <t>SDR 8 coin</t>
  </si>
  <si>
    <t>Masse volumique</t>
  </si>
  <si>
    <t>SDR 8 (x5)</t>
  </si>
  <si>
    <t xml:space="preserve">caract_materiaux.pdf page 8				</t>
  </si>
  <si>
    <t>mini hall 11</t>
  </si>
  <si>
    <t>Bloc de béton</t>
  </si>
  <si>
    <t>caract_materiaux.pdf page 6</t>
  </si>
  <si>
    <t>Vitrage 12a/12b</t>
  </si>
  <si>
    <t xml:space="preserve">Porte de l'entrée </t>
  </si>
  <si>
    <t>secretariat (x2)</t>
  </si>
  <si>
    <t>int vitre entrée (x2)</t>
  </si>
  <si>
    <t>Paroi intérieure rouge</t>
  </si>
  <si>
    <t>mini hall 13</t>
  </si>
  <si>
    <t>secretariat extreme(x2)</t>
  </si>
  <si>
    <t>Porte coulissante</t>
  </si>
  <si>
    <t>Paroi coffre-fort</t>
  </si>
  <si>
    <t>Béton haute densité</t>
  </si>
  <si>
    <t>caract_materiaux.pdf page 25</t>
  </si>
  <si>
    <t>Paroi blanche</t>
  </si>
  <si>
    <t>Ytong haute densité</t>
  </si>
  <si>
    <t>Sol</t>
  </si>
  <si>
    <t>Chape armée</t>
  </si>
  <si>
    <t xml:space="preserve"> lien en commentaire page 68</t>
  </si>
  <si>
    <t>CONVECTIF POUR VITRE ET SOL</t>
  </si>
  <si>
    <t>polyuréthane projeté</t>
  </si>
  <si>
    <t xml:space="preserve">guide_pratiquevol1.pdf page 50 </t>
  </si>
  <si>
    <t xml:space="preserve">effet convectif a prendre en compte </t>
  </si>
  <si>
    <t>Plafond</t>
  </si>
  <si>
    <t>Dalle FxPI</t>
  </si>
  <si>
    <t>????????????</t>
  </si>
  <si>
    <t>Air</t>
  </si>
  <si>
    <t>?????????????</t>
  </si>
  <si>
    <t>Polyuréthane projeté</t>
  </si>
  <si>
    <t>????????????????</t>
  </si>
  <si>
    <t>Hourdis</t>
  </si>
  <si>
    <t>???????????</t>
  </si>
  <si>
    <t>Paroi rouge TREMIS</t>
  </si>
  <si>
    <t>Porte</t>
  </si>
  <si>
    <t>sous sol</t>
  </si>
  <si>
    <t>Sol COFFRE FORT</t>
  </si>
  <si>
    <t>Déperdition vers l'exterieur</t>
  </si>
  <si>
    <t>Code</t>
  </si>
  <si>
    <t xml:space="preserve">Paroi </t>
  </si>
  <si>
    <r>
      <rPr>
        <b/>
        <i/>
        <sz val="12"/>
        <color theme="1"/>
        <rFont val="Calibri"/>
        <family val="2"/>
        <scheme val="minor"/>
      </rPr>
      <t>A</t>
    </r>
    <r>
      <rPr>
        <b/>
        <i/>
        <vertAlign val="subscript"/>
        <sz val="12"/>
        <color theme="1"/>
        <rFont val="Calibri (Corps)"/>
      </rPr>
      <t>k</t>
    </r>
  </si>
  <si>
    <r>
      <rPr>
        <b/>
        <i/>
        <sz val="12"/>
        <color theme="1"/>
        <rFont val="Calibri"/>
        <family val="2"/>
        <scheme val="minor"/>
      </rPr>
      <t>U</t>
    </r>
    <r>
      <rPr>
        <b/>
        <i/>
        <vertAlign val="subscript"/>
        <sz val="12"/>
        <color theme="1"/>
        <rFont val="Calibri (Corps)"/>
      </rPr>
      <t>k</t>
    </r>
  </si>
  <si>
    <r>
      <rPr>
        <b/>
        <i/>
        <sz val="12"/>
        <color theme="1"/>
        <rFont val="Calibri"/>
        <family val="2"/>
        <scheme val="minor"/>
      </rPr>
      <t>e</t>
    </r>
    <r>
      <rPr>
        <b/>
        <i/>
        <vertAlign val="subscript"/>
        <sz val="12"/>
        <color theme="1"/>
        <rFont val="Calibri (Corps)"/>
      </rPr>
      <t>k</t>
    </r>
  </si>
  <si>
    <r>
      <rPr>
        <b/>
        <i/>
        <sz val="12"/>
        <color theme="1"/>
        <rFont val="Calibri"/>
        <family val="2"/>
        <scheme val="minor"/>
      </rPr>
      <t>A</t>
    </r>
    <r>
      <rPr>
        <b/>
        <i/>
        <vertAlign val="subscript"/>
        <sz val="12"/>
        <color theme="1"/>
        <rFont val="Calibri (Corps)"/>
      </rPr>
      <t>k</t>
    </r>
    <r>
      <rPr>
        <b/>
        <i/>
        <sz val="12"/>
        <color theme="1"/>
        <rFont val="Calibri"/>
        <family val="2"/>
        <scheme val="minor"/>
      </rPr>
      <t>.U</t>
    </r>
    <r>
      <rPr>
        <b/>
        <i/>
        <vertAlign val="subscript"/>
        <sz val="12"/>
        <color theme="1"/>
        <rFont val="Calibri (Corps)"/>
      </rPr>
      <t>k</t>
    </r>
    <r>
      <rPr>
        <b/>
        <i/>
        <sz val="12"/>
        <color theme="1"/>
        <rFont val="Calibri"/>
        <family val="2"/>
        <scheme val="minor"/>
      </rPr>
      <t>.e</t>
    </r>
    <r>
      <rPr>
        <b/>
        <i/>
        <vertAlign val="subscript"/>
        <sz val="12"/>
        <color theme="1"/>
        <rFont val="Calibri (Corps)"/>
      </rPr>
      <t>k</t>
    </r>
  </si>
  <si>
    <r>
      <t>m</t>
    </r>
    <r>
      <rPr>
        <vertAlign val="superscript"/>
        <sz val="12"/>
        <color theme="1"/>
        <rFont val="Calibri (Corps)"/>
      </rPr>
      <t>2</t>
    </r>
  </si>
  <si>
    <t>W/(m²*K)</t>
  </si>
  <si>
    <t>-</t>
  </si>
  <si>
    <t>W/K</t>
  </si>
  <si>
    <t xml:space="preserve">Apport depuis des espaces chauffés à des températures différentes </t>
  </si>
  <si>
    <t>fenetre mini hall 13</t>
  </si>
  <si>
    <r>
      <t>fi</t>
    </r>
    <r>
      <rPr>
        <b/>
        <i/>
        <vertAlign val="subscript"/>
        <sz val="12"/>
        <color theme="1"/>
        <rFont val="Calibri (Corps)"/>
      </rPr>
      <t>j</t>
    </r>
  </si>
  <si>
    <r>
      <t>f</t>
    </r>
    <r>
      <rPr>
        <b/>
        <i/>
        <vertAlign val="subscript"/>
        <sz val="12"/>
        <color theme="1"/>
        <rFont val="Calibri (Corps)"/>
      </rPr>
      <t>ij</t>
    </r>
    <r>
      <rPr>
        <b/>
        <i/>
        <sz val="12"/>
        <color theme="1"/>
        <rFont val="Calibri"/>
        <family val="2"/>
        <scheme val="minor"/>
      </rPr>
      <t>.A</t>
    </r>
    <r>
      <rPr>
        <b/>
        <i/>
        <vertAlign val="subscript"/>
        <sz val="12"/>
        <color theme="1"/>
        <rFont val="Calibri (Corps)"/>
      </rPr>
      <t>k</t>
    </r>
    <r>
      <rPr>
        <b/>
        <i/>
        <sz val="12"/>
        <color theme="1"/>
        <rFont val="Calibri"/>
        <family val="2"/>
        <scheme val="minor"/>
      </rPr>
      <t>.U</t>
    </r>
    <r>
      <rPr>
        <b/>
        <i/>
        <vertAlign val="subscript"/>
        <sz val="12"/>
        <color theme="1"/>
        <rFont val="Calibri (Corps)"/>
      </rPr>
      <t>k</t>
    </r>
  </si>
  <si>
    <t>vitrage 12a/12b</t>
  </si>
  <si>
    <t>porte entrée</t>
  </si>
  <si>
    <t>Salle d'attente</t>
  </si>
  <si>
    <t>fenetre mini hall 11</t>
  </si>
  <si>
    <t>Secretariat</t>
  </si>
  <si>
    <t>Mur les petits bouts</t>
  </si>
  <si>
    <t>Portes vers secretariat</t>
  </si>
  <si>
    <t>Salle de réunion</t>
  </si>
  <si>
    <t>=</t>
  </si>
  <si>
    <t>Vers couloir</t>
  </si>
  <si>
    <t xml:space="preserve">Coefficients total de déperditions directe vers l'extérieur </t>
  </si>
  <si>
    <r>
      <t>H</t>
    </r>
    <r>
      <rPr>
        <b/>
        <i/>
        <vertAlign val="subscript"/>
        <sz val="12"/>
        <color theme="1"/>
        <rFont val="Calibri (Corps)"/>
      </rPr>
      <t>T,ie</t>
    </r>
  </si>
  <si>
    <t>Portes vers couloir</t>
  </si>
  <si>
    <t>Déperdition à travers espaces non-chauffés</t>
  </si>
  <si>
    <t>vers distrib</t>
  </si>
  <si>
    <t>Paroi</t>
  </si>
  <si>
    <r>
      <t>b</t>
    </r>
    <r>
      <rPr>
        <b/>
        <i/>
        <vertAlign val="subscript"/>
        <sz val="12"/>
        <color theme="1"/>
        <rFont val="Calibri (Corps)"/>
      </rPr>
      <t>u</t>
    </r>
  </si>
  <si>
    <r>
      <t>A</t>
    </r>
    <r>
      <rPr>
        <b/>
        <i/>
        <vertAlign val="subscript"/>
        <sz val="12"/>
        <color theme="1"/>
        <rFont val="Calibri (Corps)"/>
      </rPr>
      <t>k</t>
    </r>
    <r>
      <rPr>
        <b/>
        <i/>
        <sz val="12"/>
        <color theme="1"/>
        <rFont val="Calibri"/>
        <family val="2"/>
        <scheme val="minor"/>
      </rPr>
      <t>.U</t>
    </r>
    <r>
      <rPr>
        <b/>
        <i/>
        <vertAlign val="subscript"/>
        <sz val="12"/>
        <color theme="1"/>
        <rFont val="Calibri (Corps)"/>
      </rPr>
      <t>k</t>
    </r>
    <r>
      <rPr>
        <b/>
        <i/>
        <sz val="12"/>
        <color theme="1"/>
        <rFont val="Calibri"/>
        <family val="2"/>
        <scheme val="minor"/>
      </rPr>
      <t>.b</t>
    </r>
    <r>
      <rPr>
        <b/>
        <i/>
        <vertAlign val="subscript"/>
        <sz val="12"/>
        <color theme="1"/>
        <rFont val="Calibri (Corps)"/>
      </rPr>
      <t>u</t>
    </r>
  </si>
  <si>
    <t>portes coullissante vers distrib</t>
  </si>
  <si>
    <t>Approv</t>
  </si>
  <si>
    <t>Coefficients total de déperditions directe à travers espaces non chauffées (H iue)</t>
  </si>
  <si>
    <t>Coefficient total de déperditions vers des espaces chauffés à des températures différentes</t>
  </si>
  <si>
    <r>
      <t>H</t>
    </r>
    <r>
      <rPr>
        <b/>
        <i/>
        <vertAlign val="subscript"/>
        <sz val="12"/>
        <color theme="1"/>
        <rFont val="Calibri (Corps)"/>
      </rPr>
      <t>T,ij</t>
    </r>
  </si>
  <si>
    <t xml:space="preserve">Déperditions vers des espaces chauffés à des températures différentes </t>
  </si>
  <si>
    <t xml:space="preserve">Coefficient total de déperditions par transmission </t>
  </si>
  <si>
    <r>
      <rPr>
        <b/>
        <i/>
        <sz val="12"/>
        <color theme="1"/>
        <rFont val="Calibri"/>
        <family val="2"/>
        <scheme val="minor"/>
      </rPr>
      <t>H</t>
    </r>
    <r>
      <rPr>
        <b/>
        <i/>
        <vertAlign val="subscript"/>
        <sz val="12"/>
        <color theme="1"/>
        <rFont val="Calibri (Corps)"/>
      </rPr>
      <t>T,l</t>
    </r>
    <r>
      <rPr>
        <b/>
        <i/>
        <sz val="12"/>
        <color theme="1"/>
        <rFont val="Calibri"/>
        <family val="2"/>
        <scheme val="minor"/>
      </rPr>
      <t xml:space="preserve"> = H</t>
    </r>
    <r>
      <rPr>
        <b/>
        <i/>
        <vertAlign val="subscript"/>
        <sz val="12"/>
        <color theme="1"/>
        <rFont val="Calibri (Corps)"/>
      </rPr>
      <t>t,ie</t>
    </r>
    <r>
      <rPr>
        <b/>
        <i/>
        <sz val="12"/>
        <color theme="1"/>
        <rFont val="Calibri"/>
        <family val="2"/>
        <scheme val="minor"/>
      </rPr>
      <t>+H</t>
    </r>
    <r>
      <rPr>
        <b/>
        <i/>
        <vertAlign val="subscript"/>
        <sz val="12"/>
        <color theme="1"/>
        <rFont val="Calibri (Corps)"/>
      </rPr>
      <t>T,lue</t>
    </r>
    <r>
      <rPr>
        <b/>
        <i/>
        <sz val="12"/>
        <color theme="1"/>
        <rFont val="Calibri"/>
        <family val="2"/>
        <scheme val="minor"/>
      </rPr>
      <t>+H</t>
    </r>
    <r>
      <rPr>
        <b/>
        <i/>
        <vertAlign val="subscript"/>
        <sz val="12"/>
        <color theme="1"/>
        <rFont val="Calibri (Corps)"/>
      </rPr>
      <t>T,lg</t>
    </r>
    <r>
      <rPr>
        <b/>
        <i/>
        <sz val="12"/>
        <color theme="1"/>
        <rFont val="Calibri"/>
        <family val="2"/>
        <scheme val="minor"/>
      </rPr>
      <t>+H</t>
    </r>
    <r>
      <rPr>
        <b/>
        <i/>
        <vertAlign val="subscript"/>
        <sz val="12"/>
        <color theme="1"/>
        <rFont val="Calibri (Corps)"/>
      </rPr>
      <t xml:space="preserve">T,ij </t>
    </r>
    <r>
      <rPr>
        <i/>
        <sz val="12"/>
        <color theme="1"/>
        <rFont val="Calibri"/>
        <family val="2"/>
        <scheme val="minor"/>
      </rPr>
      <t xml:space="preserve">                                                </t>
    </r>
    <r>
      <rPr>
        <sz val="12"/>
        <color theme="1"/>
        <rFont val="Calibri"/>
        <family val="2"/>
        <scheme val="minor"/>
      </rPr>
      <t>W/K</t>
    </r>
  </si>
  <si>
    <t>Données de température de base</t>
  </si>
  <si>
    <r>
      <t>θ</t>
    </r>
    <r>
      <rPr>
        <vertAlign val="subscript"/>
        <sz val="12"/>
        <color theme="1"/>
        <rFont val="Calibri (Corps)"/>
      </rPr>
      <t>e</t>
    </r>
  </si>
  <si>
    <t>°C</t>
  </si>
  <si>
    <t>[W]</t>
  </si>
  <si>
    <t>Température intérieure de base</t>
  </si>
  <si>
    <r>
      <t>θ</t>
    </r>
    <r>
      <rPr>
        <vertAlign val="subscript"/>
        <sz val="12"/>
        <color theme="1"/>
        <rFont val="Calibri (Corps)"/>
      </rPr>
      <t>int,l</t>
    </r>
  </si>
  <si>
    <t>Ecart de température de base</t>
  </si>
  <si>
    <r>
      <t>θ</t>
    </r>
    <r>
      <rPr>
        <vertAlign val="subscript"/>
        <sz val="12"/>
        <color theme="1"/>
        <rFont val="Calibri (Corps)"/>
      </rPr>
      <t>int,l</t>
    </r>
    <r>
      <rPr>
        <sz val="12"/>
        <color theme="1"/>
        <rFont val="Calibri"/>
        <family val="2"/>
        <scheme val="minor"/>
      </rPr>
      <t xml:space="preserve"> - θ</t>
    </r>
    <r>
      <rPr>
        <vertAlign val="subscript"/>
        <sz val="12"/>
        <color theme="1"/>
        <rFont val="Calibri (Corps)"/>
      </rPr>
      <t>e</t>
    </r>
  </si>
  <si>
    <t xml:space="preserve">Déperditions de base par transmission avec l'extérieur                                     𝚽T,i=HT,i.(θint,i-θe)               </t>
  </si>
  <si>
    <t>Données de température de pièces adjacentes</t>
  </si>
  <si>
    <t>Nom de pièce</t>
  </si>
  <si>
    <t>T hiver</t>
  </si>
  <si>
    <t>T été</t>
  </si>
  <si>
    <t>ΔT hiver</t>
  </si>
  <si>
    <t>ΔT été</t>
  </si>
  <si>
    <t>Couloir</t>
  </si>
  <si>
    <t>distrib</t>
  </si>
  <si>
    <t>approv</t>
  </si>
  <si>
    <t>Déperditions de base par transmission avec les pièces adjacentes</t>
  </si>
  <si>
    <t>Déperditions totales de la pièce</t>
  </si>
  <si>
    <t xml:space="preserve">Déperditions de base par transmission                                      𝚽T,i=HT,i.(θint,i-θe)               </t>
  </si>
  <si>
    <t>DISTRIBUTEUR</t>
  </si>
  <si>
    <r>
      <t>Total des ponts thermiques                                                     Σ</t>
    </r>
    <r>
      <rPr>
        <b/>
        <vertAlign val="subscript"/>
        <sz val="12"/>
        <color theme="1"/>
        <rFont val="Calibri (Corps)"/>
      </rPr>
      <t>k</t>
    </r>
    <r>
      <rPr>
        <b/>
        <sz val="12"/>
        <color theme="1"/>
        <rFont val="Calibri"/>
        <family val="2"/>
        <scheme val="minor"/>
      </rPr>
      <t>Ψ</t>
    </r>
    <r>
      <rPr>
        <b/>
        <vertAlign val="subscript"/>
        <sz val="12"/>
        <color theme="1"/>
        <rFont val="Calibri (Corps)"/>
      </rPr>
      <t>k</t>
    </r>
    <r>
      <rPr>
        <b/>
        <sz val="12"/>
        <color theme="1"/>
        <rFont val="Calibri"/>
        <family val="2"/>
        <scheme val="minor"/>
      </rPr>
      <t>.l</t>
    </r>
    <r>
      <rPr>
        <b/>
        <vertAlign val="subscript"/>
        <sz val="12"/>
        <color theme="1"/>
        <rFont val="Calibri (Corps)"/>
      </rPr>
      <t>k</t>
    </r>
    <r>
      <rPr>
        <b/>
        <sz val="12"/>
        <color theme="1"/>
        <rFont val="Calibri"/>
        <family val="2"/>
        <scheme val="minor"/>
      </rPr>
      <t>.e</t>
    </r>
    <r>
      <rPr>
        <b/>
        <vertAlign val="subscript"/>
        <sz val="12"/>
        <color theme="1"/>
        <rFont val="Calibri (Corps)"/>
      </rPr>
      <t xml:space="preserve">k  </t>
    </r>
    <r>
      <rPr>
        <b/>
        <sz val="12"/>
        <color theme="1"/>
        <rFont val="Calibri"/>
        <family val="2"/>
        <scheme val="minor"/>
      </rPr>
      <t xml:space="preserve">                      W/K</t>
    </r>
  </si>
  <si>
    <t>secretariat</t>
  </si>
  <si>
    <t>Vers approvisionnement</t>
  </si>
  <si>
    <t>vers entrée</t>
  </si>
  <si>
    <t>vers portes coulissantes entree</t>
  </si>
  <si>
    <t xml:space="preserve">Coefficients total de déperditions directe à travers le sol </t>
  </si>
  <si>
    <r>
      <rPr>
        <b/>
        <i/>
        <sz val="12"/>
        <color rgb="FF000000"/>
        <rFont val="Calibri"/>
        <family val="2"/>
      </rPr>
      <t>H</t>
    </r>
    <r>
      <rPr>
        <b/>
        <i/>
        <vertAlign val="subscript"/>
        <sz val="12"/>
        <color rgb="FF000000"/>
        <rFont val="Calibri"/>
        <family val="2"/>
      </rPr>
      <t>t,ig</t>
    </r>
  </si>
  <si>
    <t xml:space="preserve">Déperditions de base par transmission                                    𝚽T,i=HT,i.(θint,i-θe)               </t>
  </si>
  <si>
    <t>Entrée</t>
  </si>
  <si>
    <t>Approvisionnement</t>
  </si>
  <si>
    <t>By Anis</t>
  </si>
  <si>
    <t>Distrib</t>
  </si>
  <si>
    <t>sol</t>
  </si>
  <si>
    <t>a</t>
  </si>
  <si>
    <t>Mur</t>
  </si>
  <si>
    <t>Apport vers l'exterieur</t>
  </si>
  <si>
    <r>
      <t>A</t>
    </r>
    <r>
      <rPr>
        <b/>
        <i/>
        <vertAlign val="subscript"/>
        <sz val="12"/>
        <color rgb="FF000000"/>
        <rFont val="Calibri"/>
        <family val="2"/>
        <scheme val="minor"/>
      </rPr>
      <t>k</t>
    </r>
  </si>
  <si>
    <r>
      <t>U</t>
    </r>
    <r>
      <rPr>
        <b/>
        <i/>
        <vertAlign val="subscript"/>
        <sz val="12"/>
        <color rgb="FF000000"/>
        <rFont val="Calibri"/>
        <family val="2"/>
        <scheme val="minor"/>
      </rPr>
      <t>k</t>
    </r>
  </si>
  <si>
    <r>
      <t>e</t>
    </r>
    <r>
      <rPr>
        <b/>
        <i/>
        <vertAlign val="subscript"/>
        <sz val="12"/>
        <color rgb="FF000000"/>
        <rFont val="Calibri"/>
        <family val="2"/>
        <scheme val="minor"/>
      </rPr>
      <t>k</t>
    </r>
  </si>
  <si>
    <r>
      <t>A</t>
    </r>
    <r>
      <rPr>
        <b/>
        <i/>
        <vertAlign val="subscript"/>
        <sz val="12"/>
        <color rgb="FF000000"/>
        <rFont val="Calibri"/>
        <family val="2"/>
        <scheme val="minor"/>
      </rPr>
      <t>k</t>
    </r>
    <r>
      <rPr>
        <b/>
        <i/>
        <sz val="12"/>
        <color rgb="FF000000"/>
        <rFont val="Calibri"/>
        <family val="2"/>
        <scheme val="minor"/>
      </rPr>
      <t>.U</t>
    </r>
    <r>
      <rPr>
        <b/>
        <i/>
        <vertAlign val="subscript"/>
        <sz val="12"/>
        <color rgb="FF000000"/>
        <rFont val="Calibri"/>
        <family val="2"/>
        <scheme val="minor"/>
      </rPr>
      <t>k</t>
    </r>
    <r>
      <rPr>
        <b/>
        <i/>
        <sz val="12"/>
        <color rgb="FF000000"/>
        <rFont val="Calibri"/>
        <family val="2"/>
        <scheme val="minor"/>
      </rPr>
      <t>.e</t>
    </r>
    <r>
      <rPr>
        <b/>
        <i/>
        <vertAlign val="subscript"/>
        <sz val="12"/>
        <color rgb="FF000000"/>
        <rFont val="Calibri"/>
        <family val="2"/>
        <scheme val="minor"/>
      </rPr>
      <t>k</t>
    </r>
  </si>
  <si>
    <t>Ponts thermiques</t>
  </si>
  <si>
    <r>
      <t>Ψ</t>
    </r>
    <r>
      <rPr>
        <b/>
        <i/>
        <vertAlign val="subscript"/>
        <sz val="12"/>
        <color theme="1"/>
        <rFont val="Calibri (Corps)"/>
      </rPr>
      <t>k</t>
    </r>
  </si>
  <si>
    <r>
      <rPr>
        <b/>
        <i/>
        <sz val="12"/>
        <color theme="1"/>
        <rFont val="Calibri"/>
        <family val="2"/>
        <scheme val="minor"/>
      </rPr>
      <t>l</t>
    </r>
    <r>
      <rPr>
        <b/>
        <i/>
        <vertAlign val="subscript"/>
        <sz val="12"/>
        <color theme="1"/>
        <rFont val="Calibri (Corps)"/>
      </rPr>
      <t>k</t>
    </r>
  </si>
  <si>
    <r>
      <rPr>
        <b/>
        <i/>
        <sz val="12"/>
        <color theme="1"/>
        <rFont val="Calibri"/>
        <family val="2"/>
        <scheme val="minor"/>
      </rPr>
      <t>Ψ</t>
    </r>
    <r>
      <rPr>
        <b/>
        <i/>
        <vertAlign val="subscript"/>
        <sz val="12"/>
        <color theme="1"/>
        <rFont val="Calibri (Corps)"/>
      </rPr>
      <t>k</t>
    </r>
    <r>
      <rPr>
        <b/>
        <i/>
        <sz val="12"/>
        <color theme="1"/>
        <rFont val="Calibri"/>
        <family val="2"/>
        <scheme val="minor"/>
      </rPr>
      <t>.I</t>
    </r>
    <r>
      <rPr>
        <b/>
        <i/>
        <vertAlign val="subscript"/>
        <sz val="12"/>
        <color theme="1"/>
        <rFont val="Calibri (Corps)"/>
      </rPr>
      <t>k</t>
    </r>
    <r>
      <rPr>
        <b/>
        <i/>
        <sz val="12"/>
        <color theme="1"/>
        <rFont val="Calibri"/>
        <family val="2"/>
        <scheme val="minor"/>
      </rPr>
      <t>.E</t>
    </r>
    <r>
      <rPr>
        <b/>
        <i/>
        <vertAlign val="subscript"/>
        <sz val="12"/>
        <color theme="1"/>
        <rFont val="Calibri (Corps)"/>
      </rPr>
      <t>k</t>
    </r>
  </si>
  <si>
    <r>
      <t>m</t>
    </r>
    <r>
      <rPr>
        <vertAlign val="superscript"/>
        <sz val="12"/>
        <color rgb="FF000000"/>
        <rFont val="Calibri"/>
        <family val="2"/>
        <scheme val="minor"/>
      </rPr>
      <t>2</t>
    </r>
  </si>
  <si>
    <t>W/(m.K)</t>
  </si>
  <si>
    <t>m</t>
  </si>
  <si>
    <t xml:space="preserve">N </t>
  </si>
  <si>
    <r>
      <t>Ψ</t>
    </r>
    <r>
      <rPr>
        <b/>
        <i/>
        <vertAlign val="subscript"/>
        <sz val="12"/>
        <color rgb="FF000000"/>
        <rFont val="Calibri"/>
        <family val="2"/>
        <scheme val="minor"/>
      </rPr>
      <t>k</t>
    </r>
  </si>
  <si>
    <r>
      <t>l</t>
    </r>
    <r>
      <rPr>
        <b/>
        <i/>
        <vertAlign val="subscript"/>
        <sz val="12"/>
        <color rgb="FF000000"/>
        <rFont val="Calibri"/>
        <family val="2"/>
        <scheme val="minor"/>
      </rPr>
      <t>k</t>
    </r>
  </si>
  <si>
    <r>
      <t>Ψ</t>
    </r>
    <r>
      <rPr>
        <b/>
        <i/>
        <vertAlign val="subscript"/>
        <sz val="12"/>
        <color rgb="FF000000"/>
        <rFont val="Calibri"/>
        <family val="2"/>
        <scheme val="minor"/>
      </rPr>
      <t>k</t>
    </r>
    <r>
      <rPr>
        <b/>
        <i/>
        <sz val="12"/>
        <color rgb="FF000000"/>
        <rFont val="Calibri"/>
        <family val="2"/>
        <scheme val="minor"/>
      </rPr>
      <t>.I</t>
    </r>
    <r>
      <rPr>
        <b/>
        <i/>
        <vertAlign val="subscript"/>
        <sz val="12"/>
        <color rgb="FF000000"/>
        <rFont val="Calibri"/>
        <family val="2"/>
        <scheme val="minor"/>
      </rPr>
      <t>k</t>
    </r>
    <r>
      <rPr>
        <b/>
        <i/>
        <sz val="12"/>
        <color rgb="FF000000"/>
        <rFont val="Calibri"/>
        <family val="2"/>
        <scheme val="minor"/>
      </rPr>
      <t>.E</t>
    </r>
    <r>
      <rPr>
        <b/>
        <i/>
        <vertAlign val="subscript"/>
        <sz val="12"/>
        <color rgb="FF000000"/>
        <rFont val="Calibri"/>
        <family val="2"/>
        <scheme val="minor"/>
      </rPr>
      <t>k</t>
    </r>
  </si>
  <si>
    <r>
      <t>Total des ponts thermiques                                                     Σ</t>
    </r>
    <r>
      <rPr>
        <b/>
        <vertAlign val="subscript"/>
        <sz val="12"/>
        <color rgb="FF000000"/>
        <rFont val="Calibri"/>
        <family val="2"/>
        <scheme val="minor"/>
      </rPr>
      <t>k</t>
    </r>
    <r>
      <rPr>
        <b/>
        <sz val="12"/>
        <color rgb="FF000000"/>
        <rFont val="Calibri"/>
        <family val="2"/>
        <scheme val="minor"/>
      </rPr>
      <t>Ψ</t>
    </r>
    <r>
      <rPr>
        <b/>
        <vertAlign val="subscript"/>
        <sz val="12"/>
        <color rgb="FF000000"/>
        <rFont val="Calibri"/>
        <family val="2"/>
        <scheme val="minor"/>
      </rPr>
      <t>k</t>
    </r>
    <r>
      <rPr>
        <b/>
        <sz val="12"/>
        <color rgb="FF000000"/>
        <rFont val="Calibri"/>
        <family val="2"/>
        <scheme val="minor"/>
      </rPr>
      <t>.l</t>
    </r>
    <r>
      <rPr>
        <b/>
        <vertAlign val="subscript"/>
        <sz val="12"/>
        <color rgb="FF000000"/>
        <rFont val="Calibri"/>
        <family val="2"/>
        <scheme val="minor"/>
      </rPr>
      <t>k</t>
    </r>
    <r>
      <rPr>
        <b/>
        <sz val="12"/>
        <color rgb="FF000000"/>
        <rFont val="Calibri"/>
        <family val="2"/>
        <scheme val="minor"/>
      </rPr>
      <t>.e</t>
    </r>
    <r>
      <rPr>
        <b/>
        <vertAlign val="subscript"/>
        <sz val="12"/>
        <color rgb="FF000000"/>
        <rFont val="Calibri"/>
        <family val="2"/>
        <scheme val="minor"/>
      </rPr>
      <t xml:space="preserve">k  </t>
    </r>
    <r>
      <rPr>
        <b/>
        <sz val="12"/>
        <color rgb="FF000000"/>
        <rFont val="Calibri"/>
        <family val="2"/>
        <scheme val="minor"/>
      </rPr>
      <t xml:space="preserve">                      W/K</t>
    </r>
  </si>
  <si>
    <r>
      <t>H</t>
    </r>
    <r>
      <rPr>
        <b/>
        <i/>
        <vertAlign val="subscript"/>
        <sz val="12"/>
        <color rgb="FF000000"/>
        <rFont val="Calibri"/>
        <family val="2"/>
        <scheme val="minor"/>
      </rPr>
      <t>T,ie</t>
    </r>
  </si>
  <si>
    <t>Apport à travers espaces non-chauffés</t>
  </si>
  <si>
    <r>
      <t>b</t>
    </r>
    <r>
      <rPr>
        <b/>
        <i/>
        <vertAlign val="subscript"/>
        <sz val="12"/>
        <color rgb="FF000000"/>
        <rFont val="Calibri"/>
        <family val="2"/>
        <scheme val="minor"/>
      </rPr>
      <t>u</t>
    </r>
  </si>
  <si>
    <r>
      <t>A</t>
    </r>
    <r>
      <rPr>
        <b/>
        <i/>
        <vertAlign val="subscript"/>
        <sz val="12"/>
        <color rgb="FF000000"/>
        <rFont val="Calibri"/>
        <family val="2"/>
        <scheme val="minor"/>
      </rPr>
      <t>k</t>
    </r>
    <r>
      <rPr>
        <b/>
        <i/>
        <sz val="12"/>
        <color rgb="FF000000"/>
        <rFont val="Calibri"/>
        <family val="2"/>
        <scheme val="minor"/>
      </rPr>
      <t>.U</t>
    </r>
    <r>
      <rPr>
        <b/>
        <i/>
        <vertAlign val="subscript"/>
        <sz val="12"/>
        <color rgb="FF000000"/>
        <rFont val="Calibri"/>
        <family val="2"/>
        <scheme val="minor"/>
      </rPr>
      <t>k</t>
    </r>
    <r>
      <rPr>
        <b/>
        <i/>
        <sz val="12"/>
        <color rgb="FF000000"/>
        <rFont val="Calibri"/>
        <family val="2"/>
        <scheme val="minor"/>
      </rPr>
      <t>.b</t>
    </r>
    <r>
      <rPr>
        <b/>
        <i/>
        <vertAlign val="subscript"/>
        <sz val="12"/>
        <color rgb="FF000000"/>
        <rFont val="Calibri"/>
        <family val="2"/>
        <scheme val="minor"/>
      </rPr>
      <t>u</t>
    </r>
  </si>
  <si>
    <t>Total des parois</t>
  </si>
  <si>
    <r>
      <t>Ψ</t>
    </r>
    <r>
      <rPr>
        <b/>
        <i/>
        <vertAlign val="subscript"/>
        <sz val="12"/>
        <color theme="1"/>
        <rFont val="Calibri (Corps)"/>
      </rPr>
      <t>k</t>
    </r>
    <r>
      <rPr>
        <b/>
        <i/>
        <sz val="12"/>
        <color theme="1"/>
        <rFont val="Calibri"/>
        <family val="2"/>
        <scheme val="minor"/>
      </rPr>
      <t>.I</t>
    </r>
    <r>
      <rPr>
        <b/>
        <i/>
        <vertAlign val="subscript"/>
        <sz val="12"/>
        <color theme="1"/>
        <rFont val="Calibri (Corps)"/>
      </rPr>
      <t>k</t>
    </r>
    <r>
      <rPr>
        <b/>
        <i/>
        <sz val="12"/>
        <color theme="1"/>
        <rFont val="Calibri"/>
        <family val="2"/>
        <scheme val="minor"/>
      </rPr>
      <t>.b</t>
    </r>
    <r>
      <rPr>
        <b/>
        <i/>
        <vertAlign val="subscript"/>
        <sz val="12"/>
        <color theme="1"/>
        <rFont val="Calibri (Corps)"/>
      </rPr>
      <t>u</t>
    </r>
  </si>
  <si>
    <r>
      <t>Ψ</t>
    </r>
    <r>
      <rPr>
        <b/>
        <i/>
        <vertAlign val="subscript"/>
        <sz val="12"/>
        <color rgb="FF000000"/>
        <rFont val="Calibri"/>
        <family val="2"/>
        <scheme val="minor"/>
      </rPr>
      <t>k</t>
    </r>
    <r>
      <rPr>
        <b/>
        <i/>
        <sz val="12"/>
        <color rgb="FF000000"/>
        <rFont val="Calibri"/>
        <family val="2"/>
        <scheme val="minor"/>
      </rPr>
      <t>.I</t>
    </r>
    <r>
      <rPr>
        <b/>
        <i/>
        <vertAlign val="subscript"/>
        <sz val="12"/>
        <color rgb="FF000000"/>
        <rFont val="Calibri"/>
        <family val="2"/>
        <scheme val="minor"/>
      </rPr>
      <t>k</t>
    </r>
    <r>
      <rPr>
        <b/>
        <i/>
        <sz val="12"/>
        <color rgb="FF000000"/>
        <rFont val="Calibri"/>
        <family val="2"/>
        <scheme val="minor"/>
      </rPr>
      <t>.b</t>
    </r>
    <r>
      <rPr>
        <b/>
        <i/>
        <vertAlign val="subscript"/>
        <sz val="12"/>
        <color rgb="FF000000"/>
        <rFont val="Calibri"/>
        <family val="2"/>
        <scheme val="minor"/>
      </rPr>
      <t>u</t>
    </r>
  </si>
  <si>
    <t>Déperditions directes par le sol</t>
  </si>
  <si>
    <t>Apport directes par le sol</t>
  </si>
  <si>
    <r>
      <t>H</t>
    </r>
    <r>
      <rPr>
        <b/>
        <i/>
        <vertAlign val="subscript"/>
        <sz val="12"/>
        <color rgb="FF000000"/>
        <rFont val="Calibri"/>
        <family val="2"/>
        <scheme val="minor"/>
      </rPr>
      <t>t,ig</t>
    </r>
  </si>
  <si>
    <t xml:space="preserve">Apport vers des espaces chauffés à des températures différentes </t>
  </si>
  <si>
    <t>Bureau</t>
  </si>
  <si>
    <r>
      <t>fi</t>
    </r>
    <r>
      <rPr>
        <b/>
        <i/>
        <vertAlign val="subscript"/>
        <sz val="12"/>
        <color rgb="FF000000"/>
        <rFont val="Calibri"/>
        <family val="2"/>
        <scheme val="minor"/>
      </rPr>
      <t>j</t>
    </r>
  </si>
  <si>
    <r>
      <t>f</t>
    </r>
    <r>
      <rPr>
        <b/>
        <i/>
        <vertAlign val="subscript"/>
        <sz val="12"/>
        <color rgb="FF000000"/>
        <rFont val="Calibri"/>
        <family val="2"/>
        <scheme val="minor"/>
      </rPr>
      <t>ij</t>
    </r>
    <r>
      <rPr>
        <b/>
        <i/>
        <sz val="12"/>
        <color rgb="FF000000"/>
        <rFont val="Calibri"/>
        <family val="2"/>
        <scheme val="minor"/>
      </rPr>
      <t>.A</t>
    </r>
    <r>
      <rPr>
        <b/>
        <i/>
        <vertAlign val="subscript"/>
        <sz val="12"/>
        <color rgb="FF000000"/>
        <rFont val="Calibri"/>
        <family val="2"/>
        <scheme val="minor"/>
      </rPr>
      <t>k</t>
    </r>
    <r>
      <rPr>
        <b/>
        <i/>
        <sz val="12"/>
        <color rgb="FF000000"/>
        <rFont val="Calibri"/>
        <family val="2"/>
        <scheme val="minor"/>
      </rPr>
      <t>.U</t>
    </r>
    <r>
      <rPr>
        <b/>
        <i/>
        <vertAlign val="subscript"/>
        <sz val="12"/>
        <color rgb="FF000000"/>
        <rFont val="Calibri"/>
        <family val="2"/>
        <scheme val="minor"/>
      </rPr>
      <t>k</t>
    </r>
  </si>
  <si>
    <t xml:space="preserve">HT,ij  </t>
  </si>
  <si>
    <t>kitchennette</t>
  </si>
  <si>
    <r>
      <t>H</t>
    </r>
    <r>
      <rPr>
        <b/>
        <i/>
        <vertAlign val="subscript"/>
        <sz val="12"/>
        <color rgb="FF000000"/>
        <rFont val="Calibri"/>
        <family val="2"/>
        <scheme val="minor"/>
      </rPr>
      <t>T,ij</t>
    </r>
  </si>
  <si>
    <r>
      <t>H</t>
    </r>
    <r>
      <rPr>
        <b/>
        <i/>
        <vertAlign val="subscript"/>
        <sz val="12"/>
        <color rgb="FF000000"/>
        <rFont val="Calibri"/>
        <family val="2"/>
        <scheme val="minor"/>
      </rPr>
      <t>T,l</t>
    </r>
    <r>
      <rPr>
        <b/>
        <i/>
        <sz val="12"/>
        <color rgb="FF000000"/>
        <rFont val="Calibri"/>
        <family val="2"/>
        <scheme val="minor"/>
      </rPr>
      <t xml:space="preserve"> = H</t>
    </r>
    <r>
      <rPr>
        <b/>
        <i/>
        <vertAlign val="subscript"/>
        <sz val="12"/>
        <color rgb="FF000000"/>
        <rFont val="Calibri"/>
        <family val="2"/>
        <scheme val="minor"/>
      </rPr>
      <t>t,ie</t>
    </r>
    <r>
      <rPr>
        <b/>
        <i/>
        <sz val="12"/>
        <color rgb="FF000000"/>
        <rFont val="Calibri"/>
        <family val="2"/>
        <scheme val="minor"/>
      </rPr>
      <t>+H</t>
    </r>
    <r>
      <rPr>
        <b/>
        <i/>
        <vertAlign val="subscript"/>
        <sz val="12"/>
        <color rgb="FF000000"/>
        <rFont val="Calibri"/>
        <family val="2"/>
        <scheme val="minor"/>
      </rPr>
      <t>T,lue</t>
    </r>
    <r>
      <rPr>
        <b/>
        <i/>
        <sz val="12"/>
        <color rgb="FF000000"/>
        <rFont val="Calibri"/>
        <family val="2"/>
        <scheme val="minor"/>
      </rPr>
      <t>+H</t>
    </r>
    <r>
      <rPr>
        <b/>
        <i/>
        <vertAlign val="subscript"/>
        <sz val="12"/>
        <color rgb="FF000000"/>
        <rFont val="Calibri"/>
        <family val="2"/>
        <scheme val="minor"/>
      </rPr>
      <t>T,lg</t>
    </r>
    <r>
      <rPr>
        <b/>
        <i/>
        <sz val="12"/>
        <color rgb="FF000000"/>
        <rFont val="Calibri"/>
        <family val="2"/>
        <scheme val="minor"/>
      </rPr>
      <t>+H</t>
    </r>
    <r>
      <rPr>
        <b/>
        <i/>
        <vertAlign val="subscript"/>
        <sz val="12"/>
        <color rgb="FF000000"/>
        <rFont val="Calibri"/>
        <family val="2"/>
        <scheme val="minor"/>
      </rPr>
      <t xml:space="preserve">T,ij </t>
    </r>
    <r>
      <rPr>
        <i/>
        <sz val="12"/>
        <color rgb="FF000000"/>
        <rFont val="Calibri"/>
        <family val="2"/>
        <scheme val="minor"/>
      </rPr>
      <t xml:space="preserve">                                                </t>
    </r>
    <r>
      <rPr>
        <sz val="12"/>
        <color rgb="FF000000"/>
        <rFont val="Calibri"/>
        <family val="2"/>
        <scheme val="minor"/>
      </rPr>
      <t>W/K</t>
    </r>
  </si>
  <si>
    <r>
      <t>θ</t>
    </r>
    <r>
      <rPr>
        <vertAlign val="subscript"/>
        <sz val="12"/>
        <color rgb="FF000000"/>
        <rFont val="Calibri"/>
        <family val="2"/>
        <scheme val="minor"/>
      </rPr>
      <t>e</t>
    </r>
  </si>
  <si>
    <r>
      <t>θ</t>
    </r>
    <r>
      <rPr>
        <vertAlign val="subscript"/>
        <sz val="12"/>
        <color rgb="FF000000"/>
        <rFont val="Calibri"/>
        <family val="2"/>
        <scheme val="minor"/>
      </rPr>
      <t>int,l</t>
    </r>
  </si>
  <si>
    <r>
      <t>θ</t>
    </r>
    <r>
      <rPr>
        <vertAlign val="subscript"/>
        <sz val="12"/>
        <color rgb="FF000000"/>
        <rFont val="Calibri"/>
        <family val="2"/>
        <scheme val="minor"/>
      </rPr>
      <t>int,l</t>
    </r>
    <r>
      <rPr>
        <sz val="12"/>
        <color rgb="FF000000"/>
        <rFont val="Calibri"/>
        <family val="2"/>
        <scheme val="minor"/>
      </rPr>
      <t xml:space="preserve"> - θ</t>
    </r>
    <r>
      <rPr>
        <vertAlign val="subscript"/>
        <sz val="12"/>
        <color rgb="FF000000"/>
        <rFont val="Calibri"/>
        <family val="2"/>
        <scheme val="minor"/>
      </rPr>
      <t>e</t>
    </r>
  </si>
  <si>
    <t>kitchenette</t>
  </si>
  <si>
    <t>TRAPPE BEN</t>
  </si>
  <si>
    <t>b</t>
  </si>
  <si>
    <t>mur</t>
  </si>
  <si>
    <t>Coffre-fort</t>
  </si>
  <si>
    <t xml:space="preserve">sol </t>
  </si>
  <si>
    <t xml:space="preserve">bureau 2 </t>
  </si>
  <si>
    <t>c</t>
  </si>
  <si>
    <t xml:space="preserve">bureau 1 </t>
  </si>
  <si>
    <t>d</t>
  </si>
  <si>
    <t>couloir</t>
  </si>
  <si>
    <t>TREMIE</t>
  </si>
  <si>
    <t>TRAPPE</t>
  </si>
  <si>
    <t>bureau 4</t>
  </si>
  <si>
    <t>Coffre fort</t>
  </si>
  <si>
    <t>bureau 5</t>
  </si>
  <si>
    <t>Déperdition à travers espaces chauffés</t>
  </si>
  <si>
    <t xml:space="preserve">fij </t>
  </si>
  <si>
    <t xml:space="preserve">Ht ij </t>
  </si>
  <si>
    <t>kitchenette et couloir</t>
  </si>
  <si>
    <t xml:space="preserve">aucun mur mittoyen avec l'exterieur </t>
  </si>
  <si>
    <t>salle d'attente</t>
  </si>
  <si>
    <t>e</t>
  </si>
  <si>
    <t>f</t>
  </si>
  <si>
    <t xml:space="preserve">porte blindée </t>
  </si>
  <si>
    <t xml:space="preserve">Déperditions vers des espaces non-chauffés à des températures différentes </t>
  </si>
  <si>
    <t>Bu</t>
  </si>
  <si>
    <t>HT</t>
  </si>
  <si>
    <t>trémis</t>
  </si>
  <si>
    <t xml:space="preserve">logique car je suis dans une non chauféé et dans ce cas en face c'est que y'as pas de deperdition car je suis dans un espace ou mes mures mittoyen sont a plus haute température </t>
  </si>
  <si>
    <t>Données de température</t>
  </si>
  <si>
    <t>z</t>
  </si>
  <si>
    <r>
      <t xml:space="preserve">Déperditions de base par transmission                                      </t>
    </r>
    <r>
      <rPr>
        <b/>
        <i/>
        <sz val="12"/>
        <color rgb="FF000000"/>
        <rFont val="Calibri"/>
        <family val="2"/>
        <scheme val="minor"/>
      </rPr>
      <t>𝚽</t>
    </r>
    <r>
      <rPr>
        <b/>
        <i/>
        <vertAlign val="subscript"/>
        <sz val="12"/>
        <color rgb="FF000000"/>
        <rFont val="Calibri"/>
        <family val="2"/>
        <scheme val="minor"/>
      </rPr>
      <t>T,i</t>
    </r>
    <r>
      <rPr>
        <b/>
        <i/>
        <sz val="12"/>
        <color rgb="FF000000"/>
        <rFont val="Calibri"/>
        <family val="2"/>
        <scheme val="minor"/>
      </rPr>
      <t>=H</t>
    </r>
    <r>
      <rPr>
        <b/>
        <i/>
        <vertAlign val="subscript"/>
        <sz val="12"/>
        <color rgb="FF000000"/>
        <rFont val="Calibri"/>
        <family val="2"/>
        <scheme val="minor"/>
      </rPr>
      <t>T,i</t>
    </r>
    <r>
      <rPr>
        <b/>
        <i/>
        <sz val="12"/>
        <color rgb="FF000000"/>
        <rFont val="Calibri"/>
        <family val="2"/>
        <scheme val="minor"/>
      </rPr>
      <t>.(θ</t>
    </r>
    <r>
      <rPr>
        <b/>
        <i/>
        <vertAlign val="subscript"/>
        <sz val="12"/>
        <color rgb="FF000000"/>
        <rFont val="Calibri"/>
        <family val="2"/>
        <scheme val="minor"/>
      </rPr>
      <t>int,i</t>
    </r>
    <r>
      <rPr>
        <b/>
        <i/>
        <sz val="12"/>
        <color rgb="FF000000"/>
        <rFont val="Calibri"/>
        <family val="2"/>
        <scheme val="minor"/>
      </rPr>
      <t>-θ</t>
    </r>
    <r>
      <rPr>
        <b/>
        <i/>
        <vertAlign val="subscript"/>
        <sz val="12"/>
        <color rgb="FF000000"/>
        <rFont val="Calibri"/>
        <family val="2"/>
        <scheme val="minor"/>
      </rPr>
      <t>e</t>
    </r>
    <r>
      <rPr>
        <b/>
        <i/>
        <sz val="12"/>
        <color rgb="FF000000"/>
        <rFont val="Calibri"/>
        <family val="2"/>
        <scheme val="minor"/>
      </rPr>
      <t xml:space="preserve">)                                   </t>
    </r>
    <r>
      <rPr>
        <b/>
        <sz val="12"/>
        <color rgb="FF000000"/>
        <rFont val="Calibri"/>
        <family val="2"/>
        <scheme val="minor"/>
      </rPr>
      <t>W</t>
    </r>
  </si>
  <si>
    <t xml:space="preserve">ON EST AU 1 ER DONC PAS DE DEPERDITION DIRECT PAR LE SOL </t>
  </si>
  <si>
    <t xml:space="preserve">3.Salle de réunion </t>
  </si>
  <si>
    <t>10.Couloir</t>
  </si>
  <si>
    <t>15.Trappe</t>
  </si>
  <si>
    <t>7.Salle d'attente</t>
  </si>
  <si>
    <t>Sous sol</t>
  </si>
  <si>
    <t xml:space="preserve">mittoyen avec tremis donc meme temperature donc pas de déperdition </t>
  </si>
  <si>
    <t xml:space="preserve">Salle de réunion </t>
  </si>
  <si>
    <t>Trappe</t>
  </si>
  <si>
    <t>Bureau  5 by BEN</t>
  </si>
  <si>
    <t>SDR8</t>
  </si>
  <si>
    <t>by Anis</t>
  </si>
  <si>
    <t>N-E</t>
  </si>
  <si>
    <t xml:space="preserve">Mur </t>
  </si>
  <si>
    <t xml:space="preserve">fenetre </t>
  </si>
  <si>
    <t>E</t>
  </si>
  <si>
    <t>Fenêtre</t>
  </si>
  <si>
    <t>Coin</t>
  </si>
  <si>
    <t>Vitrage</t>
  </si>
  <si>
    <t>S</t>
  </si>
  <si>
    <t>Déperdition à travers espaces non  chauffés</t>
  </si>
  <si>
    <t>Vers mini hall/approv</t>
  </si>
  <si>
    <t>Vers tremis</t>
  </si>
  <si>
    <t>Aucune</t>
  </si>
  <si>
    <t>porte vers couloir</t>
  </si>
  <si>
    <t xml:space="preserve">bureau </t>
  </si>
  <si>
    <t>porte</t>
  </si>
  <si>
    <t xml:space="preserve">Déperditions de base par transmission                                 𝚽T,i=HT,i.(θint,i-θe)                  </t>
  </si>
  <si>
    <t>MiniHall/approv</t>
  </si>
  <si>
    <t>Escalier</t>
  </si>
  <si>
    <t>BR7</t>
  </si>
  <si>
    <t>BR5</t>
  </si>
  <si>
    <t>Bureau 7</t>
  </si>
  <si>
    <t>Bureau 6 BEN</t>
  </si>
  <si>
    <t>Tremis</t>
  </si>
  <si>
    <t>Fenêtre a</t>
  </si>
  <si>
    <t>Fenêtre b</t>
  </si>
  <si>
    <t>BR6</t>
  </si>
  <si>
    <t>Vers SDR 8</t>
  </si>
  <si>
    <t>vers SDR 8</t>
  </si>
  <si>
    <t xml:space="preserve">porte vers couloirs </t>
  </si>
  <si>
    <t>Vers sol</t>
  </si>
  <si>
    <t>Porte vers couloir</t>
  </si>
  <si>
    <t xml:space="preserve">Déperditions de base par transmission                             𝚽T,i=HT,i.(θint,i-θe)        </t>
  </si>
  <si>
    <t xml:space="preserve">Déperditions de base par transmission avec l'extérieur                                     𝚽T,i=HT,i.(θint,i-θe)                   </t>
  </si>
  <si>
    <t>Fenêtre extreme</t>
  </si>
  <si>
    <r>
      <t>Ψ</t>
    </r>
    <r>
      <rPr>
        <b/>
        <i/>
        <vertAlign val="subscript"/>
        <sz val="12"/>
        <color theme="1"/>
        <rFont val="Calibri (Corps)"/>
      </rPr>
      <t>k</t>
    </r>
    <r>
      <rPr>
        <b/>
        <i/>
        <sz val="12"/>
        <color theme="1"/>
        <rFont val="Calibri"/>
        <family val="2"/>
        <scheme val="minor"/>
      </rPr>
      <t>.I</t>
    </r>
    <r>
      <rPr>
        <b/>
        <i/>
        <vertAlign val="subscript"/>
        <sz val="12"/>
        <color theme="1"/>
        <rFont val="Calibri (Corps)"/>
      </rPr>
      <t>k</t>
    </r>
    <r>
      <rPr>
        <b/>
        <i/>
        <sz val="12"/>
        <color theme="1"/>
        <rFont val="Calibri"/>
        <family val="2"/>
        <scheme val="minor"/>
      </rPr>
      <t>.e</t>
    </r>
    <r>
      <rPr>
        <b/>
        <i/>
        <vertAlign val="subscript"/>
        <sz val="12"/>
        <color theme="1"/>
        <rFont val="Calibri (Corps)"/>
      </rPr>
      <t>k</t>
    </r>
  </si>
  <si>
    <t>Secretaria</t>
  </si>
  <si>
    <t>Vers SDR + salle d'attente</t>
  </si>
  <si>
    <t>Portes coulissantes vers salle d'attente</t>
  </si>
  <si>
    <t>Vers distributeur</t>
  </si>
  <si>
    <t>Portes vers distributeur</t>
  </si>
  <si>
    <t>vers espace a gauche</t>
  </si>
  <si>
    <t>Vers entrée</t>
  </si>
  <si>
    <t>entrée</t>
  </si>
  <si>
    <t>salle de reunion</t>
  </si>
  <si>
    <t>sale d'attente</t>
  </si>
  <si>
    <t>Distributeur</t>
  </si>
  <si>
    <t xml:space="preserve">Déperditions de base par transmission                                𝚽T,i=HT,i.(θint,i-θe)               </t>
  </si>
  <si>
    <t>Couloir gauche</t>
  </si>
  <si>
    <t>VOIR SALLE DATTENTE</t>
  </si>
  <si>
    <t>Couloir droite</t>
  </si>
  <si>
    <r>
      <rPr>
        <b/>
        <sz val="12"/>
        <color rgb="FF000000"/>
        <rFont val="Calibri"/>
        <family val="2"/>
        <scheme val="minor"/>
      </rPr>
      <t xml:space="preserve">Total des parois  </t>
    </r>
    <r>
      <rPr>
        <sz val="12"/>
        <color rgb="FF000000"/>
        <rFont val="Calibri"/>
        <family val="2"/>
        <scheme val="minor"/>
      </rPr>
      <t xml:space="preserve">                                                              </t>
    </r>
    <r>
      <rPr>
        <b/>
        <sz val="12"/>
        <color rgb="FF000000"/>
        <rFont val="Calibri"/>
        <family val="2"/>
        <scheme val="minor"/>
      </rPr>
      <t xml:space="preserve">       Σ</t>
    </r>
    <r>
      <rPr>
        <b/>
        <i/>
        <vertAlign val="subscript"/>
        <sz val="12"/>
        <color rgb="FF000000"/>
        <rFont val="Calibri"/>
        <family val="2"/>
      </rPr>
      <t>k</t>
    </r>
    <r>
      <rPr>
        <b/>
        <i/>
        <sz val="12"/>
        <color rgb="FF000000"/>
        <rFont val="Calibri"/>
        <family val="2"/>
        <scheme val="minor"/>
      </rPr>
      <t>A</t>
    </r>
    <r>
      <rPr>
        <b/>
        <i/>
        <vertAlign val="subscript"/>
        <sz val="12"/>
        <color rgb="FF000000"/>
        <rFont val="Calibri"/>
        <family val="2"/>
      </rPr>
      <t>k</t>
    </r>
    <r>
      <rPr>
        <b/>
        <i/>
        <sz val="12"/>
        <color rgb="FF000000"/>
        <rFont val="Calibri"/>
        <family val="2"/>
        <scheme val="minor"/>
      </rPr>
      <t>.U</t>
    </r>
    <r>
      <rPr>
        <b/>
        <i/>
        <vertAlign val="subscript"/>
        <sz val="12"/>
        <color rgb="FF000000"/>
        <rFont val="Calibri"/>
        <family val="2"/>
      </rPr>
      <t>k</t>
    </r>
    <r>
      <rPr>
        <b/>
        <i/>
        <sz val="12"/>
        <color rgb="FF000000"/>
        <rFont val="Calibri"/>
        <family val="2"/>
        <scheme val="minor"/>
      </rPr>
      <t>.e</t>
    </r>
    <r>
      <rPr>
        <b/>
        <i/>
        <vertAlign val="subscript"/>
        <sz val="12"/>
        <color rgb="FF000000"/>
        <rFont val="Calibri"/>
        <family val="2"/>
      </rPr>
      <t xml:space="preserve">k  </t>
    </r>
    <r>
      <rPr>
        <b/>
        <sz val="12"/>
        <color rgb="FF000000"/>
        <rFont val="Calibri"/>
        <family val="2"/>
        <scheme val="minor"/>
      </rPr>
      <t xml:space="preserve">                      W/K</t>
    </r>
  </si>
  <si>
    <t xml:space="preserve"> [W/K]</t>
  </si>
  <si>
    <t>N</t>
  </si>
  <si>
    <t xml:space="preserve">Paroi intérieur rouge </t>
  </si>
  <si>
    <t>N-O</t>
  </si>
  <si>
    <t>Paroi escalier</t>
  </si>
  <si>
    <t>S-O</t>
  </si>
  <si>
    <t>O</t>
  </si>
  <si>
    <t>Paroi trémis</t>
  </si>
  <si>
    <t>Total des parois                                                                       ΣkAk.Uk.ek                        W/K</t>
  </si>
  <si>
    <t>Paroi approv</t>
  </si>
  <si>
    <t>Porte escalier</t>
  </si>
  <si>
    <t>Porte coffre fort</t>
  </si>
  <si>
    <t>Total des ponts thermiques                                                     ΣkΨk.lk.ek                        W/K</t>
  </si>
  <si>
    <t>Coefficients total de déperditions directe à travers des espaces non chauffées</t>
  </si>
  <si>
    <t>Hₜ,ᵢᵤₑ</t>
  </si>
  <si>
    <t xml:space="preserve">Paroi blanche </t>
  </si>
  <si>
    <t>B</t>
  </si>
  <si>
    <t xml:space="preserve">S </t>
  </si>
  <si>
    <t xml:space="preserve">Porte </t>
  </si>
  <si>
    <t>Coefficient total de déperditions par transmission</t>
  </si>
  <si>
    <r>
      <rPr>
        <b/>
        <i/>
        <sz val="12"/>
        <color rgb="FF000000"/>
        <rFont val="Calibri"/>
        <family val="2"/>
        <scheme val="minor"/>
      </rPr>
      <t>H</t>
    </r>
    <r>
      <rPr>
        <b/>
        <i/>
        <vertAlign val="subscript"/>
        <sz val="12"/>
        <color rgb="FF000000"/>
        <rFont val="Calibri"/>
        <family val="2"/>
      </rPr>
      <t>T,l</t>
    </r>
    <r>
      <rPr>
        <b/>
        <i/>
        <sz val="12"/>
        <color rgb="FF000000"/>
        <rFont val="Calibri"/>
        <family val="2"/>
        <scheme val="minor"/>
      </rPr>
      <t xml:space="preserve"> = H</t>
    </r>
    <r>
      <rPr>
        <b/>
        <i/>
        <vertAlign val="subscript"/>
        <sz val="12"/>
        <color rgb="FF000000"/>
        <rFont val="Calibri"/>
        <family val="2"/>
      </rPr>
      <t>t,ie</t>
    </r>
    <r>
      <rPr>
        <b/>
        <i/>
        <sz val="12"/>
        <color rgb="FF000000"/>
        <rFont val="Calibri"/>
        <family val="2"/>
        <scheme val="minor"/>
      </rPr>
      <t>+H</t>
    </r>
    <r>
      <rPr>
        <b/>
        <i/>
        <vertAlign val="subscript"/>
        <sz val="12"/>
        <color rgb="FF000000"/>
        <rFont val="Calibri"/>
        <family val="2"/>
      </rPr>
      <t>T,iue</t>
    </r>
    <r>
      <rPr>
        <b/>
        <i/>
        <sz val="12"/>
        <color rgb="FF000000"/>
        <rFont val="Calibri"/>
        <family val="2"/>
        <scheme val="minor"/>
      </rPr>
      <t>+H</t>
    </r>
    <r>
      <rPr>
        <b/>
        <i/>
        <vertAlign val="subscript"/>
        <sz val="12"/>
        <color rgb="FF000000"/>
        <rFont val="Calibri"/>
        <family val="2"/>
      </rPr>
      <t>T,lg</t>
    </r>
    <r>
      <rPr>
        <b/>
        <i/>
        <sz val="12"/>
        <color rgb="FF000000"/>
        <rFont val="Calibri"/>
        <family val="2"/>
        <scheme val="minor"/>
      </rPr>
      <t>+H</t>
    </r>
    <r>
      <rPr>
        <b/>
        <i/>
        <vertAlign val="subscript"/>
        <sz val="12"/>
        <color rgb="FF000000"/>
        <rFont val="Calibri"/>
        <family val="2"/>
      </rPr>
      <t xml:space="preserve">T,ij </t>
    </r>
    <r>
      <rPr>
        <i/>
        <sz val="12"/>
        <color rgb="FF000000"/>
        <rFont val="Calibri"/>
        <family val="2"/>
        <scheme val="minor"/>
      </rPr>
      <t xml:space="preserve">                                                </t>
    </r>
    <r>
      <rPr>
        <sz val="12"/>
        <color rgb="FF000000"/>
        <rFont val="Calibri"/>
        <family val="2"/>
        <scheme val="minor"/>
      </rPr>
      <t>W/K</t>
    </r>
  </si>
  <si>
    <r>
      <rPr>
        <b/>
        <sz val="12"/>
        <color rgb="FF000000"/>
        <rFont val="Calibri"/>
        <family val="2"/>
        <scheme val="minor"/>
      </rPr>
      <t xml:space="preserve">Déperditions de base par transmission                                      </t>
    </r>
    <r>
      <rPr>
        <b/>
        <i/>
        <sz val="12"/>
        <color rgb="FF000000"/>
        <rFont val="Calibri"/>
        <family val="2"/>
        <scheme val="minor"/>
      </rPr>
      <t>𝚽</t>
    </r>
    <r>
      <rPr>
        <b/>
        <i/>
        <vertAlign val="subscript"/>
        <sz val="12"/>
        <color rgb="FF000000"/>
        <rFont val="Calibri"/>
        <family val="2"/>
      </rPr>
      <t>T,i</t>
    </r>
    <r>
      <rPr>
        <b/>
        <i/>
        <sz val="12"/>
        <color rgb="FF000000"/>
        <rFont val="Calibri"/>
        <family val="2"/>
        <scheme val="minor"/>
      </rPr>
      <t>=H</t>
    </r>
    <r>
      <rPr>
        <b/>
        <i/>
        <vertAlign val="subscript"/>
        <sz val="12"/>
        <color rgb="FF000000"/>
        <rFont val="Calibri"/>
        <family val="2"/>
      </rPr>
      <t>T,i</t>
    </r>
    <r>
      <rPr>
        <b/>
        <i/>
        <sz val="12"/>
        <color rgb="FF000000"/>
        <rFont val="Calibri"/>
        <family val="2"/>
        <scheme val="minor"/>
      </rPr>
      <t>.(θ</t>
    </r>
    <r>
      <rPr>
        <b/>
        <i/>
        <vertAlign val="subscript"/>
        <sz val="12"/>
        <color rgb="FF000000"/>
        <rFont val="Calibri"/>
        <family val="2"/>
      </rPr>
      <t>int,i</t>
    </r>
    <r>
      <rPr>
        <b/>
        <i/>
        <sz val="12"/>
        <color rgb="FF000000"/>
        <rFont val="Calibri"/>
        <family val="2"/>
        <scheme val="minor"/>
      </rPr>
      <t>-θ</t>
    </r>
    <r>
      <rPr>
        <b/>
        <i/>
        <vertAlign val="subscript"/>
        <sz val="12"/>
        <color rgb="FF000000"/>
        <rFont val="Calibri"/>
        <family val="2"/>
      </rPr>
      <t>e</t>
    </r>
    <r>
      <rPr>
        <b/>
        <i/>
        <sz val="12"/>
        <color rgb="FF000000"/>
        <rFont val="Calibri"/>
        <family val="2"/>
        <scheme val="minor"/>
      </rPr>
      <t xml:space="preserve">)                                 </t>
    </r>
    <r>
      <rPr>
        <b/>
        <sz val="12"/>
        <color rgb="FF000000"/>
        <rFont val="Calibri"/>
        <family val="2"/>
        <scheme val="minor"/>
      </rPr>
      <t xml:space="preserve"> </t>
    </r>
  </si>
  <si>
    <t xml:space="preserve"> [W]</t>
  </si>
  <si>
    <t>3.Bureau</t>
  </si>
  <si>
    <t>4.Escalier</t>
  </si>
  <si>
    <t>18.Approvisionnement</t>
  </si>
  <si>
    <t>15.La trappe</t>
  </si>
  <si>
    <t>9.Coffre-fort</t>
  </si>
  <si>
    <t>Sous-sol</t>
  </si>
  <si>
    <t>15.La trappe/trémis</t>
  </si>
  <si>
    <t>&gt;</t>
  </si>
  <si>
    <t>Apports par l'exterieur</t>
  </si>
  <si>
    <t xml:space="preserve">Coefficients total d'apport directe par l'extérieur </t>
  </si>
  <si>
    <t>bu</t>
  </si>
  <si>
    <r>
      <t>A</t>
    </r>
    <r>
      <rPr>
        <b/>
        <i/>
        <vertAlign val="subscript"/>
        <sz val="12"/>
        <color theme="1"/>
        <rFont val="Calibri (Corps)"/>
      </rPr>
      <t>k</t>
    </r>
    <r>
      <rPr>
        <b/>
        <i/>
        <sz val="12"/>
        <color theme="1"/>
        <rFont val="Calibri"/>
        <family val="2"/>
        <scheme val="minor"/>
      </rPr>
      <t>.U</t>
    </r>
    <r>
      <rPr>
        <b/>
        <i/>
        <vertAlign val="subscript"/>
        <sz val="12"/>
        <color theme="1"/>
        <rFont val="Calibri (Corps)"/>
      </rPr>
      <t>k</t>
    </r>
    <r>
      <rPr>
        <b/>
        <i/>
        <sz val="12"/>
        <color theme="1"/>
        <rFont val="Calibri"/>
        <family val="2"/>
        <scheme val="minor"/>
      </rPr>
      <t>.bu</t>
    </r>
  </si>
  <si>
    <t>Coefficients total d'apport direct à travers espaces non chauffées (H iue)</t>
  </si>
  <si>
    <t>Apports directs par le sol</t>
  </si>
  <si>
    <r>
      <t>e</t>
    </r>
    <r>
      <rPr>
        <b/>
        <i/>
        <vertAlign val="subscript"/>
        <sz val="12"/>
        <color theme="1"/>
        <rFont val="Calibri (Corps)"/>
      </rPr>
      <t>k</t>
    </r>
  </si>
  <si>
    <t xml:space="preserve">Coefficients total d'apport direct à travers le sol </t>
  </si>
  <si>
    <t xml:space="preserve">Apports vers des espaces chauffés à des températures différentes </t>
  </si>
  <si>
    <t>O + S</t>
  </si>
  <si>
    <t>Via le Mur</t>
  </si>
  <si>
    <t>Via la porte</t>
  </si>
  <si>
    <t>N + E + S</t>
  </si>
  <si>
    <t>Coefficient total d'apports vers des espaces chauffés à des températures différentes</t>
  </si>
  <si>
    <t xml:space="preserve">Coefficient total d'apports par transmission </t>
  </si>
  <si>
    <t>Ecart de température équivalent</t>
  </si>
  <si>
    <r>
      <t>ΔT</t>
    </r>
    <r>
      <rPr>
        <vertAlign val="subscript"/>
        <sz val="12"/>
        <color theme="1"/>
        <rFont val="Calibri (Corps)"/>
      </rPr>
      <t>éq</t>
    </r>
  </si>
  <si>
    <t xml:space="preserve">Apports de base par transmission avec l'extérieur                                     𝚽T,i=HT,i.ΔTéq       </t>
  </si>
  <si>
    <t>Paroi Blanche</t>
  </si>
  <si>
    <t>SDR 3</t>
  </si>
  <si>
    <t>Paroi intérieur rouge</t>
  </si>
  <si>
    <t>Apports de base par transmission avec les pièces adjacentes</t>
  </si>
  <si>
    <t>Apports totals de la pièce</t>
  </si>
  <si>
    <t>Salle d'attente 17</t>
  </si>
  <si>
    <t>BY Sabir</t>
  </si>
  <si>
    <t xml:space="preserve">Aucune </t>
  </si>
  <si>
    <r>
      <rPr>
        <b/>
        <i/>
        <sz val="12"/>
        <color rgb="FF000000"/>
        <rFont val="Calibri"/>
        <family val="2"/>
        <scheme val="minor"/>
      </rPr>
      <t>b</t>
    </r>
    <r>
      <rPr>
        <b/>
        <i/>
        <vertAlign val="subscript"/>
        <sz val="12"/>
        <color rgb="FF000000"/>
        <rFont val="Calibri"/>
        <family val="2"/>
      </rPr>
      <t>u</t>
    </r>
  </si>
  <si>
    <t>Paroi blanche WC</t>
  </si>
  <si>
    <t>Paroi interieur rouge bornes</t>
  </si>
  <si>
    <t>Vitre</t>
  </si>
  <si>
    <t>Paroi blanche SDR</t>
  </si>
  <si>
    <t>Paroi blanche SECRETARIAT</t>
  </si>
  <si>
    <t>Paroi rouge trappes</t>
  </si>
  <si>
    <t xml:space="preserve">S-E </t>
  </si>
  <si>
    <t>Paroi intérieur rouge couloir anis</t>
  </si>
  <si>
    <t>Paroi interieur blanche toilette homme</t>
  </si>
  <si>
    <t xml:space="preserve">16.Salle de réunion </t>
  </si>
  <si>
    <t>15.secretariat</t>
  </si>
  <si>
    <t xml:space="preserve">21.WC </t>
  </si>
  <si>
    <t>20wc</t>
  </si>
  <si>
    <t>19wc</t>
  </si>
  <si>
    <t>18wc</t>
  </si>
  <si>
    <t>Bureau 4</t>
  </si>
  <si>
    <t>by BEN</t>
  </si>
  <si>
    <t>SDR 16</t>
  </si>
  <si>
    <t>by Sabir</t>
  </si>
  <si>
    <t xml:space="preserve">kitchenette BEN </t>
  </si>
  <si>
    <t>Kitchen</t>
  </si>
  <si>
    <t>F</t>
  </si>
  <si>
    <t>fenetre</t>
  </si>
  <si>
    <t>g</t>
  </si>
  <si>
    <t xml:space="preserve">Fenêtre </t>
  </si>
  <si>
    <t>vers tremis</t>
  </si>
  <si>
    <t>C.3.5 p62</t>
  </si>
  <si>
    <t>vers escalier</t>
  </si>
  <si>
    <t>Paroi Blanche Toilette</t>
  </si>
  <si>
    <t xml:space="preserve">e </t>
  </si>
  <si>
    <t>Vers toilette pmr</t>
  </si>
  <si>
    <t>Vers coffre fort</t>
  </si>
  <si>
    <t xml:space="preserve">escalier </t>
  </si>
  <si>
    <t>h</t>
  </si>
  <si>
    <t>vers couloir</t>
  </si>
  <si>
    <t>vers porte couloir</t>
  </si>
  <si>
    <t>Paroi Blanche vers secretariat</t>
  </si>
  <si>
    <t>piece mm temp je mets pas</t>
  </si>
  <si>
    <t xml:space="preserve">Déperditions de base par transmission                            𝚽T,i=HT,i.(θint,i-θe)               </t>
  </si>
  <si>
    <t>toilette homme</t>
  </si>
  <si>
    <t xml:space="preserve">Déperditions de base par transmission                                 𝚽T,i=HT,i.(θint,i-θe)               </t>
  </si>
  <si>
    <t>Toilette</t>
  </si>
  <si>
    <t>Toilette individuelle 18</t>
  </si>
  <si>
    <t>coffre fort  escalier toilette pmr  et individuelle</t>
  </si>
  <si>
    <t>inzekitchen</t>
  </si>
  <si>
    <t>Paroi ext</t>
  </si>
  <si>
    <t>0 partout</t>
  </si>
  <si>
    <t>fij</t>
  </si>
  <si>
    <t>tremis</t>
  </si>
  <si>
    <t>escalier</t>
  </si>
  <si>
    <t>porte couloir</t>
  </si>
  <si>
    <t>Bureau 16</t>
  </si>
  <si>
    <t>Bureau 13</t>
  </si>
  <si>
    <t>WC femme (20)</t>
  </si>
  <si>
    <t xml:space="preserve">Paroi Blanche extérieur </t>
  </si>
  <si>
    <t>H</t>
  </si>
  <si>
    <r>
      <rPr>
        <b/>
        <i/>
        <sz val="12"/>
        <color rgb="FF000000"/>
        <rFont val="Calibri"/>
        <family val="2"/>
      </rPr>
      <t>b</t>
    </r>
    <r>
      <rPr>
        <b/>
        <i/>
        <vertAlign val="subscript"/>
        <sz val="12"/>
        <color rgb="FF000000"/>
        <rFont val="Calibri"/>
        <family val="2"/>
      </rPr>
      <t>u</t>
    </r>
  </si>
  <si>
    <r>
      <t>b</t>
    </r>
    <r>
      <rPr>
        <b/>
        <i/>
        <vertAlign val="subscript"/>
        <sz val="12"/>
        <color rgb="FF000000"/>
        <rFont val="Calibri"/>
        <family val="2"/>
      </rPr>
      <t>u</t>
    </r>
  </si>
  <si>
    <r>
      <t>H</t>
    </r>
    <r>
      <rPr>
        <b/>
        <i/>
        <vertAlign val="subscript"/>
        <sz val="12"/>
        <color rgb="FF000000"/>
        <rFont val="Calibri (Corps)"/>
      </rPr>
      <t>T</t>
    </r>
    <r>
      <rPr>
        <b/>
        <i/>
        <sz val="12"/>
        <color rgb="FF000000"/>
        <rFont val="Calibri"/>
        <family val="2"/>
        <scheme val="minor"/>
      </rPr>
      <t>,ᵢᵤₑ</t>
    </r>
  </si>
  <si>
    <t>FIJ</t>
  </si>
  <si>
    <t>Paroi blanche couloir</t>
  </si>
  <si>
    <t>WC homme (21)</t>
  </si>
  <si>
    <t>Paroi extérieur</t>
  </si>
  <si>
    <t>FAUT REFAIRE LES BU</t>
  </si>
  <si>
    <t>Paroi blanche(mur vers wcfemme)</t>
  </si>
  <si>
    <t>Paroi blanche(mur vers wc pmr)</t>
  </si>
  <si>
    <t xml:space="preserve">Coefficients total de déperditions directe à travers des espaces non chauffées </t>
  </si>
  <si>
    <t>Paroi blanche (vers couloir)</t>
  </si>
  <si>
    <t>Paroi blanche (mur vers cafet)</t>
  </si>
  <si>
    <t>ca c'est apport donc je prend pas</t>
  </si>
  <si>
    <t>ca c'est deperditions donc je prend pas</t>
  </si>
  <si>
    <t>WC individuelle (18)</t>
  </si>
  <si>
    <t>Paroi extérieur rouge</t>
  </si>
  <si>
    <t>Paroi blanche WC femme</t>
  </si>
  <si>
    <t>Paroi blanche (avec porte)</t>
  </si>
  <si>
    <t>Paroi blanche(VERS SDR)</t>
  </si>
  <si>
    <t>WC PMR (19)</t>
  </si>
  <si>
    <t>Paroi blanche(PORTE)</t>
  </si>
  <si>
    <t>Paroi blanche(COULOIR)</t>
  </si>
  <si>
    <t>Paroi blanche(CAFET)</t>
  </si>
  <si>
    <t>Paroi blanche wc homme</t>
  </si>
  <si>
    <t>Nom du local</t>
  </si>
  <si>
    <t xml:space="preserve">1.COFFRE FORT </t>
  </si>
  <si>
    <t>2.KITCHENETTE</t>
  </si>
  <si>
    <t>3.ESCALIER</t>
  </si>
  <si>
    <t>4,Bureau4</t>
  </si>
  <si>
    <t xml:space="preserve">5.Bureau 5 </t>
  </si>
  <si>
    <t xml:space="preserve">6.Bureau 6 </t>
  </si>
  <si>
    <t xml:space="preserve">8.Salle de reunion </t>
  </si>
  <si>
    <t xml:space="preserve">9.Couloir droite </t>
  </si>
  <si>
    <t>10.Approvisionnement</t>
  </si>
  <si>
    <t>11.Mini Hall 11</t>
  </si>
  <si>
    <t>12.Entrée</t>
  </si>
  <si>
    <t>13.Mini Hall 12</t>
  </si>
  <si>
    <t>14.Distrib</t>
  </si>
  <si>
    <t>15.Secretariat</t>
  </si>
  <si>
    <t>16. Salle de réunion</t>
  </si>
  <si>
    <t>17.Salle d'attente</t>
  </si>
  <si>
    <t>18.WC individuelle</t>
  </si>
  <si>
    <t>19.WC PMR</t>
  </si>
  <si>
    <t>20.WC femme</t>
  </si>
  <si>
    <t>21.WC homme</t>
  </si>
  <si>
    <t xml:space="preserve">22. Trappe </t>
  </si>
  <si>
    <t>Trémis 23</t>
  </si>
  <si>
    <t>ca c'est pour la clim</t>
  </si>
  <si>
    <t>Volume intérieur du local</t>
  </si>
  <si>
    <r>
      <t>V</t>
    </r>
    <r>
      <rPr>
        <vertAlign val="subscript"/>
        <sz val="12"/>
        <color theme="1"/>
        <rFont val="Calibri (Corps)"/>
      </rPr>
      <t>i</t>
    </r>
  </si>
  <si>
    <r>
      <t>m</t>
    </r>
    <r>
      <rPr>
        <vertAlign val="superscript"/>
        <sz val="12"/>
        <color theme="1"/>
        <rFont val="Calibri (Corps)"/>
      </rPr>
      <t>3</t>
    </r>
  </si>
  <si>
    <t>Température extérieure</t>
  </si>
  <si>
    <t>Température intérieure</t>
  </si>
  <si>
    <t>Ecart de température</t>
  </si>
  <si>
    <t>besoins mini d'hygiène</t>
  </si>
  <si>
    <t>Taux de renouvellement d'air hygiénique minimal</t>
  </si>
  <si>
    <r>
      <t>n</t>
    </r>
    <r>
      <rPr>
        <vertAlign val="subscript"/>
        <sz val="12"/>
        <color theme="1"/>
        <rFont val="Calibri (Corps)"/>
      </rPr>
      <t>min,i</t>
    </r>
  </si>
  <si>
    <r>
      <t>h</t>
    </r>
    <r>
      <rPr>
        <vertAlign val="superscript"/>
        <sz val="12"/>
        <color theme="1"/>
        <rFont val="Calibri (Corps)"/>
      </rPr>
      <t>-1</t>
    </r>
  </si>
  <si>
    <t>Débit d'air hygiénique minimal</t>
  </si>
  <si>
    <r>
      <t>V'</t>
    </r>
    <r>
      <rPr>
        <vertAlign val="subscript"/>
        <sz val="12"/>
        <color theme="1"/>
        <rFont val="Calibri (Corps)"/>
      </rPr>
      <t>min,i</t>
    </r>
  </si>
  <si>
    <r>
      <t>m</t>
    </r>
    <r>
      <rPr>
        <vertAlign val="superscript"/>
        <sz val="12"/>
        <color theme="1"/>
        <rFont val="Calibri (Corps)"/>
      </rPr>
      <t>3</t>
    </r>
    <r>
      <rPr>
        <sz val="12"/>
        <color theme="1"/>
        <rFont val="Calibri"/>
        <family val="2"/>
        <scheme val="minor"/>
      </rPr>
      <t>/h</t>
    </r>
  </si>
  <si>
    <t>Débit d'infiltration</t>
  </si>
  <si>
    <t>Ouvertures exposées</t>
  </si>
  <si>
    <t>Taux de renouvellement d'air à 50 Pa</t>
  </si>
  <si>
    <r>
      <t>n</t>
    </r>
    <r>
      <rPr>
        <vertAlign val="subscript"/>
        <sz val="12"/>
        <color theme="1"/>
        <rFont val="Calibri (Corps)"/>
      </rPr>
      <t>50</t>
    </r>
  </si>
  <si>
    <t>batiment d'inertie moyen</t>
  </si>
  <si>
    <t>Coefficient d'exposition</t>
  </si>
  <si>
    <t>Facteur correctif de hauteur</t>
  </si>
  <si>
    <t>𝜀</t>
  </si>
  <si>
    <r>
      <t xml:space="preserve">Débit d'infiltration d'air                           </t>
    </r>
    <r>
      <rPr>
        <i/>
        <sz val="12"/>
        <color theme="1"/>
        <rFont val="Calibri"/>
        <family val="2"/>
        <scheme val="minor"/>
      </rPr>
      <t>V</t>
    </r>
    <r>
      <rPr>
        <i/>
        <vertAlign val="subscript"/>
        <sz val="12"/>
        <color theme="1"/>
        <rFont val="Calibri (Corps)"/>
      </rPr>
      <t>inf,i</t>
    </r>
    <r>
      <rPr>
        <i/>
        <sz val="12"/>
        <color theme="1"/>
        <rFont val="Calibri"/>
        <family val="2"/>
        <scheme val="minor"/>
      </rPr>
      <t xml:space="preserve"> =2.V</t>
    </r>
    <r>
      <rPr>
        <i/>
        <vertAlign val="subscript"/>
        <sz val="12"/>
        <color theme="1"/>
        <rFont val="Calibri (Corps)"/>
      </rPr>
      <t>i</t>
    </r>
    <r>
      <rPr>
        <i/>
        <sz val="12"/>
        <color theme="1"/>
        <rFont val="Calibri"/>
        <family val="2"/>
        <scheme val="minor"/>
      </rPr>
      <t>.n</t>
    </r>
    <r>
      <rPr>
        <i/>
        <vertAlign val="subscript"/>
        <sz val="12"/>
        <color theme="1"/>
        <rFont val="Calibri (Corps)"/>
      </rPr>
      <t>50</t>
    </r>
    <r>
      <rPr>
        <i/>
        <sz val="12"/>
        <color theme="1"/>
        <rFont val="Calibri"/>
        <family val="2"/>
        <scheme val="minor"/>
      </rPr>
      <t>.e.𝜀</t>
    </r>
  </si>
  <si>
    <r>
      <t xml:space="preserve">  V'</t>
    </r>
    <r>
      <rPr>
        <vertAlign val="subscript"/>
        <sz val="12"/>
        <color theme="1"/>
        <rFont val="Calibri (Corps)"/>
      </rPr>
      <t xml:space="preserve">inf,i </t>
    </r>
  </si>
  <si>
    <t>Déperdition par renouvellement d'air</t>
  </si>
  <si>
    <r>
      <t xml:space="preserve">Débit total corrigé de renouvellmnt d'air   </t>
    </r>
    <r>
      <rPr>
        <i/>
        <sz val="12"/>
        <color theme="1"/>
        <rFont val="Calibri"/>
        <family val="2"/>
        <scheme val="minor"/>
      </rPr>
      <t>V'</t>
    </r>
    <r>
      <rPr>
        <i/>
        <vertAlign val="subscript"/>
        <sz val="12"/>
        <color theme="1"/>
        <rFont val="Calibri (Corps)"/>
      </rPr>
      <t>i</t>
    </r>
    <r>
      <rPr>
        <i/>
        <sz val="12"/>
        <color theme="1"/>
        <rFont val="Calibri"/>
        <family val="2"/>
        <scheme val="minor"/>
      </rPr>
      <t xml:space="preserve"> = max(V'</t>
    </r>
    <r>
      <rPr>
        <i/>
        <vertAlign val="subscript"/>
        <sz val="12"/>
        <color theme="1"/>
        <rFont val="Calibri (Corps)"/>
      </rPr>
      <t>inf, i;</t>
    </r>
    <r>
      <rPr>
        <i/>
        <sz val="12"/>
        <color theme="1"/>
        <rFont val="Calibri"/>
        <family val="2"/>
        <scheme val="minor"/>
      </rPr>
      <t>V'</t>
    </r>
    <r>
      <rPr>
        <i/>
        <vertAlign val="subscript"/>
        <sz val="12"/>
        <color theme="1"/>
        <rFont val="Calibri (Corps)"/>
      </rPr>
      <t>min,i</t>
    </r>
    <r>
      <rPr>
        <i/>
        <sz val="12"/>
        <color theme="1"/>
        <rFont val="Calibri"/>
        <family val="2"/>
        <scheme val="minor"/>
      </rPr>
      <t>)</t>
    </r>
  </si>
  <si>
    <r>
      <rPr>
        <i/>
        <sz val="12"/>
        <color theme="1"/>
        <rFont val="Calibri"/>
        <family val="2"/>
        <scheme val="minor"/>
      </rPr>
      <t>V'</t>
    </r>
    <r>
      <rPr>
        <i/>
        <vertAlign val="subscript"/>
        <sz val="12"/>
        <color theme="1"/>
        <rFont val="Calibri (Corps)"/>
      </rPr>
      <t>i</t>
    </r>
  </si>
  <si>
    <t>Coefficient nominal de déperdition par renouvelement d'air</t>
  </si>
  <si>
    <r>
      <rPr>
        <i/>
        <sz val="12"/>
        <color theme="1"/>
        <rFont val="Calibri"/>
        <family val="2"/>
        <scheme val="minor"/>
      </rPr>
      <t>H</t>
    </r>
    <r>
      <rPr>
        <i/>
        <vertAlign val="subscript"/>
        <sz val="12"/>
        <color theme="1"/>
        <rFont val="Calibri (Corps)"/>
      </rPr>
      <t>V,i</t>
    </r>
  </si>
  <si>
    <t>Déperditions de bases par renouvellement d'air  φV,i = HV,i.(θint,l - θe )</t>
  </si>
  <si>
    <t>W</t>
  </si>
  <si>
    <t>1.Toilette femme</t>
  </si>
  <si>
    <t>2.Toilette homme</t>
  </si>
  <si>
    <t>3.Salle de réunion</t>
  </si>
  <si>
    <t>5.Bureau</t>
  </si>
  <si>
    <t>6.Toilette PMR</t>
  </si>
  <si>
    <t>8.Toilette individuelle</t>
  </si>
  <si>
    <t>11.Bureau</t>
  </si>
  <si>
    <t>12.Bureau</t>
  </si>
  <si>
    <t>13.Bureau</t>
  </si>
  <si>
    <t>14.Salle de réunion</t>
  </si>
  <si>
    <t>16.Bureau</t>
  </si>
  <si>
    <t>17.Bornes</t>
  </si>
  <si>
    <t>19.Pièce</t>
  </si>
  <si>
    <t>20.Entrée</t>
  </si>
  <si>
    <t>21.Pièce</t>
  </si>
  <si>
    <t>jsp pour les locaux non chauffé</t>
  </si>
  <si>
    <t>Débit du système de ventillation, températures et facteurs correctifs</t>
  </si>
  <si>
    <t>Air extrait</t>
  </si>
  <si>
    <t>PAS DE VENTILLATION</t>
  </si>
  <si>
    <t>Air amené</t>
  </si>
  <si>
    <t>Température de l'air amené</t>
  </si>
  <si>
    <t>Facteur de réduction</t>
  </si>
  <si>
    <t>Air provenant de locaux ajd.</t>
  </si>
  <si>
    <r>
      <t xml:space="preserve">Air extrait excédentaire bâtiment entirer </t>
    </r>
    <r>
      <rPr>
        <i/>
        <sz val="12"/>
        <color theme="1"/>
        <rFont val="Calibri"/>
        <family val="2"/>
        <scheme val="minor"/>
      </rPr>
      <t>V'</t>
    </r>
    <r>
      <rPr>
        <i/>
        <vertAlign val="subscript"/>
        <sz val="12"/>
        <color theme="1"/>
        <rFont val="Calibri (Corps)"/>
      </rPr>
      <t xml:space="preserve">mech,inf </t>
    </r>
    <r>
      <rPr>
        <i/>
        <sz val="12"/>
        <color theme="1"/>
        <rFont val="Calibri"/>
        <family val="2"/>
        <scheme val="minor"/>
      </rPr>
      <t>= ∑V'</t>
    </r>
    <r>
      <rPr>
        <i/>
        <vertAlign val="subscript"/>
        <sz val="12"/>
        <color theme="1"/>
        <rFont val="Calibri (Corps)"/>
      </rPr>
      <t>ex,i</t>
    </r>
    <r>
      <rPr>
        <i/>
        <sz val="12"/>
        <color theme="1"/>
        <rFont val="Calibri"/>
        <family val="2"/>
        <scheme val="minor"/>
      </rPr>
      <t xml:space="preserve"> - ∑V' </t>
    </r>
    <r>
      <rPr>
        <i/>
        <vertAlign val="subscript"/>
        <sz val="12"/>
        <color theme="1"/>
        <rFont val="Calibri (Corps)"/>
      </rPr>
      <t>SU,i</t>
    </r>
  </si>
  <si>
    <t>m3/h</t>
  </si>
  <si>
    <t>Air extrait excédentaire pièce par pièce</t>
  </si>
  <si>
    <r>
      <t xml:space="preserve">Débit total corrigé de renouvellmnt d'air   </t>
    </r>
    <r>
      <rPr>
        <i/>
        <sz val="12"/>
        <color theme="1"/>
        <rFont val="Calibri"/>
        <family val="2"/>
        <scheme val="minor"/>
      </rPr>
      <t>V'</t>
    </r>
    <r>
      <rPr>
        <i/>
        <vertAlign val="subscript"/>
        <sz val="12"/>
        <color theme="1"/>
        <rFont val="Calibri (Corps)"/>
      </rPr>
      <t>i</t>
    </r>
    <r>
      <rPr>
        <i/>
        <sz val="12"/>
        <color theme="1"/>
        <rFont val="Calibri"/>
        <family val="2"/>
        <scheme val="minor"/>
      </rPr>
      <t xml:space="preserve"> = V'</t>
    </r>
    <r>
      <rPr>
        <i/>
        <vertAlign val="subscript"/>
        <sz val="12"/>
        <color theme="1"/>
        <rFont val="Calibri (Corps)"/>
      </rPr>
      <t>inf, i</t>
    </r>
    <r>
      <rPr>
        <i/>
        <sz val="12"/>
        <color theme="1"/>
        <rFont val="Calibri"/>
        <family val="2"/>
        <scheme val="minor"/>
      </rPr>
      <t>+ V'</t>
    </r>
    <r>
      <rPr>
        <i/>
        <vertAlign val="subscript"/>
        <sz val="12"/>
        <color theme="1"/>
        <rFont val="Calibri (Corps)"/>
      </rPr>
      <t xml:space="preserve">SU,i </t>
    </r>
    <r>
      <rPr>
        <i/>
        <sz val="12"/>
        <color theme="1"/>
        <rFont val="Calibri"/>
        <family val="2"/>
        <scheme val="minor"/>
      </rPr>
      <t>+ V'</t>
    </r>
    <r>
      <rPr>
        <i/>
        <vertAlign val="subscript"/>
        <sz val="12"/>
        <color theme="1"/>
        <rFont val="Calibri (Corps)"/>
      </rPr>
      <t>mech,inf,i</t>
    </r>
  </si>
  <si>
    <r>
      <t xml:space="preserve">Déperditions de bases par renouvellement d'air </t>
    </r>
    <r>
      <rPr>
        <i/>
        <sz val="12"/>
        <color theme="1"/>
        <rFont val="Calibri"/>
        <family val="2"/>
        <scheme val="minor"/>
      </rPr>
      <t xml:space="preserve"> φ</t>
    </r>
    <r>
      <rPr>
        <i/>
        <vertAlign val="subscript"/>
        <sz val="12"/>
        <color theme="1"/>
        <rFont val="Calibri (Corps)"/>
      </rPr>
      <t xml:space="preserve">V,i </t>
    </r>
    <r>
      <rPr>
        <i/>
        <sz val="12"/>
        <color theme="1"/>
        <rFont val="Calibri"/>
        <family val="2"/>
        <scheme val="minor"/>
      </rPr>
      <t>= H</t>
    </r>
    <r>
      <rPr>
        <i/>
        <vertAlign val="subscript"/>
        <sz val="12"/>
        <color theme="1"/>
        <rFont val="Calibri (Corps)"/>
      </rPr>
      <t>V,i</t>
    </r>
    <r>
      <rPr>
        <i/>
        <sz val="12"/>
        <color theme="1"/>
        <rFont val="Calibri"/>
        <family val="2"/>
        <scheme val="minor"/>
      </rPr>
      <t>.θ</t>
    </r>
    <r>
      <rPr>
        <i/>
        <vertAlign val="subscript"/>
        <sz val="12"/>
        <color theme="1"/>
        <rFont val="Calibri (Corps)"/>
      </rPr>
      <t xml:space="preserve">int,l </t>
    </r>
    <r>
      <rPr>
        <i/>
        <sz val="12"/>
        <color theme="1"/>
        <rFont val="Calibri"/>
        <family val="2"/>
        <scheme val="minor"/>
      </rPr>
      <t>- θ</t>
    </r>
    <r>
      <rPr>
        <i/>
        <vertAlign val="subscript"/>
        <sz val="12"/>
        <color theme="1"/>
        <rFont val="Calibri (Corps)"/>
      </rPr>
      <t>e</t>
    </r>
  </si>
  <si>
    <r>
      <t xml:space="preserve">  φ</t>
    </r>
    <r>
      <rPr>
        <vertAlign val="subscript"/>
        <sz val="12"/>
        <color theme="1"/>
        <rFont val="Calibri (Corps)"/>
      </rPr>
      <t xml:space="preserve">V,i </t>
    </r>
  </si>
  <si>
    <t xml:space="preserve">W </t>
  </si>
  <si>
    <t>Facteur de relance</t>
  </si>
  <si>
    <t>Air de planche</t>
  </si>
  <si>
    <t>Surpuissance de relance</t>
  </si>
  <si>
    <r>
      <rPr>
        <i/>
        <sz val="12"/>
        <color theme="1"/>
        <rFont val="Calibri"/>
        <family val="2"/>
        <scheme val="minor"/>
      </rPr>
      <t>f</t>
    </r>
    <r>
      <rPr>
        <i/>
        <vertAlign val="subscript"/>
        <sz val="12"/>
        <color theme="1"/>
        <rFont val="Calibri (Corps)"/>
      </rPr>
      <t>RH</t>
    </r>
  </si>
  <si>
    <r>
      <rPr>
        <i/>
        <sz val="12"/>
        <color theme="1"/>
        <rFont val="Calibri"/>
        <family val="2"/>
        <scheme val="minor"/>
      </rPr>
      <t>A</t>
    </r>
    <r>
      <rPr>
        <i/>
        <vertAlign val="subscript"/>
        <sz val="12"/>
        <color theme="1"/>
        <rFont val="Calibri (Corps)"/>
      </rPr>
      <t xml:space="preserve">i </t>
    </r>
  </si>
  <si>
    <r>
      <t>φ</t>
    </r>
    <r>
      <rPr>
        <vertAlign val="subscript"/>
        <sz val="12"/>
        <color theme="1"/>
        <rFont val="Calibri (Corps)"/>
      </rPr>
      <t>RH,i</t>
    </r>
    <r>
      <rPr>
        <sz val="12"/>
        <color theme="1"/>
        <rFont val="Calibri"/>
        <family val="2"/>
        <scheme val="minor"/>
      </rPr>
      <t xml:space="preserve"> = f</t>
    </r>
    <r>
      <rPr>
        <vertAlign val="subscript"/>
        <sz val="12"/>
        <color theme="1"/>
        <rFont val="Calibri (Corps)"/>
      </rPr>
      <t>RH</t>
    </r>
    <r>
      <rPr>
        <sz val="12"/>
        <color theme="1"/>
        <rFont val="Calibri"/>
        <family val="2"/>
        <scheme val="minor"/>
      </rPr>
      <t>.A</t>
    </r>
    <r>
      <rPr>
        <vertAlign val="subscript"/>
        <sz val="12"/>
        <color theme="1"/>
        <rFont val="Calibri (Corps)"/>
      </rPr>
      <t>i</t>
    </r>
  </si>
  <si>
    <r>
      <t>W/m</t>
    </r>
    <r>
      <rPr>
        <vertAlign val="superscript"/>
        <sz val="12"/>
        <color theme="1"/>
        <rFont val="Calibri (Corps)"/>
      </rPr>
      <t>2</t>
    </r>
  </si>
  <si>
    <t>4.Bureau 4</t>
  </si>
  <si>
    <t>5.Bureau5</t>
  </si>
  <si>
    <t>6.Bureau 6</t>
  </si>
  <si>
    <t>8.SDR</t>
  </si>
  <si>
    <t>9.Couloir droite</t>
  </si>
  <si>
    <t>11.mini Hall 11</t>
  </si>
  <si>
    <t>13.Mini hall 13</t>
  </si>
  <si>
    <t>16.SDR</t>
  </si>
  <si>
    <t>17. Salle d'attente</t>
  </si>
  <si>
    <t>22.Trappe</t>
  </si>
  <si>
    <t>23.Trémis</t>
  </si>
  <si>
    <t>Charge thermique par transmission</t>
  </si>
  <si>
    <t>Charge thermique par renouvellement d'air</t>
  </si>
  <si>
    <t>Charge thermique totale</t>
  </si>
  <si>
    <t>Volume</t>
  </si>
  <si>
    <r>
      <rPr>
        <sz val="12"/>
        <color rgb="FF000000"/>
        <rFont val="Calibri"/>
        <family val="2"/>
        <scheme val="minor"/>
      </rPr>
      <t>φ</t>
    </r>
    <r>
      <rPr>
        <vertAlign val="subscript"/>
        <sz val="12"/>
        <color rgb="FF000000"/>
        <rFont val="Calibri (Corps)"/>
      </rPr>
      <t>T,i</t>
    </r>
  </si>
  <si>
    <r>
      <rPr>
        <sz val="12"/>
        <color rgb="FF000000"/>
        <rFont val="Calibri"/>
        <family val="2"/>
        <scheme val="minor"/>
      </rPr>
      <t>φ</t>
    </r>
    <r>
      <rPr>
        <vertAlign val="subscript"/>
        <sz val="12"/>
        <color rgb="FF000000"/>
        <rFont val="Calibri (Corps)"/>
      </rPr>
      <t>V,i</t>
    </r>
  </si>
  <si>
    <r>
      <t>φ</t>
    </r>
    <r>
      <rPr>
        <vertAlign val="subscript"/>
        <sz val="12"/>
        <color rgb="FF000000"/>
        <rFont val="Calibri"/>
        <family val="2"/>
        <scheme val="minor"/>
      </rPr>
      <t>RH,i</t>
    </r>
    <r>
      <rPr>
        <sz val="12"/>
        <color rgb="FF000000"/>
        <rFont val="Calibri"/>
        <family val="2"/>
        <scheme val="minor"/>
      </rPr>
      <t xml:space="preserve"> </t>
    </r>
  </si>
  <si>
    <r>
      <t>φ</t>
    </r>
    <r>
      <rPr>
        <vertAlign val="subscript"/>
        <sz val="12"/>
        <color theme="1"/>
        <rFont val="Calibri (Corps)"/>
      </rPr>
      <t>Hl,i</t>
    </r>
  </si>
  <si>
    <t>Vi</t>
  </si>
  <si>
    <t>m³</t>
  </si>
  <si>
    <t>perte pourcentage</t>
  </si>
  <si>
    <t>perte/m²</t>
  </si>
  <si>
    <t>11/12/13. Entrée</t>
  </si>
  <si>
    <t>pourcentage perte</t>
  </si>
  <si>
    <t xml:space="preserve">Ombre </t>
  </si>
  <si>
    <t>Ensoleillé</t>
  </si>
  <si>
    <t>32 ext pas 28</t>
  </si>
  <si>
    <r>
      <t>ΔT</t>
    </r>
    <r>
      <rPr>
        <vertAlign val="subscript"/>
        <sz val="12"/>
        <color theme="1"/>
        <rFont val="Calibri (Corps)"/>
      </rPr>
      <t>es</t>
    </r>
  </si>
  <si>
    <r>
      <t>ΔT</t>
    </r>
    <r>
      <rPr>
        <vertAlign val="subscript"/>
        <sz val="12"/>
        <color theme="1"/>
        <rFont val="Calibri (Corps)"/>
      </rPr>
      <t>em</t>
    </r>
  </si>
  <si>
    <r>
      <t>R</t>
    </r>
    <r>
      <rPr>
        <vertAlign val="subscript"/>
        <sz val="12"/>
        <color theme="1"/>
        <rFont val="Calibri (Corps)"/>
      </rPr>
      <t>m</t>
    </r>
  </si>
  <si>
    <t>Rs</t>
  </si>
  <si>
    <t>Surface</t>
  </si>
  <si>
    <r>
      <t xml:space="preserve">Gains </t>
    </r>
    <r>
      <rPr>
        <i/>
        <vertAlign val="subscript"/>
        <sz val="12"/>
        <color theme="1"/>
        <rFont val="Calibri (Corps)"/>
      </rPr>
      <t>transmission p.o.</t>
    </r>
  </si>
  <si>
    <t>m²</t>
  </si>
  <si>
    <t>Paroi à l'ombre</t>
  </si>
  <si>
    <t>Mur Nord</t>
  </si>
  <si>
    <t>3.Salle de réunion (kitchenette)</t>
  </si>
  <si>
    <t>5.Bureau 4</t>
  </si>
  <si>
    <t>Paroi ensoleillé</t>
  </si>
  <si>
    <t>1.Bureau 4</t>
  </si>
  <si>
    <t>2.Bureau 5</t>
  </si>
  <si>
    <t>5.Bureau  6</t>
  </si>
  <si>
    <t>6.Bureau 7</t>
  </si>
  <si>
    <t>comment on trouve les temperatures des pieces qui sont pas ds le cdc</t>
  </si>
  <si>
    <t xml:space="preserve">Température extérieure </t>
  </si>
  <si>
    <t xml:space="preserve">T </t>
  </si>
  <si>
    <t>Gain par transmission</t>
  </si>
  <si>
    <r>
      <t>U</t>
    </r>
    <r>
      <rPr>
        <vertAlign val="subscript"/>
        <sz val="12"/>
        <color theme="1"/>
        <rFont val="Calibri (Corps)"/>
      </rPr>
      <t>w</t>
    </r>
  </si>
  <si>
    <r>
      <t>S</t>
    </r>
    <r>
      <rPr>
        <vertAlign val="subscript"/>
        <sz val="12"/>
        <color theme="1"/>
        <rFont val="Calibri (Corps)"/>
      </rPr>
      <t>v</t>
    </r>
  </si>
  <si>
    <t>ΔT</t>
  </si>
  <si>
    <r>
      <rPr>
        <sz val="12"/>
        <color rgb="FF000000"/>
        <rFont val="Calibri"/>
        <family val="2"/>
        <scheme val="minor"/>
      </rPr>
      <t>Gain</t>
    </r>
    <r>
      <rPr>
        <vertAlign val="subscript"/>
        <sz val="12"/>
        <color rgb="FF000000"/>
        <rFont val="Calibri"/>
        <family val="2"/>
      </rPr>
      <t>transmission</t>
    </r>
  </si>
  <si>
    <r>
      <t xml:space="preserve">Gains </t>
    </r>
    <r>
      <rPr>
        <b/>
        <sz val="8"/>
        <color theme="1"/>
        <rFont val="Calibri (Corps)"/>
      </rPr>
      <t>ensol vitrage simple</t>
    </r>
  </si>
  <si>
    <r>
      <t xml:space="preserve">Coefficient </t>
    </r>
    <r>
      <rPr>
        <b/>
        <sz val="9"/>
        <color theme="1"/>
        <rFont val="Calibri (Corps)"/>
      </rPr>
      <t>avec/sans écran</t>
    </r>
  </si>
  <si>
    <r>
      <rPr>
        <b/>
        <sz val="12"/>
        <color theme="1"/>
        <rFont val="Calibri"/>
        <family val="2"/>
        <scheme val="minor"/>
      </rPr>
      <t>Gains</t>
    </r>
    <r>
      <rPr>
        <sz val="12"/>
        <color theme="1"/>
        <rFont val="Calibri"/>
        <family val="2"/>
        <scheme val="minor"/>
      </rPr>
      <t xml:space="preserve"> ensoleillement</t>
    </r>
  </si>
  <si>
    <t>nbr de vitre</t>
  </si>
  <si>
    <t>[/]</t>
  </si>
  <si>
    <t>Coefficient de conversion kcal/h en w</t>
  </si>
  <si>
    <t>Coef. Encadrement</t>
  </si>
  <si>
    <r>
      <t>W/m</t>
    </r>
    <r>
      <rPr>
        <vertAlign val="superscript"/>
        <sz val="12"/>
        <color theme="1"/>
        <rFont val="Calibri (Corps)"/>
      </rPr>
      <t>2</t>
    </r>
    <r>
      <rPr>
        <sz val="12"/>
        <color theme="1"/>
        <rFont val="Calibri"/>
        <family val="2"/>
        <scheme val="minor"/>
      </rPr>
      <t>K</t>
    </r>
  </si>
  <si>
    <t>K</t>
  </si>
  <si>
    <t>Bureau 4 [E]</t>
  </si>
  <si>
    <t>Bureau 5[E]</t>
  </si>
  <si>
    <t>Bureau 6 a[E]</t>
  </si>
  <si>
    <t>Bureau 6 b[E]</t>
  </si>
  <si>
    <t>Bureau 7 a[E]</t>
  </si>
  <si>
    <t>Bureau 7 b[E]</t>
  </si>
  <si>
    <t>SDR 8 vitre[E]</t>
  </si>
  <si>
    <t>SDR 8 vitrage[E]</t>
  </si>
  <si>
    <t>SDR 8 vitrage[S]</t>
  </si>
  <si>
    <t>Mini hall 11 [S]</t>
  </si>
  <si>
    <t>Porte d'entrée [S]</t>
  </si>
  <si>
    <t xml:space="preserve"> Vitre entrée [S]</t>
  </si>
  <si>
    <t>Mini hall 13 [S]</t>
  </si>
  <si>
    <t>Secretaria extreme [S]</t>
  </si>
  <si>
    <t>Secretariat [S]</t>
  </si>
  <si>
    <t>TOTAL</t>
  </si>
  <si>
    <t xml:space="preserve">quel ligne ds double vitrage et ds quel colonne </t>
  </si>
  <si>
    <t>faut prendre a quel heure? 15? Ou prendre la valeur max?</t>
  </si>
  <si>
    <t>GSM FAUT PRENDRE 2W</t>
  </si>
  <si>
    <t>presence humaine</t>
  </si>
  <si>
    <t>Puissance présence humaine</t>
  </si>
  <si>
    <t>Eclairage</t>
  </si>
  <si>
    <t>Matériel informatique et électronique</t>
  </si>
  <si>
    <t>Apports totaux</t>
  </si>
  <si>
    <t>PC fixe</t>
  </si>
  <si>
    <t>Imprimante</t>
  </si>
  <si>
    <t>Tél fixe</t>
  </si>
  <si>
    <t>distrib billet</t>
  </si>
  <si>
    <r>
      <t>Gains</t>
    </r>
    <r>
      <rPr>
        <b/>
        <sz val="12"/>
        <color theme="1"/>
        <rFont val="Arial"/>
        <family val="2"/>
      </rPr>
      <t>transmission p.o.</t>
    </r>
  </si>
  <si>
    <r>
      <t>Gains</t>
    </r>
    <r>
      <rPr>
        <b/>
        <sz val="12"/>
        <color theme="1"/>
        <rFont val="Arial"/>
        <family val="2"/>
      </rPr>
      <t>transmission</t>
    </r>
  </si>
  <si>
    <r>
      <t>Gains</t>
    </r>
    <r>
      <rPr>
        <b/>
        <sz val="12"/>
        <color theme="1"/>
        <rFont val="Arial"/>
        <family val="2"/>
      </rPr>
      <t>ensoleillement</t>
    </r>
  </si>
  <si>
    <t>Apport total</t>
  </si>
  <si>
    <t>Apports internes entre pieces</t>
  </si>
  <si>
    <t>Apports externes</t>
  </si>
  <si>
    <t>Apports internes</t>
  </si>
  <si>
    <t>air plancher</t>
  </si>
  <si>
    <t>apport par m²</t>
  </si>
  <si>
    <t>Déperditons totales [W]</t>
  </si>
  <si>
    <t>Apports totaux [W]</t>
  </si>
  <si>
    <t>Types</t>
  </si>
  <si>
    <t>Internes</t>
  </si>
  <si>
    <t>Externes</t>
  </si>
  <si>
    <t>Renouvellement d'air</t>
  </si>
  <si>
    <t>- Parois vitrées</t>
  </si>
  <si>
    <t>- Parois opaques</t>
  </si>
  <si>
    <t xml:space="preserve">apport </t>
  </si>
  <si>
    <t>%</t>
  </si>
  <si>
    <t>Part du total en %</t>
  </si>
  <si>
    <t xml:space="preserve">GAIN VITRE ORDINAIRE </t>
  </si>
  <si>
    <t>APPORTS TOTAL</t>
  </si>
  <si>
    <t xml:space="preserve">HYPOTHESE : </t>
  </si>
  <si>
    <t>Double vitrage 4/16/4</t>
  </si>
  <si>
    <t>Ponts thermique négliger a part pour les vitres</t>
  </si>
  <si>
    <t>chaleur latente de vaporisation de l'eau</t>
  </si>
  <si>
    <t>2,45*10^6 J/kg</t>
  </si>
  <si>
    <t>Q eau J/kg/3600</t>
  </si>
  <si>
    <t>la plus ptit d on a pris 20</t>
  </si>
  <si>
    <t>SE/S</t>
  </si>
  <si>
    <t>gsm</t>
  </si>
  <si>
    <t xml:space="preserve">pourquoi si faible inertie diminiue </t>
  </si>
  <si>
    <t xml:space="preserve">bureau 4 3 persn </t>
  </si>
  <si>
    <t>pas ecouter sabir ce golmon</t>
  </si>
  <si>
    <t>AHAHAAHA</t>
  </si>
  <si>
    <t xml:space="preserve">Non cv c une source fiable </t>
  </si>
  <si>
    <t>il melange tt et il melange vos cerveau en meme temps</t>
  </si>
  <si>
    <t xml:space="preserve">T un hagar aaahahah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</si>
</sst>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 #,##0.00_-;_-* &quot;-&quot;??_-;_-@_-"/>
    <numFmt numFmtId="164" formatCode="0.000"/>
    <numFmt numFmtId="165" formatCode="0.0000"/>
    <numFmt numFmtId="166" formatCode="0.0"/>
    <numFmt numFmtId="167" formatCode="_-* #,##0.0_-;\-* #,##0.0_-;_-* &quot;-&quot;??_-;_-@_-"/>
    <numFmt numFmtId="168" formatCode="_-* #,##0_-;\-* #,##0_-;_-* &quot;-&quot;??_-;_-@_-"/>
  </numFmts>
  <fonts count="51">
    <font>
      <sz val="12"/>
      <color theme="1"/>
      <name val="Calibri"/>
      <family val="2"/>
      <scheme val="minor"/>
    </font>
    <font>
      <sz val="14"/>
      <color theme="1"/>
      <name val="Calibri"/>
      <family val="2"/>
      <scheme val="minor"/>
    </font>
    <font>
      <b/>
      <sz val="14"/>
      <color theme="1"/>
      <name val="Calibri"/>
      <family val="2"/>
      <scheme val="minor"/>
    </font>
    <font>
      <b/>
      <sz val="20"/>
      <color theme="1"/>
      <name val="Calibri"/>
      <family val="2"/>
      <scheme val="minor"/>
    </font>
    <font>
      <b/>
      <sz val="12"/>
      <color theme="1"/>
      <name val="Calibri"/>
      <family val="2"/>
      <scheme val="minor"/>
    </font>
    <font>
      <b/>
      <sz val="11"/>
      <color theme="1"/>
      <name val="Calibri"/>
      <family val="2"/>
    </font>
    <font>
      <b/>
      <sz val="12"/>
      <color rgb="FF000000"/>
      <name val="Calibri"/>
      <family val="2"/>
      <scheme val="minor"/>
    </font>
    <font>
      <i/>
      <sz val="12"/>
      <color theme="1"/>
      <name val="Calibri"/>
      <family val="2"/>
      <scheme val="minor"/>
    </font>
    <font>
      <sz val="12"/>
      <color rgb="FF000000"/>
      <name val="Calibri"/>
      <family val="2"/>
    </font>
    <font>
      <sz val="9"/>
      <color theme="1"/>
      <name val="Calibri (Corps)"/>
    </font>
    <font>
      <sz val="9"/>
      <color theme="1"/>
      <name val="Calibri"/>
      <family val="2"/>
      <scheme val="minor"/>
    </font>
    <font>
      <b/>
      <i/>
      <sz val="12"/>
      <color theme="1"/>
      <name val="Calibri"/>
      <family val="2"/>
      <scheme val="minor"/>
    </font>
    <font>
      <vertAlign val="superscript"/>
      <sz val="12"/>
      <color theme="1"/>
      <name val="Calibri (Corps)"/>
    </font>
    <font>
      <vertAlign val="subscript"/>
      <sz val="12"/>
      <color theme="1"/>
      <name val="Calibri (Corps)"/>
    </font>
    <font>
      <b/>
      <i/>
      <vertAlign val="subscript"/>
      <sz val="12"/>
      <color theme="1"/>
      <name val="Calibri (Corps)"/>
    </font>
    <font>
      <b/>
      <vertAlign val="subscript"/>
      <sz val="12"/>
      <color theme="1"/>
      <name val="Calibri (Corps)"/>
    </font>
    <font>
      <b/>
      <sz val="12"/>
      <color rgb="FF000000"/>
      <name val="Calibri"/>
      <family val="2"/>
    </font>
    <font>
      <b/>
      <i/>
      <sz val="12"/>
      <color rgb="FF000000"/>
      <name val="Calibri"/>
      <family val="2"/>
    </font>
    <font>
      <b/>
      <i/>
      <vertAlign val="subscript"/>
      <sz val="12"/>
      <color rgb="FF000000"/>
      <name val="Calibri"/>
      <family val="2"/>
    </font>
    <font>
      <sz val="12"/>
      <color rgb="FF000000"/>
      <name val="Calibri"/>
      <family val="2"/>
      <scheme val="minor"/>
    </font>
    <font>
      <b/>
      <i/>
      <sz val="12"/>
      <color rgb="FF000000"/>
      <name val="Calibri"/>
      <family val="2"/>
      <scheme val="minor"/>
    </font>
    <font>
      <i/>
      <sz val="12"/>
      <color rgb="FF000000"/>
      <name val="Calibri"/>
      <family val="2"/>
      <scheme val="minor"/>
    </font>
    <font>
      <i/>
      <sz val="12"/>
      <color rgb="FF000000"/>
      <name val="Calibri"/>
      <family val="2"/>
    </font>
    <font>
      <b/>
      <i/>
      <vertAlign val="subscript"/>
      <sz val="12"/>
      <color rgb="FF000000"/>
      <name val="Calibri"/>
      <family val="2"/>
      <scheme val="minor"/>
    </font>
    <font>
      <vertAlign val="superscript"/>
      <sz val="12"/>
      <color rgb="FF000000"/>
      <name val="Calibri"/>
      <family val="2"/>
      <scheme val="minor"/>
    </font>
    <font>
      <b/>
      <vertAlign val="subscript"/>
      <sz val="12"/>
      <color rgb="FF000000"/>
      <name val="Calibri"/>
      <family val="2"/>
      <scheme val="minor"/>
    </font>
    <font>
      <vertAlign val="subscript"/>
      <sz val="12"/>
      <color rgb="FF000000"/>
      <name val="Calibri"/>
      <family val="2"/>
      <scheme val="minor"/>
    </font>
    <font>
      <b/>
      <i/>
      <vertAlign val="subscript"/>
      <sz val="12"/>
      <color rgb="FF000000"/>
      <name val="Calibri (Corps)"/>
    </font>
    <font>
      <b/>
      <sz val="12"/>
      <color theme="1"/>
      <name val="Aptos Narrow"/>
      <family val="2"/>
    </font>
    <font>
      <i/>
      <vertAlign val="subscript"/>
      <sz val="12"/>
      <color theme="1"/>
      <name val="Calibri (Corps)"/>
    </font>
    <font>
      <sz val="22"/>
      <color rgb="FFFF0000"/>
      <name val="Calibri"/>
      <family val="2"/>
      <scheme val="minor"/>
    </font>
    <font>
      <sz val="22"/>
      <color theme="1"/>
      <name val="Calibri"/>
      <family val="2"/>
      <scheme val="minor"/>
    </font>
    <font>
      <sz val="12"/>
      <color theme="1"/>
      <name val="Calibri (Corps)"/>
    </font>
    <font>
      <sz val="12"/>
      <color rgb="FFC00000"/>
      <name val="Calibri"/>
      <family val="2"/>
      <scheme val="minor"/>
    </font>
    <font>
      <vertAlign val="subscript"/>
      <sz val="12"/>
      <color rgb="FF000000"/>
      <name val="Calibri (Corps)"/>
    </font>
    <font>
      <sz val="12"/>
      <color rgb="FFFF0000"/>
      <name val="Calibri"/>
      <family val="2"/>
      <scheme val="minor"/>
    </font>
    <font>
      <sz val="10"/>
      <color theme="1"/>
      <name val="Calibri (Corps)"/>
    </font>
    <font>
      <sz val="12"/>
      <name val="Calibri"/>
      <family val="2"/>
      <scheme val="minor"/>
    </font>
    <font>
      <b/>
      <sz val="12"/>
      <color rgb="FF000000"/>
      <name val="Aptos Narrow"/>
      <family val="2"/>
    </font>
    <font>
      <b/>
      <sz val="14"/>
      <color rgb="FF000000"/>
      <name val="Calibri"/>
      <family val="2"/>
      <scheme val="minor"/>
    </font>
    <font>
      <vertAlign val="subscript"/>
      <sz val="12"/>
      <color rgb="FF000000"/>
      <name val="Calibri"/>
      <family val="2"/>
    </font>
    <font>
      <b/>
      <sz val="8"/>
      <color theme="1"/>
      <name val="Calibri (Corps)"/>
    </font>
    <font>
      <b/>
      <sz val="9"/>
      <color theme="1"/>
      <name val="Calibri (Corps)"/>
    </font>
    <font>
      <sz val="8"/>
      <name val="Calibri"/>
      <family val="2"/>
      <scheme val="minor"/>
    </font>
    <font>
      <sz val="12"/>
      <color theme="1"/>
      <name val="Calibri"/>
      <family val="2"/>
      <scheme val="minor"/>
    </font>
    <font>
      <b/>
      <sz val="12"/>
      <color theme="1"/>
      <name val="Arial"/>
      <family val="2"/>
    </font>
    <font>
      <sz val="18"/>
      <color theme="1"/>
      <name val="Calibri"/>
      <family val="2"/>
      <scheme val="minor"/>
    </font>
    <font>
      <sz val="12"/>
      <color theme="0"/>
      <name val="Calibri"/>
      <family val="2"/>
      <scheme val="minor"/>
    </font>
    <font>
      <sz val="12"/>
      <color rgb="FF000000"/>
      <name val="Calibri"/>
    </font>
    <font>
      <sz val="20"/>
      <color theme="1"/>
      <name val="Calibri"/>
      <family val="2"/>
      <scheme val="minor"/>
    </font>
    <font>
      <sz val="48"/>
      <color theme="1"/>
      <name val="Calibri"/>
      <family val="2"/>
      <scheme val="minor"/>
    </font>
  </fonts>
  <fills count="47">
    <fill>
      <patternFill patternType="none"/>
    </fill>
    <fill>
      <patternFill patternType="gray125"/>
    </fill>
    <fill>
      <patternFill patternType="solid">
        <fgColor theme="0"/>
        <bgColor indexed="64"/>
      </patternFill>
    </fill>
    <fill>
      <patternFill patternType="solid">
        <fgColor rgb="FFFF0000"/>
        <bgColor indexed="64"/>
      </patternFill>
    </fill>
    <fill>
      <patternFill patternType="solid">
        <fgColor theme="8" tint="0.39997558519241921"/>
        <bgColor indexed="64"/>
      </patternFill>
    </fill>
    <fill>
      <patternFill patternType="solid">
        <fgColor theme="5" tint="0.59999389629810485"/>
        <bgColor indexed="64"/>
      </patternFill>
    </fill>
    <fill>
      <patternFill patternType="solid">
        <fgColor theme="7" tint="0.59999389629810485"/>
        <bgColor indexed="64"/>
      </patternFill>
    </fill>
    <fill>
      <patternFill patternType="solid">
        <fgColor theme="4" tint="0.39997558519241921"/>
        <bgColor indexed="64"/>
      </patternFill>
    </fill>
    <fill>
      <patternFill patternType="solid">
        <fgColor theme="6" tint="0.59999389629810485"/>
        <bgColor indexed="64"/>
      </patternFill>
    </fill>
    <fill>
      <patternFill patternType="solid">
        <fgColor theme="9" tint="0.39997558519241921"/>
        <bgColor indexed="64"/>
      </patternFill>
    </fill>
    <fill>
      <patternFill patternType="solid">
        <fgColor theme="3" tint="0.79998168889431442"/>
        <bgColor indexed="64"/>
      </patternFill>
    </fill>
    <fill>
      <patternFill patternType="solid">
        <fgColor rgb="FFFABF8F"/>
        <bgColor indexed="64"/>
      </patternFill>
    </fill>
    <fill>
      <patternFill patternType="solid">
        <fgColor theme="9" tint="0.59999389629810485"/>
        <bgColor indexed="64"/>
      </patternFill>
    </fill>
    <fill>
      <patternFill patternType="solid">
        <fgColor theme="4" tint="0.59999389629810485"/>
        <bgColor indexed="64"/>
      </patternFill>
    </fill>
    <fill>
      <patternFill patternType="solid">
        <fgColor theme="5" tint="0.39997558519241921"/>
        <bgColor indexed="64"/>
      </patternFill>
    </fill>
    <fill>
      <patternFill patternType="solid">
        <fgColor rgb="FFC5D9F1"/>
        <bgColor rgb="FF000000"/>
      </patternFill>
    </fill>
    <fill>
      <patternFill patternType="solid">
        <fgColor rgb="FFFFFFFF"/>
        <bgColor rgb="FF000000"/>
      </patternFill>
    </fill>
    <fill>
      <patternFill patternType="solid">
        <fgColor rgb="FFCCC0DA"/>
        <bgColor rgb="FF000000"/>
      </patternFill>
    </fill>
    <fill>
      <patternFill patternType="solid">
        <fgColor rgb="FFFABF8F"/>
        <bgColor rgb="FF000000"/>
      </patternFill>
    </fill>
    <fill>
      <patternFill patternType="solid">
        <fgColor rgb="FF95B3D7"/>
        <bgColor rgb="FF000000"/>
      </patternFill>
    </fill>
    <fill>
      <patternFill patternType="solid">
        <fgColor rgb="FFD8E4BC"/>
        <bgColor rgb="FF000000"/>
      </patternFill>
    </fill>
    <fill>
      <patternFill patternType="solid">
        <fgColor theme="2" tint="-0.499984740745262"/>
        <bgColor indexed="64"/>
      </patternFill>
    </fill>
    <fill>
      <patternFill patternType="solid">
        <fgColor theme="7" tint="0.39997558519241921"/>
        <bgColor indexed="64"/>
      </patternFill>
    </fill>
    <fill>
      <patternFill patternType="solid">
        <fgColor theme="3" tint="0.39997558519241921"/>
        <bgColor rgb="FF000000"/>
      </patternFill>
    </fill>
    <fill>
      <patternFill patternType="solid">
        <fgColor theme="1" tint="0.499984740745262"/>
        <bgColor indexed="64"/>
      </patternFill>
    </fill>
    <fill>
      <patternFill patternType="solid">
        <fgColor theme="1" tint="0.249977111117893"/>
        <bgColor indexed="64"/>
      </patternFill>
    </fill>
    <fill>
      <patternFill patternType="solid">
        <fgColor theme="5"/>
        <bgColor indexed="64"/>
      </patternFill>
    </fill>
    <fill>
      <patternFill patternType="solid">
        <fgColor theme="0"/>
        <bgColor rgb="FF000000"/>
      </patternFill>
    </fill>
    <fill>
      <patternFill patternType="solid">
        <fgColor rgb="FFCFE6FF"/>
        <bgColor indexed="64"/>
      </patternFill>
    </fill>
    <fill>
      <patternFill patternType="solid">
        <fgColor rgb="FFFFFF00"/>
        <bgColor indexed="64"/>
      </patternFill>
    </fill>
    <fill>
      <patternFill patternType="solid">
        <fgColor theme="9" tint="0.79998168889431442"/>
        <bgColor indexed="64"/>
      </patternFill>
    </fill>
    <fill>
      <patternFill patternType="solid">
        <fgColor rgb="FF92CDDC"/>
        <bgColor rgb="FF000000"/>
      </patternFill>
    </fill>
    <fill>
      <patternFill patternType="solid">
        <fgColor rgb="FFE6B8B7"/>
        <bgColor rgb="FF000000"/>
      </patternFill>
    </fill>
    <fill>
      <patternFill patternType="solid">
        <fgColor theme="9" tint="0.79998168889431442"/>
        <bgColor rgb="FF000000"/>
      </patternFill>
    </fill>
    <fill>
      <patternFill patternType="solid">
        <fgColor theme="8"/>
        <bgColor indexed="64"/>
      </patternFill>
    </fill>
    <fill>
      <patternFill patternType="solid">
        <fgColor theme="8" tint="0.59999389629810485"/>
        <bgColor indexed="64"/>
      </patternFill>
    </fill>
    <fill>
      <patternFill patternType="solid">
        <fgColor theme="0" tint="-0.34998626667073579"/>
        <bgColor indexed="64"/>
      </patternFill>
    </fill>
    <fill>
      <patternFill patternType="solid">
        <fgColor rgb="FFFFFFFF"/>
        <bgColor indexed="64"/>
      </patternFill>
    </fill>
    <fill>
      <patternFill patternType="solid">
        <fgColor rgb="FFFFD965"/>
        <bgColor indexed="64"/>
      </patternFill>
    </fill>
    <fill>
      <patternFill patternType="solid">
        <fgColor rgb="FFC5E0B3"/>
        <bgColor indexed="64"/>
      </patternFill>
    </fill>
    <fill>
      <patternFill patternType="solid">
        <fgColor rgb="FFFFE598"/>
        <bgColor indexed="64"/>
      </patternFill>
    </fill>
    <fill>
      <patternFill patternType="solid">
        <fgColor rgb="FFFFA68D"/>
        <bgColor indexed="64"/>
      </patternFill>
    </fill>
    <fill>
      <patternFill patternType="solid">
        <fgColor rgb="FFAEABAB"/>
        <bgColor indexed="64"/>
      </patternFill>
    </fill>
    <fill>
      <patternFill patternType="solid">
        <fgColor theme="6" tint="0.79998168889431442"/>
        <bgColor indexed="64"/>
      </patternFill>
    </fill>
    <fill>
      <patternFill patternType="solid">
        <fgColor theme="6"/>
        <bgColor indexed="64"/>
      </patternFill>
    </fill>
    <fill>
      <patternFill patternType="solid">
        <fgColor theme="4" tint="0.79998168889431442"/>
        <bgColor indexed="64"/>
      </patternFill>
    </fill>
    <fill>
      <patternFill patternType="solid">
        <fgColor rgb="FF00B0F0"/>
        <bgColor indexed="64"/>
      </patternFill>
    </fill>
  </fills>
  <borders count="134">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medium">
        <color indexed="64"/>
      </bottom>
      <diagonal/>
    </border>
    <border>
      <left style="medium">
        <color indexed="64"/>
      </left>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style="thin">
        <color indexed="64"/>
      </right>
      <top/>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top/>
      <bottom style="thin">
        <color indexed="64"/>
      </bottom>
      <diagonal/>
    </border>
    <border>
      <left style="medium">
        <color auto="1"/>
      </left>
      <right/>
      <top/>
      <bottom/>
      <diagonal/>
    </border>
    <border>
      <left style="thin">
        <color indexed="64"/>
      </left>
      <right/>
      <top style="medium">
        <color indexed="64"/>
      </top>
      <bottom style="thin">
        <color indexed="64"/>
      </bottom>
      <diagonal/>
    </border>
    <border>
      <left style="medium">
        <color indexed="64"/>
      </left>
      <right style="medium">
        <color indexed="64"/>
      </right>
      <top/>
      <bottom/>
      <diagonal/>
    </border>
    <border>
      <left style="thin">
        <color indexed="64"/>
      </left>
      <right style="medium">
        <color indexed="64"/>
      </right>
      <top style="medium">
        <color indexed="64"/>
      </top>
      <bottom/>
      <diagonal/>
    </border>
    <border>
      <left/>
      <right/>
      <top/>
      <bottom style="medium">
        <color indexed="64"/>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thin">
        <color rgb="FF505050"/>
      </left>
      <right style="thin">
        <color rgb="FF505050"/>
      </right>
      <top style="thin">
        <color rgb="FF505050"/>
      </top>
      <bottom style="thin">
        <color rgb="FF505050"/>
      </bottom>
      <diagonal/>
    </border>
    <border>
      <left/>
      <right style="thin">
        <color rgb="FF505050"/>
      </right>
      <top style="thin">
        <color rgb="FF505050"/>
      </top>
      <bottom style="thin">
        <color rgb="FF50505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right/>
      <top style="thin">
        <color rgb="FF000000"/>
      </top>
      <bottom style="thin">
        <color rgb="FF000000"/>
      </bottom>
      <diagonal/>
    </border>
    <border>
      <left/>
      <right style="thin">
        <color rgb="FF000000"/>
      </right>
      <top style="thin">
        <color rgb="FF000000"/>
      </top>
      <bottom/>
      <diagonal/>
    </border>
    <border>
      <left/>
      <right/>
      <top style="thin">
        <color rgb="FF000000"/>
      </top>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rgb="FF000000"/>
      </left>
      <right/>
      <top style="thin">
        <color rgb="FF000000"/>
      </top>
      <bottom/>
      <diagonal/>
    </border>
    <border>
      <left style="thin">
        <color indexed="64"/>
      </left>
      <right/>
      <top style="thin">
        <color indexed="64"/>
      </top>
      <bottom style="medium">
        <color indexed="64"/>
      </bottom>
      <diagonal/>
    </border>
    <border>
      <left/>
      <right style="thin">
        <color indexed="64"/>
      </right>
      <top style="medium">
        <color indexed="64"/>
      </top>
      <bottom style="thin">
        <color indexed="64"/>
      </bottom>
      <diagonal/>
    </border>
    <border>
      <left style="medium">
        <color indexed="64"/>
      </left>
      <right style="medium">
        <color indexed="64"/>
      </right>
      <top style="medium">
        <color indexed="64"/>
      </top>
      <bottom/>
      <diagonal/>
    </border>
    <border>
      <left style="thin">
        <color rgb="FF505050"/>
      </left>
      <right/>
      <top style="thin">
        <color rgb="FF505050"/>
      </top>
      <bottom/>
      <diagonal/>
    </border>
    <border>
      <left style="thin">
        <color rgb="FF000000"/>
      </left>
      <right style="thin">
        <color rgb="FF000000"/>
      </right>
      <top/>
      <bottom/>
      <diagonal/>
    </border>
    <border>
      <left/>
      <right style="thin">
        <color indexed="64"/>
      </right>
      <top style="thin">
        <color indexed="64"/>
      </top>
      <bottom style="medium">
        <color indexed="64"/>
      </bottom>
      <diagonal/>
    </border>
    <border>
      <left style="medium">
        <color indexed="64"/>
      </left>
      <right style="medium">
        <color indexed="64"/>
      </right>
      <top style="thin">
        <color indexed="64"/>
      </top>
      <bottom/>
      <diagonal/>
    </border>
    <border>
      <left style="thin">
        <color rgb="FF505050"/>
      </left>
      <right/>
      <top style="thin">
        <color rgb="FF505050"/>
      </top>
      <bottom style="thin">
        <color rgb="FF505050"/>
      </bottom>
      <diagonal/>
    </border>
    <border>
      <left/>
      <right/>
      <top style="thin">
        <color rgb="FF505050"/>
      </top>
      <bottom style="thin">
        <color rgb="FF505050"/>
      </bottom>
      <diagonal/>
    </border>
    <border>
      <left style="thin">
        <color rgb="FF505050"/>
      </left>
      <right/>
      <top style="thin">
        <color rgb="FF505050"/>
      </top>
      <bottom style="thin">
        <color rgb="FF000000"/>
      </bottom>
      <diagonal/>
    </border>
    <border>
      <left/>
      <right/>
      <top style="thin">
        <color rgb="FF505050"/>
      </top>
      <bottom style="thin">
        <color rgb="FF000000"/>
      </bottom>
      <diagonal/>
    </border>
    <border>
      <left/>
      <right style="thin">
        <color rgb="FF505050"/>
      </right>
      <top style="thin">
        <color rgb="FF505050"/>
      </top>
      <bottom style="thin">
        <color rgb="FF000000"/>
      </bottom>
      <diagonal/>
    </border>
    <border>
      <left/>
      <right/>
      <top/>
      <bottom style="thin">
        <color rgb="FF505050"/>
      </bottom>
      <diagonal/>
    </border>
    <border>
      <left/>
      <right style="thin">
        <color rgb="FF505050"/>
      </right>
      <top/>
      <bottom style="thin">
        <color rgb="FF505050"/>
      </bottom>
      <diagonal/>
    </border>
    <border>
      <left style="thin">
        <color rgb="FF505050"/>
      </left>
      <right style="thin">
        <color rgb="FF505050"/>
      </right>
      <top/>
      <bottom style="thin">
        <color rgb="FF505050"/>
      </bottom>
      <diagonal/>
    </border>
    <border>
      <left style="thin">
        <color rgb="FF505050"/>
      </left>
      <right/>
      <top/>
      <bottom style="thin">
        <color rgb="FF50505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bottom/>
      <diagonal/>
    </border>
    <border>
      <left/>
      <right style="thin">
        <color rgb="FF000000"/>
      </right>
      <top/>
      <bottom/>
      <diagonal/>
    </border>
    <border>
      <left style="medium">
        <color rgb="FF505050"/>
      </left>
      <right/>
      <top style="medium">
        <color rgb="FF505050"/>
      </top>
      <bottom style="medium">
        <color rgb="FF505050"/>
      </bottom>
      <diagonal/>
    </border>
    <border>
      <left/>
      <right style="thin">
        <color indexed="64"/>
      </right>
      <top/>
      <bottom/>
      <diagonal/>
    </border>
    <border>
      <left style="thin">
        <color indexed="64"/>
      </left>
      <right/>
      <top style="thin">
        <color indexed="64"/>
      </top>
      <bottom/>
      <diagonal/>
    </border>
    <border>
      <left style="thin">
        <color rgb="FF000000"/>
      </left>
      <right/>
      <top style="thin">
        <color indexed="64"/>
      </top>
      <bottom/>
      <diagonal/>
    </border>
    <border>
      <left/>
      <right/>
      <top style="thin">
        <color indexed="64"/>
      </top>
      <bottom/>
      <diagonal/>
    </border>
    <border>
      <left style="thin">
        <color rgb="FF000000"/>
      </left>
      <right/>
      <top style="thin">
        <color rgb="FF000000"/>
      </top>
      <bottom style="thin">
        <color indexed="64"/>
      </bottom>
      <diagonal/>
    </border>
    <border>
      <left/>
      <right/>
      <top style="thin">
        <color rgb="FF000000"/>
      </top>
      <bottom style="thin">
        <color indexed="64"/>
      </bottom>
      <diagonal/>
    </border>
    <border>
      <left/>
      <right style="thin">
        <color indexed="64"/>
      </right>
      <top style="thin">
        <color rgb="FF000000"/>
      </top>
      <bottom style="thin">
        <color indexed="64"/>
      </bottom>
      <diagonal/>
    </border>
    <border>
      <left style="thin">
        <color indexed="64"/>
      </left>
      <right/>
      <top style="thin">
        <color rgb="FF000000"/>
      </top>
      <bottom style="thin">
        <color rgb="FF000000"/>
      </bottom>
      <diagonal/>
    </border>
    <border>
      <left/>
      <right style="thin">
        <color indexed="64"/>
      </right>
      <top style="thin">
        <color rgb="FF000000"/>
      </top>
      <bottom style="thin">
        <color rgb="FF000000"/>
      </bottom>
      <diagonal/>
    </border>
    <border>
      <left/>
      <right/>
      <top/>
      <bottom style="thin">
        <color indexed="64"/>
      </bottom>
      <diagonal/>
    </border>
    <border>
      <left/>
      <right style="thin">
        <color indexed="64"/>
      </right>
      <top style="thin">
        <color rgb="FF000000"/>
      </top>
      <bottom/>
      <diagonal/>
    </border>
    <border>
      <left style="medium">
        <color rgb="FF505050"/>
      </left>
      <right style="medium">
        <color rgb="FF505050"/>
      </right>
      <top style="medium">
        <color rgb="FF505050"/>
      </top>
      <bottom style="medium">
        <color rgb="FF505050"/>
      </bottom>
      <diagonal/>
    </border>
    <border>
      <left/>
      <right style="thin">
        <color rgb="FF000000"/>
      </right>
      <top style="thin">
        <color indexed="64"/>
      </top>
      <bottom style="thin">
        <color indexed="64"/>
      </bottom>
      <diagonal/>
    </border>
    <border>
      <left style="thin">
        <color rgb="FF505050"/>
      </left>
      <right/>
      <top/>
      <bottom/>
      <diagonal/>
    </border>
    <border>
      <left style="thin">
        <color rgb="FF000000"/>
      </left>
      <right/>
      <top/>
      <bottom style="thin">
        <color indexed="64"/>
      </bottom>
      <diagonal/>
    </border>
    <border>
      <left/>
      <right style="thin">
        <color rgb="FF000000"/>
      </right>
      <top/>
      <bottom style="thin">
        <color indexed="64"/>
      </bottom>
      <diagonal/>
    </border>
    <border>
      <left/>
      <right style="thin">
        <color indexed="64"/>
      </right>
      <top/>
      <bottom style="thin">
        <color rgb="FF000000"/>
      </bottom>
      <diagonal/>
    </border>
    <border>
      <left style="thin">
        <color indexed="64"/>
      </left>
      <right/>
      <top/>
      <bottom style="thin">
        <color rgb="FF000000"/>
      </bottom>
      <diagonal/>
    </border>
    <border>
      <left/>
      <right/>
      <top style="thin">
        <color rgb="FF505050"/>
      </top>
      <bottom/>
      <diagonal/>
    </border>
    <border>
      <left/>
      <right style="thin">
        <color rgb="FF505050"/>
      </right>
      <top style="thin">
        <color rgb="FF505050"/>
      </top>
      <bottom/>
      <diagonal/>
    </border>
    <border>
      <left style="thin">
        <color rgb="FF505050"/>
      </left>
      <right style="thin">
        <color rgb="FF505050"/>
      </right>
      <top style="thin">
        <color rgb="FF505050"/>
      </top>
      <bottom/>
      <diagonal/>
    </border>
    <border>
      <left style="thin">
        <color indexed="64"/>
      </left>
      <right/>
      <top/>
      <bottom/>
      <diagonal/>
    </border>
    <border>
      <left style="thin">
        <color rgb="FF000000"/>
      </left>
      <right/>
      <top style="thin">
        <color indexed="64"/>
      </top>
      <bottom style="thin">
        <color indexed="64"/>
      </bottom>
      <diagonal/>
    </border>
    <border>
      <left style="thin">
        <color rgb="FF505050"/>
      </left>
      <right/>
      <top/>
      <bottom style="thin">
        <color rgb="FF000000"/>
      </bottom>
      <diagonal/>
    </border>
    <border>
      <left/>
      <right style="thin">
        <color rgb="FF505050"/>
      </right>
      <top/>
      <bottom style="thin">
        <color rgb="FF000000"/>
      </bottom>
      <diagonal/>
    </border>
    <border>
      <left style="thin">
        <color rgb="FF505050"/>
      </left>
      <right style="thin">
        <color rgb="FF505050"/>
      </right>
      <top/>
      <bottom/>
      <diagonal/>
    </border>
    <border>
      <left/>
      <right style="thin">
        <color indexed="64"/>
      </right>
      <top style="medium">
        <color indexed="64"/>
      </top>
      <bottom/>
      <diagonal/>
    </border>
    <border>
      <left style="thin">
        <color indexed="64"/>
      </left>
      <right style="thin">
        <color indexed="64"/>
      </right>
      <top style="medium">
        <color indexed="64"/>
      </top>
      <bottom/>
      <diagonal/>
    </border>
    <border>
      <left style="medium">
        <color indexed="64"/>
      </left>
      <right/>
      <top/>
      <bottom style="thin">
        <color indexed="64"/>
      </bottom>
      <diagonal/>
    </border>
    <border>
      <left style="thin">
        <color indexed="64"/>
      </left>
      <right style="thin">
        <color indexed="64"/>
      </right>
      <top style="medium">
        <color indexed="64"/>
      </top>
      <bottom style="medium">
        <color indexed="64"/>
      </bottom>
      <diagonal/>
    </border>
    <border>
      <left style="thin">
        <color rgb="FF505050"/>
      </left>
      <right style="thin">
        <color rgb="FF505050"/>
      </right>
      <top style="thin">
        <color indexed="64"/>
      </top>
      <bottom/>
      <diagonal/>
    </border>
    <border>
      <left style="thin">
        <color indexed="64"/>
      </left>
      <right/>
      <top style="thin">
        <color indexed="64"/>
      </top>
      <bottom style="thin">
        <color rgb="FF000000"/>
      </bottom>
      <diagonal/>
    </border>
    <border>
      <left/>
      <right/>
      <top style="thin">
        <color indexed="64"/>
      </top>
      <bottom style="thin">
        <color rgb="FF000000"/>
      </bottom>
      <diagonal/>
    </border>
    <border>
      <left/>
      <right style="thin">
        <color indexed="64"/>
      </right>
      <top style="thin">
        <color indexed="64"/>
      </top>
      <bottom style="thin">
        <color rgb="FF000000"/>
      </bottom>
      <diagonal/>
    </border>
    <border>
      <left style="thin">
        <color indexed="64"/>
      </left>
      <right style="thin">
        <color indexed="64"/>
      </right>
      <top/>
      <bottom style="medium">
        <color indexed="64"/>
      </bottom>
      <diagonal/>
    </border>
    <border>
      <left style="thin">
        <color indexed="64"/>
      </left>
      <right/>
      <top style="medium">
        <color indexed="64"/>
      </top>
      <bottom style="medium">
        <color indexed="64"/>
      </bottom>
      <diagonal/>
    </border>
    <border>
      <left style="medium">
        <color indexed="64"/>
      </left>
      <right style="thin">
        <color indexed="64"/>
      </right>
      <top style="medium">
        <color indexed="64"/>
      </top>
      <bottom/>
      <diagonal/>
    </border>
    <border>
      <left style="thin">
        <color indexed="64"/>
      </left>
      <right style="medium">
        <color indexed="64"/>
      </right>
      <top/>
      <bottom/>
      <diagonal/>
    </border>
    <border>
      <left style="thin">
        <color indexed="64"/>
      </left>
      <right/>
      <top style="medium">
        <color indexed="64"/>
      </top>
      <bottom/>
      <diagonal/>
    </border>
    <border>
      <left style="thin">
        <color rgb="FF505050"/>
      </left>
      <right/>
      <top style="thin">
        <color indexed="64"/>
      </top>
      <bottom style="thin">
        <color rgb="FF000000"/>
      </bottom>
      <diagonal/>
    </border>
    <border>
      <left/>
      <right style="thin">
        <color rgb="FF505050"/>
      </right>
      <top style="thin">
        <color indexed="64"/>
      </top>
      <bottom style="thin">
        <color rgb="FF000000"/>
      </bottom>
      <diagonal/>
    </border>
    <border>
      <left style="thin">
        <color rgb="FF000000"/>
      </left>
      <right style="thin">
        <color rgb="FF000000"/>
      </right>
      <top/>
      <bottom style="thin">
        <color indexed="64"/>
      </bottom>
      <diagonal/>
    </border>
    <border>
      <left/>
      <right/>
      <top/>
      <bottom style="medium">
        <color rgb="FF000000"/>
      </bottom>
      <diagonal/>
    </border>
    <border>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style="medium">
        <color rgb="FF000000"/>
      </left>
      <right/>
      <top/>
      <bottom/>
      <diagonal/>
    </border>
    <border>
      <left style="medium">
        <color rgb="FF000000"/>
      </left>
      <right/>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style="thin">
        <color indexed="64"/>
      </top>
      <bottom style="medium">
        <color rgb="FF000000"/>
      </bottom>
      <diagonal/>
    </border>
    <border>
      <left/>
      <right/>
      <top style="thin">
        <color indexed="64"/>
      </top>
      <bottom style="medium">
        <color rgb="FF000000"/>
      </bottom>
      <diagonal/>
    </border>
  </borders>
  <cellStyleXfs count="2">
    <xf numFmtId="0" fontId="0" fillId="0" borderId="0"/>
    <xf numFmtId="43" fontId="44" fillId="0" borderId="0" applyFont="0" applyFill="0" applyBorder="0" applyAlignment="0" applyProtection="0"/>
  </cellStyleXfs>
  <cellXfs count="1409">
    <xf numFmtId="0" fontId="0" fillId="0" borderId="0" xfId="0"/>
    <xf numFmtId="0" fontId="0" fillId="0" borderId="1" xfId="0" applyBorder="1"/>
    <xf numFmtId="0" fontId="0" fillId="0" borderId="1" xfId="0" applyBorder="1" applyAlignment="1">
      <alignment horizontal="center"/>
    </xf>
    <xf numFmtId="0" fontId="0" fillId="0" borderId="0" xfId="0" applyAlignment="1">
      <alignment horizontal="center"/>
    </xf>
    <xf numFmtId="0" fontId="4" fillId="0" borderId="0" xfId="0" applyFont="1" applyAlignment="1">
      <alignment horizontal="center"/>
    </xf>
    <xf numFmtId="0" fontId="0" fillId="2" borderId="0" xfId="0" applyFill="1"/>
    <xf numFmtId="0" fontId="0" fillId="2" borderId="1" xfId="0" applyFill="1" applyBorder="1" applyAlignment="1">
      <alignment horizontal="center"/>
    </xf>
    <xf numFmtId="0" fontId="0" fillId="2" borderId="1" xfId="0" applyFill="1" applyBorder="1"/>
    <xf numFmtId="0" fontId="1" fillId="2" borderId="1" xfId="0" applyFont="1" applyFill="1" applyBorder="1"/>
    <xf numFmtId="0" fontId="1" fillId="2" borderId="1" xfId="0" applyFont="1" applyFill="1" applyBorder="1" applyAlignment="1">
      <alignment horizontal="center"/>
    </xf>
    <xf numFmtId="0" fontId="2" fillId="2" borderId="1" xfId="0" applyFont="1" applyFill="1" applyBorder="1" applyAlignment="1">
      <alignment horizontal="center" vertical="center"/>
    </xf>
    <xf numFmtId="0" fontId="2" fillId="2" borderId="1" xfId="0" applyFont="1" applyFill="1" applyBorder="1" applyAlignment="1">
      <alignment vertical="center"/>
    </xf>
    <xf numFmtId="0" fontId="0" fillId="2" borderId="11" xfId="0" applyFill="1" applyBorder="1" applyAlignment="1">
      <alignment horizontal="center"/>
    </xf>
    <xf numFmtId="0" fontId="1" fillId="2" borderId="1" xfId="0" applyFont="1" applyFill="1" applyBorder="1" applyAlignment="1">
      <alignment horizontal="center" vertical="center"/>
    </xf>
    <xf numFmtId="0" fontId="0" fillId="2" borderId="1" xfId="0" applyFill="1" applyBorder="1" applyAlignment="1">
      <alignment horizontal="center" vertical="center"/>
    </xf>
    <xf numFmtId="0" fontId="0" fillId="0" borderId="0" xfId="0" applyAlignment="1">
      <alignment horizontal="left"/>
    </xf>
    <xf numFmtId="0" fontId="0" fillId="2" borderId="0" xfId="0" applyFill="1" applyAlignment="1">
      <alignment horizontal="left"/>
    </xf>
    <xf numFmtId="0" fontId="0" fillId="2" borderId="30" xfId="0" applyFill="1" applyBorder="1" applyAlignment="1">
      <alignment horizontal="center" vertical="center"/>
    </xf>
    <xf numFmtId="0" fontId="0" fillId="2" borderId="14" xfId="0" applyFill="1" applyBorder="1" applyAlignment="1">
      <alignment horizontal="center" vertical="center"/>
    </xf>
    <xf numFmtId="0" fontId="0" fillId="2" borderId="15" xfId="0" applyFill="1" applyBorder="1" applyAlignment="1">
      <alignment horizontal="center" vertical="center"/>
    </xf>
    <xf numFmtId="0" fontId="0" fillId="2" borderId="27" xfId="0" applyFill="1" applyBorder="1" applyAlignment="1">
      <alignment horizontal="center" vertical="center"/>
    </xf>
    <xf numFmtId="165" fontId="0" fillId="2" borderId="2" xfId="0" applyNumberFormat="1" applyFill="1" applyBorder="1" applyAlignment="1">
      <alignment horizontal="center"/>
    </xf>
    <xf numFmtId="0" fontId="0" fillId="2" borderId="2" xfId="0" applyFill="1" applyBorder="1" applyAlignment="1">
      <alignment horizontal="center" vertical="center"/>
    </xf>
    <xf numFmtId="0" fontId="4" fillId="2" borderId="26" xfId="0" applyFont="1" applyFill="1" applyBorder="1" applyAlignment="1">
      <alignment horizontal="center"/>
    </xf>
    <xf numFmtId="0" fontId="5" fillId="2" borderId="26" xfId="0" applyFont="1" applyFill="1" applyBorder="1" applyAlignment="1">
      <alignment horizontal="center"/>
    </xf>
    <xf numFmtId="0" fontId="4" fillId="2" borderId="2" xfId="0" applyFont="1" applyFill="1" applyBorder="1" applyAlignment="1">
      <alignment horizontal="center"/>
    </xf>
    <xf numFmtId="0" fontId="0" fillId="2" borderId="31" xfId="0" applyFill="1" applyBorder="1" applyAlignment="1">
      <alignment horizontal="center"/>
    </xf>
    <xf numFmtId="164" fontId="0" fillId="2" borderId="4" xfId="0" applyNumberFormat="1" applyFill="1" applyBorder="1" applyAlignment="1">
      <alignment horizontal="center"/>
    </xf>
    <xf numFmtId="0" fontId="0" fillId="2" borderId="3" xfId="0" applyFill="1" applyBorder="1" applyAlignment="1">
      <alignment horizontal="center" vertical="center"/>
    </xf>
    <xf numFmtId="0" fontId="0" fillId="2" borderId="4" xfId="0" applyFill="1" applyBorder="1" applyAlignment="1">
      <alignment horizontal="center" vertical="center"/>
    </xf>
    <xf numFmtId="164" fontId="0" fillId="2" borderId="6" xfId="0" applyNumberFormat="1" applyFill="1" applyBorder="1" applyAlignment="1">
      <alignment horizontal="center"/>
    </xf>
    <xf numFmtId="0" fontId="0" fillId="2" borderId="5" xfId="0" applyFill="1" applyBorder="1" applyAlignment="1">
      <alignment horizontal="center" vertical="center"/>
    </xf>
    <xf numFmtId="0" fontId="0" fillId="2" borderId="6" xfId="0" applyFill="1" applyBorder="1" applyAlignment="1">
      <alignment horizontal="center" vertical="center"/>
    </xf>
    <xf numFmtId="164" fontId="0" fillId="2" borderId="18" xfId="0" applyNumberFormat="1" applyFill="1" applyBorder="1" applyAlignment="1">
      <alignment horizontal="center"/>
    </xf>
    <xf numFmtId="0" fontId="0" fillId="2" borderId="8" xfId="0" applyFill="1" applyBorder="1" applyAlignment="1">
      <alignment horizontal="center"/>
    </xf>
    <xf numFmtId="164" fontId="0" fillId="2" borderId="9" xfId="0" applyNumberFormat="1" applyFill="1" applyBorder="1" applyAlignment="1">
      <alignment horizontal="center"/>
    </xf>
    <xf numFmtId="0" fontId="0" fillId="2" borderId="7" xfId="0" applyFill="1" applyBorder="1" applyAlignment="1">
      <alignment horizontal="center" vertical="center"/>
    </xf>
    <xf numFmtId="0" fontId="0" fillId="2" borderId="9" xfId="0" applyFill="1" applyBorder="1" applyAlignment="1">
      <alignment horizontal="center" vertical="center"/>
    </xf>
    <xf numFmtId="164" fontId="0" fillId="2" borderId="36" xfId="0" applyNumberFormat="1" applyFill="1" applyBorder="1" applyAlignment="1">
      <alignment horizontal="center"/>
    </xf>
    <xf numFmtId="0" fontId="4" fillId="2" borderId="0" xfId="0" applyFont="1" applyFill="1" applyAlignment="1">
      <alignment horizontal="center"/>
    </xf>
    <xf numFmtId="0" fontId="0" fillId="2" borderId="0" xfId="0" applyFill="1" applyAlignment="1">
      <alignment horizontal="center" vertical="center"/>
    </xf>
    <xf numFmtId="0" fontId="4" fillId="2" borderId="37" xfId="0" applyFont="1" applyFill="1" applyBorder="1" applyAlignment="1">
      <alignment horizontal="center"/>
    </xf>
    <xf numFmtId="0" fontId="0" fillId="2" borderId="37" xfId="0" applyFill="1" applyBorder="1" applyAlignment="1">
      <alignment horizontal="center" vertical="center"/>
    </xf>
    <xf numFmtId="0" fontId="0" fillId="2" borderId="36" xfId="0" applyFill="1" applyBorder="1" applyAlignment="1">
      <alignment horizontal="center"/>
    </xf>
    <xf numFmtId="0" fontId="4" fillId="2" borderId="39" xfId="0" applyFont="1" applyFill="1" applyBorder="1" applyAlignment="1">
      <alignment horizontal="center"/>
    </xf>
    <xf numFmtId="0" fontId="4" fillId="2" borderId="37" xfId="0" applyFont="1" applyFill="1" applyBorder="1"/>
    <xf numFmtId="0" fontId="4" fillId="2" borderId="0" xfId="0" applyFont="1" applyFill="1"/>
    <xf numFmtId="164" fontId="0" fillId="2" borderId="40" xfId="0" applyNumberFormat="1" applyFill="1" applyBorder="1" applyAlignment="1">
      <alignment horizontal="center"/>
    </xf>
    <xf numFmtId="0" fontId="0" fillId="2" borderId="38" xfId="0" applyFill="1" applyBorder="1" applyAlignment="1">
      <alignment horizontal="center"/>
    </xf>
    <xf numFmtId="0" fontId="0" fillId="2" borderId="22" xfId="0" applyFill="1" applyBorder="1" applyAlignment="1">
      <alignment horizontal="center" vertical="center"/>
    </xf>
    <xf numFmtId="0" fontId="0" fillId="2" borderId="32" xfId="0" applyFill="1" applyBorder="1" applyAlignment="1">
      <alignment horizontal="center" vertical="center"/>
    </xf>
    <xf numFmtId="0" fontId="0" fillId="2" borderId="35" xfId="0" applyFill="1" applyBorder="1" applyAlignment="1">
      <alignment horizontal="center" vertical="center"/>
    </xf>
    <xf numFmtId="0" fontId="0" fillId="2" borderId="18" xfId="0" applyFill="1" applyBorder="1" applyAlignment="1">
      <alignment horizontal="center"/>
    </xf>
    <xf numFmtId="164" fontId="0" fillId="2" borderId="42" xfId="0" applyNumberFormat="1" applyFill="1" applyBorder="1" applyAlignment="1">
      <alignment horizontal="center"/>
    </xf>
    <xf numFmtId="0" fontId="0" fillId="2" borderId="43" xfId="0" applyFill="1" applyBorder="1" applyAlignment="1">
      <alignment horizontal="center" vertical="center"/>
    </xf>
    <xf numFmtId="165" fontId="0" fillId="2" borderId="26" xfId="0" applyNumberFormat="1" applyFill="1" applyBorder="1" applyAlignment="1">
      <alignment horizontal="center"/>
    </xf>
    <xf numFmtId="0" fontId="0" fillId="0" borderId="44" xfId="0" applyBorder="1"/>
    <xf numFmtId="0" fontId="0" fillId="0" borderId="46" xfId="0" applyBorder="1"/>
    <xf numFmtId="0" fontId="0" fillId="0" borderId="47" xfId="0" applyBorder="1"/>
    <xf numFmtId="0" fontId="0" fillId="0" borderId="49" xfId="0" applyBorder="1"/>
    <xf numFmtId="0" fontId="0" fillId="0" borderId="27" xfId="0" applyBorder="1" applyAlignment="1">
      <alignment horizontal="center" vertical="center"/>
    </xf>
    <xf numFmtId="0" fontId="0" fillId="0" borderId="13" xfId="0" applyBorder="1" applyAlignment="1">
      <alignment horizontal="center" vertical="center"/>
    </xf>
    <xf numFmtId="0" fontId="0" fillId="0" borderId="1" xfId="0" applyBorder="1" applyAlignment="1">
      <alignment horizontal="center" vertical="center"/>
    </xf>
    <xf numFmtId="0" fontId="0" fillId="0" borderId="12" xfId="0" applyBorder="1" applyAlignment="1">
      <alignment horizontal="center" vertical="center"/>
    </xf>
    <xf numFmtId="0" fontId="0" fillId="0" borderId="61" xfId="0" applyBorder="1" applyAlignment="1">
      <alignment horizontal="center" vertical="center"/>
    </xf>
    <xf numFmtId="164" fontId="0" fillId="0" borderId="1" xfId="0" applyNumberFormat="1" applyBorder="1" applyAlignment="1">
      <alignment horizontal="center" vertical="center"/>
    </xf>
    <xf numFmtId="2" fontId="0" fillId="0" borderId="60" xfId="0" applyNumberFormat="1" applyBorder="1" applyAlignment="1">
      <alignment horizontal="center" vertical="center"/>
    </xf>
    <xf numFmtId="2" fontId="0" fillId="0" borderId="31" xfId="0" applyNumberFormat="1" applyBorder="1" applyAlignment="1">
      <alignment horizontal="center" vertical="center"/>
    </xf>
    <xf numFmtId="2" fontId="0" fillId="0" borderId="13" xfId="0" applyNumberFormat="1" applyBorder="1" applyAlignment="1">
      <alignment horizontal="center" vertical="center"/>
    </xf>
    <xf numFmtId="2" fontId="0" fillId="0" borderId="1" xfId="0" applyNumberFormat="1" applyBorder="1" applyAlignment="1">
      <alignment horizontal="center" vertical="center"/>
    </xf>
    <xf numFmtId="2" fontId="0" fillId="0" borderId="54" xfId="0" applyNumberFormat="1" applyBorder="1" applyAlignment="1">
      <alignment horizontal="center" vertical="center"/>
    </xf>
    <xf numFmtId="2" fontId="0" fillId="0" borderId="12" xfId="0" applyNumberFormat="1" applyBorder="1" applyAlignment="1">
      <alignment horizontal="center" vertical="center"/>
    </xf>
    <xf numFmtId="2" fontId="0" fillId="0" borderId="55" xfId="0" applyNumberFormat="1" applyBorder="1" applyAlignment="1">
      <alignment horizontal="center" vertical="center"/>
    </xf>
    <xf numFmtId="164" fontId="0" fillId="0" borderId="31" xfId="0" applyNumberFormat="1" applyBorder="1" applyAlignment="1">
      <alignment horizontal="center" vertical="center"/>
    </xf>
    <xf numFmtId="164" fontId="0" fillId="0" borderId="12" xfId="0" applyNumberFormat="1" applyBorder="1" applyAlignment="1">
      <alignment horizontal="center" vertical="center"/>
    </xf>
    <xf numFmtId="0" fontId="0" fillId="0" borderId="54" xfId="0" applyBorder="1" applyAlignment="1">
      <alignment horizontal="center" vertical="center"/>
    </xf>
    <xf numFmtId="0" fontId="0" fillId="4" borderId="2" xfId="0" applyFill="1" applyBorder="1" applyAlignment="1">
      <alignment horizontal="center" vertical="center"/>
    </xf>
    <xf numFmtId="0" fontId="0" fillId="4" borderId="16" xfId="0" applyFill="1" applyBorder="1" applyAlignment="1">
      <alignment horizontal="center" vertical="center"/>
    </xf>
    <xf numFmtId="0" fontId="0" fillId="4" borderId="30" xfId="0" applyFill="1" applyBorder="1" applyAlignment="1">
      <alignment horizontal="center" vertical="center"/>
    </xf>
    <xf numFmtId="0" fontId="0" fillId="4" borderId="14" xfId="0" applyFill="1" applyBorder="1" applyAlignment="1">
      <alignment horizontal="center" vertical="center"/>
    </xf>
    <xf numFmtId="0" fontId="0" fillId="4" borderId="65" xfId="0" applyFill="1" applyBorder="1" applyAlignment="1">
      <alignment horizontal="center" vertical="center"/>
    </xf>
    <xf numFmtId="0" fontId="0" fillId="4" borderId="15" xfId="0" applyFill="1" applyBorder="1" applyAlignment="1">
      <alignment horizontal="center" vertical="center"/>
    </xf>
    <xf numFmtId="0" fontId="4" fillId="0" borderId="1" xfId="0" applyFont="1" applyBorder="1"/>
    <xf numFmtId="0" fontId="6" fillId="9" borderId="49" xfId="0" applyFont="1" applyFill="1" applyBorder="1"/>
    <xf numFmtId="0" fontId="0" fillId="9" borderId="49" xfId="0" applyFill="1" applyBorder="1"/>
    <xf numFmtId="0" fontId="0" fillId="0" borderId="47" xfId="0" applyBorder="1" applyAlignment="1">
      <alignment horizontal="center"/>
    </xf>
    <xf numFmtId="0" fontId="11" fillId="0" borderId="46" xfId="0" applyFont="1" applyBorder="1"/>
    <xf numFmtId="0" fontId="0" fillId="0" borderId="73" xfId="0" applyBorder="1"/>
    <xf numFmtId="0" fontId="11" fillId="0" borderId="1" xfId="0" applyFont="1" applyBorder="1"/>
    <xf numFmtId="0" fontId="8" fillId="0" borderId="1" xfId="0" applyFont="1" applyBorder="1" applyAlignment="1">
      <alignment horizontal="center"/>
    </xf>
    <xf numFmtId="0" fontId="11" fillId="0" borderId="47" xfId="0" applyFont="1" applyBorder="1"/>
    <xf numFmtId="0" fontId="11" fillId="0" borderId="18" xfId="0" applyFont="1" applyBorder="1"/>
    <xf numFmtId="0" fontId="8" fillId="0" borderId="18" xfId="0" applyFont="1" applyBorder="1" applyAlignment="1">
      <alignment horizontal="center"/>
    </xf>
    <xf numFmtId="0" fontId="0" fillId="0" borderId="74" xfId="0" applyBorder="1"/>
    <xf numFmtId="0" fontId="0" fillId="0" borderId="58" xfId="0" applyBorder="1"/>
    <xf numFmtId="0" fontId="11" fillId="0" borderId="58" xfId="0" applyFont="1" applyBorder="1"/>
    <xf numFmtId="0" fontId="4" fillId="0" borderId="12" xfId="0" applyFont="1" applyBorder="1"/>
    <xf numFmtId="0" fontId="0" fillId="6" borderId="50" xfId="0" applyFill="1" applyBorder="1"/>
    <xf numFmtId="0" fontId="16" fillId="0" borderId="1" xfId="0" applyFont="1" applyBorder="1"/>
    <xf numFmtId="0" fontId="0" fillId="6" borderId="63" xfId="0" applyFill="1" applyBorder="1"/>
    <xf numFmtId="0" fontId="0" fillId="6" borderId="78" xfId="0" applyFill="1" applyBorder="1"/>
    <xf numFmtId="0" fontId="0" fillId="0" borderId="12" xfId="0" applyBorder="1"/>
    <xf numFmtId="0" fontId="0" fillId="9" borderId="58" xfId="0" applyFill="1" applyBorder="1"/>
    <xf numFmtId="0" fontId="4" fillId="7" borderId="19" xfId="0" applyFont="1" applyFill="1" applyBorder="1"/>
    <xf numFmtId="0" fontId="4" fillId="7" borderId="18" xfId="0" applyFont="1" applyFill="1" applyBorder="1"/>
    <xf numFmtId="0" fontId="11" fillId="0" borderId="62" xfId="0" applyFont="1" applyBorder="1"/>
    <xf numFmtId="0" fontId="0" fillId="5" borderId="80" xfId="0" applyFill="1" applyBorder="1" applyAlignment="1">
      <alignment horizontal="center"/>
    </xf>
    <xf numFmtId="0" fontId="0" fillId="0" borderId="46" xfId="0" applyBorder="1" applyAlignment="1">
      <alignment horizontal="center"/>
    </xf>
    <xf numFmtId="0" fontId="11" fillId="0" borderId="1" xfId="0" applyFont="1" applyBorder="1" applyAlignment="1">
      <alignment horizontal="center"/>
    </xf>
    <xf numFmtId="0" fontId="11" fillId="0" borderId="18" xfId="0" applyFont="1" applyBorder="1" applyAlignment="1">
      <alignment horizontal="center"/>
    </xf>
    <xf numFmtId="0" fontId="0" fillId="0" borderId="73" xfId="0" applyBorder="1" applyAlignment="1">
      <alignment horizontal="center"/>
    </xf>
    <xf numFmtId="0" fontId="0" fillId="0" borderId="74" xfId="0" applyBorder="1" applyAlignment="1">
      <alignment horizontal="center"/>
    </xf>
    <xf numFmtId="0" fontId="0" fillId="0" borderId="44" xfId="0" applyBorder="1" applyAlignment="1">
      <alignment horizontal="center"/>
    </xf>
    <xf numFmtId="0" fontId="0" fillId="0" borderId="66" xfId="0" applyBorder="1" applyAlignment="1">
      <alignment horizontal="center"/>
    </xf>
    <xf numFmtId="0" fontId="11" fillId="0" borderId="46" xfId="0" applyFont="1" applyBorder="1" applyAlignment="1">
      <alignment horizontal="center"/>
    </xf>
    <xf numFmtId="0" fontId="11" fillId="0" borderId="47" xfId="0" applyFont="1" applyBorder="1" applyAlignment="1">
      <alignment horizontal="center"/>
    </xf>
    <xf numFmtId="0" fontId="0" fillId="0" borderId="49" xfId="0" applyBorder="1" applyAlignment="1">
      <alignment horizontal="center"/>
    </xf>
    <xf numFmtId="0" fontId="0" fillId="0" borderId="58" xfId="0" applyBorder="1" applyAlignment="1">
      <alignment horizontal="center"/>
    </xf>
    <xf numFmtId="0" fontId="6" fillId="6" borderId="50" xfId="0" applyFont="1" applyFill="1" applyBorder="1"/>
    <xf numFmtId="0" fontId="0" fillId="0" borderId="18" xfId="0" applyBorder="1"/>
    <xf numFmtId="0" fontId="0" fillId="0" borderId="18" xfId="0" applyBorder="1" applyAlignment="1">
      <alignment horizontal="center"/>
    </xf>
    <xf numFmtId="0" fontId="4" fillId="0" borderId="46" xfId="0" applyFont="1" applyBorder="1"/>
    <xf numFmtId="0" fontId="0" fillId="0" borderId="13" xfId="0" applyBorder="1" applyAlignment="1">
      <alignment horizontal="center"/>
    </xf>
    <xf numFmtId="0" fontId="4" fillId="0" borderId="36" xfId="0" applyFont="1" applyBorder="1" applyAlignment="1">
      <alignment horizontal="center"/>
    </xf>
    <xf numFmtId="0" fontId="4" fillId="0" borderId="18" xfId="0" applyFont="1" applyBorder="1"/>
    <xf numFmtId="0" fontId="4" fillId="7" borderId="90" xfId="0" applyFont="1" applyFill="1" applyBorder="1"/>
    <xf numFmtId="0" fontId="4" fillId="7" borderId="55" xfId="0" applyFont="1" applyFill="1" applyBorder="1"/>
    <xf numFmtId="0" fontId="0" fillId="12" borderId="80" xfId="0" applyFill="1" applyBorder="1" applyAlignment="1">
      <alignment horizontal="center"/>
    </xf>
    <xf numFmtId="0" fontId="0" fillId="2" borderId="19" xfId="0" applyFill="1" applyBorder="1" applyAlignment="1">
      <alignment horizontal="center"/>
    </xf>
    <xf numFmtId="0" fontId="0" fillId="2" borderId="13" xfId="0" applyFill="1" applyBorder="1" applyAlignment="1">
      <alignment horizontal="center"/>
    </xf>
    <xf numFmtId="0" fontId="6" fillId="0" borderId="1" xfId="0" applyFont="1" applyBorder="1"/>
    <xf numFmtId="0" fontId="8" fillId="0" borderId="46" xfId="0" applyFont="1" applyBorder="1" applyAlignment="1">
      <alignment horizontal="center"/>
    </xf>
    <xf numFmtId="0" fontId="0" fillId="13" borderId="80" xfId="0" applyFill="1" applyBorder="1" applyAlignment="1">
      <alignment horizontal="center"/>
    </xf>
    <xf numFmtId="0" fontId="0" fillId="2" borderId="5" xfId="0" applyFill="1" applyBorder="1"/>
    <xf numFmtId="0" fontId="0" fillId="2" borderId="6" xfId="0" applyFill="1" applyBorder="1"/>
    <xf numFmtId="0" fontId="0" fillId="2" borderId="7" xfId="0" applyFill="1" applyBorder="1"/>
    <xf numFmtId="0" fontId="0" fillId="2" borderId="9" xfId="0" applyFill="1" applyBorder="1"/>
    <xf numFmtId="0" fontId="0" fillId="0" borderId="10" xfId="0" applyBorder="1"/>
    <xf numFmtId="0" fontId="0" fillId="0" borderId="56" xfId="0" applyBorder="1"/>
    <xf numFmtId="0" fontId="0" fillId="0" borderId="2" xfId="0" applyBorder="1" applyAlignment="1">
      <alignment horizontal="center"/>
    </xf>
    <xf numFmtId="0" fontId="0" fillId="0" borderId="50" xfId="0" applyBorder="1" applyAlignment="1">
      <alignment horizontal="center" vertical="top"/>
    </xf>
    <xf numFmtId="164" fontId="0" fillId="2" borderId="27" xfId="0" applyNumberFormat="1" applyFill="1" applyBorder="1" applyAlignment="1">
      <alignment horizontal="center" vertical="center"/>
    </xf>
    <xf numFmtId="164" fontId="0" fillId="2" borderId="13" xfId="0" applyNumberFormat="1" applyFill="1" applyBorder="1" applyAlignment="1">
      <alignment horizontal="center" vertical="center"/>
    </xf>
    <xf numFmtId="164" fontId="0" fillId="2" borderId="15" xfId="0" applyNumberFormat="1" applyFill="1" applyBorder="1" applyAlignment="1">
      <alignment horizontal="center" vertical="center"/>
    </xf>
    <xf numFmtId="2" fontId="0" fillId="2" borderId="27" xfId="0" applyNumberFormat="1" applyFill="1" applyBorder="1" applyAlignment="1">
      <alignment horizontal="center" vertical="center"/>
    </xf>
    <xf numFmtId="2" fontId="0" fillId="2" borderId="15" xfId="0" applyNumberFormat="1" applyFill="1" applyBorder="1" applyAlignment="1">
      <alignment horizontal="center" vertical="center"/>
    </xf>
    <xf numFmtId="165" fontId="0" fillId="2" borderId="32" xfId="0" applyNumberFormat="1" applyFill="1" applyBorder="1" applyAlignment="1">
      <alignment horizontal="center" vertical="center"/>
    </xf>
    <xf numFmtId="0" fontId="4" fillId="9" borderId="16" xfId="0" applyFont="1" applyFill="1" applyBorder="1"/>
    <xf numFmtId="0" fontId="4" fillId="2" borderId="0" xfId="0" applyFont="1" applyFill="1" applyAlignment="1">
      <alignment horizontal="center" vertical="center"/>
    </xf>
    <xf numFmtId="0" fontId="0" fillId="0" borderId="56" xfId="0" applyBorder="1" applyAlignment="1">
      <alignment horizontal="center"/>
    </xf>
    <xf numFmtId="0" fontId="0" fillId="2" borderId="6" xfId="0" applyFill="1" applyBorder="1" applyAlignment="1">
      <alignment horizontal="center"/>
    </xf>
    <xf numFmtId="0" fontId="0" fillId="2" borderId="9" xfId="0" applyFill="1" applyBorder="1" applyAlignment="1">
      <alignment horizontal="center"/>
    </xf>
    <xf numFmtId="0" fontId="0" fillId="14" borderId="1" xfId="0" applyFill="1" applyBorder="1" applyAlignment="1">
      <alignment horizontal="center"/>
    </xf>
    <xf numFmtId="0" fontId="0" fillId="10" borderId="92" xfId="0" applyFill="1" applyBorder="1" applyAlignment="1">
      <alignment horizontal="center"/>
    </xf>
    <xf numFmtId="0" fontId="4" fillId="0" borderId="0" xfId="0" applyFont="1"/>
    <xf numFmtId="0" fontId="4" fillId="0" borderId="50" xfId="0" applyFont="1" applyBorder="1" applyAlignment="1">
      <alignment horizontal="center" vertical="center"/>
    </xf>
    <xf numFmtId="2" fontId="0" fillId="0" borderId="73" xfId="0" applyNumberFormat="1" applyBorder="1"/>
    <xf numFmtId="0" fontId="19" fillId="15" borderId="92" xfId="0" applyFont="1" applyFill="1" applyBorder="1" applyAlignment="1">
      <alignment horizontal="center"/>
    </xf>
    <xf numFmtId="0" fontId="19" fillId="16" borderId="0" xfId="0" applyFont="1" applyFill="1"/>
    <xf numFmtId="0" fontId="0" fillId="0" borderId="90" xfId="0" applyBorder="1"/>
    <xf numFmtId="0" fontId="20" fillId="0" borderId="0" xfId="0" applyFont="1"/>
    <xf numFmtId="0" fontId="20" fillId="0" borderId="55" xfId="0" applyFont="1" applyBorder="1" applyAlignment="1">
      <alignment horizontal="center"/>
    </xf>
    <xf numFmtId="0" fontId="20" fillId="0" borderId="90" xfId="0" applyFont="1" applyBorder="1"/>
    <xf numFmtId="0" fontId="19" fillId="0" borderId="0" xfId="0" applyFont="1"/>
    <xf numFmtId="0" fontId="19" fillId="0" borderId="55" xfId="0" applyFont="1" applyBorder="1" applyAlignment="1">
      <alignment horizontal="center"/>
    </xf>
    <xf numFmtId="0" fontId="0" fillId="0" borderId="55" xfId="0" applyBorder="1" applyAlignment="1">
      <alignment horizontal="center"/>
    </xf>
    <xf numFmtId="0" fontId="19" fillId="0" borderId="90" xfId="0" applyFont="1" applyBorder="1" applyAlignment="1">
      <alignment horizontal="center"/>
    </xf>
    <xf numFmtId="0" fontId="0" fillId="0" borderId="50" xfId="0" applyBorder="1"/>
    <xf numFmtId="0" fontId="20" fillId="0" borderId="77" xfId="0" applyFont="1" applyBorder="1" applyAlignment="1">
      <alignment horizontal="center"/>
    </xf>
    <xf numFmtId="0" fontId="20" fillId="0" borderId="51" xfId="0" applyFont="1" applyBorder="1"/>
    <xf numFmtId="0" fontId="19" fillId="0" borderId="77" xfId="0" applyFont="1" applyBorder="1"/>
    <xf numFmtId="0" fontId="19" fillId="0" borderId="76" xfId="0" applyFont="1" applyBorder="1"/>
    <xf numFmtId="0" fontId="19" fillId="0" borderId="50" xfId="0" applyFont="1" applyBorder="1"/>
    <xf numFmtId="0" fontId="19" fillId="0" borderId="79" xfId="0" applyFont="1" applyBorder="1"/>
    <xf numFmtId="0" fontId="20" fillId="0" borderId="53" xfId="0" applyFont="1" applyBorder="1"/>
    <xf numFmtId="0" fontId="20" fillId="0" borderId="55" xfId="0" applyFont="1" applyBorder="1"/>
    <xf numFmtId="0" fontId="19" fillId="0" borderId="11" xfId="0" applyFont="1" applyBorder="1"/>
    <xf numFmtId="0" fontId="19" fillId="0" borderId="55" xfId="0" applyFont="1" applyBorder="1"/>
    <xf numFmtId="0" fontId="0" fillId="0" borderId="79" xfId="0" applyBorder="1"/>
    <xf numFmtId="0" fontId="19" fillId="0" borderId="1" xfId="0" applyFont="1" applyBorder="1"/>
    <xf numFmtId="0" fontId="19" fillId="0" borderId="13" xfId="0" applyFont="1" applyBorder="1"/>
    <xf numFmtId="0" fontId="6" fillId="0" borderId="55" xfId="0" applyFont="1" applyBorder="1"/>
    <xf numFmtId="0" fontId="6" fillId="0" borderId="11" xfId="0" applyFont="1" applyBorder="1"/>
    <xf numFmtId="0" fontId="19" fillId="0" borderId="81" xfId="0" applyFont="1" applyBorder="1"/>
    <xf numFmtId="0" fontId="6" fillId="18" borderId="63" xfId="0" applyFont="1" applyFill="1" applyBorder="1"/>
    <xf numFmtId="0" fontId="19" fillId="18" borderId="79" xfId="0" applyFont="1" applyFill="1" applyBorder="1"/>
    <xf numFmtId="0" fontId="0" fillId="19" borderId="18" xfId="0" applyFill="1" applyBorder="1"/>
    <xf numFmtId="0" fontId="0" fillId="19" borderId="19" xfId="0" applyFill="1" applyBorder="1"/>
    <xf numFmtId="0" fontId="6" fillId="19" borderId="19" xfId="0" applyFont="1" applyFill="1" applyBorder="1"/>
    <xf numFmtId="0" fontId="6" fillId="19" borderId="90" xfId="0" applyFont="1" applyFill="1" applyBorder="1"/>
    <xf numFmtId="0" fontId="6" fillId="19" borderId="55" xfId="0" applyFont="1" applyFill="1" applyBorder="1"/>
    <xf numFmtId="0" fontId="19" fillId="0" borderId="90" xfId="0" applyFont="1" applyBorder="1"/>
    <xf numFmtId="0" fontId="4" fillId="0" borderId="90" xfId="0" applyFont="1" applyBorder="1" applyAlignment="1">
      <alignment horizontal="center"/>
    </xf>
    <xf numFmtId="0" fontId="0" fillId="14" borderId="12" xfId="0" applyFill="1" applyBorder="1" applyAlignment="1">
      <alignment horizontal="center"/>
    </xf>
    <xf numFmtId="0" fontId="0" fillId="0" borderId="1" xfId="0" applyBorder="1" applyAlignment="1">
      <alignment horizontal="center" vertical="top"/>
    </xf>
    <xf numFmtId="0" fontId="4" fillId="0" borderId="11" xfId="0" applyFont="1" applyBorder="1"/>
    <xf numFmtId="0" fontId="11" fillId="0" borderId="1" xfId="0" applyFont="1" applyBorder="1" applyAlignment="1">
      <alignment horizontal="center" vertical="center"/>
    </xf>
    <xf numFmtId="0" fontId="8" fillId="0" borderId="1" xfId="0" applyFont="1" applyBorder="1" applyAlignment="1">
      <alignment horizontal="center" vertical="center"/>
    </xf>
    <xf numFmtId="0" fontId="0" fillId="2" borderId="18" xfId="0" applyFill="1" applyBorder="1"/>
    <xf numFmtId="0" fontId="0" fillId="21" borderId="80" xfId="0" applyFill="1" applyBorder="1" applyAlignment="1">
      <alignment horizontal="center"/>
    </xf>
    <xf numFmtId="0" fontId="20" fillId="0" borderId="55" xfId="0" applyFont="1" applyBorder="1" applyAlignment="1">
      <alignment horizontal="center" vertical="center"/>
    </xf>
    <xf numFmtId="0" fontId="19" fillId="0" borderId="55" xfId="0" applyFont="1" applyBorder="1" applyAlignment="1">
      <alignment horizontal="center" vertical="center"/>
    </xf>
    <xf numFmtId="0" fontId="0" fillId="0" borderId="55" xfId="0" applyBorder="1" applyAlignment="1">
      <alignment horizontal="center" vertical="center"/>
    </xf>
    <xf numFmtId="0" fontId="20" fillId="0" borderId="13" xfId="0" applyFont="1" applyBorder="1" applyAlignment="1">
      <alignment horizontal="center" vertical="center"/>
    </xf>
    <xf numFmtId="0" fontId="19" fillId="0" borderId="11" xfId="0" applyFont="1" applyBorder="1" applyAlignment="1">
      <alignment horizontal="center" vertical="center"/>
    </xf>
    <xf numFmtId="0" fontId="0" fillId="0" borderId="62" xfId="0" applyBorder="1"/>
    <xf numFmtId="0" fontId="0" fillId="0" borderId="100" xfId="0" applyBorder="1"/>
    <xf numFmtId="0" fontId="0" fillId="0" borderId="94" xfId="0" applyBorder="1"/>
    <xf numFmtId="0" fontId="0" fillId="0" borderId="101" xfId="0" applyBorder="1"/>
    <xf numFmtId="0" fontId="0" fillId="0" borderId="50" xfId="0" applyBorder="1" applyAlignment="1">
      <alignment horizontal="center"/>
    </xf>
    <xf numFmtId="0" fontId="4" fillId="0" borderId="23" xfId="0" applyFont="1" applyBorder="1" applyAlignment="1">
      <alignment horizontal="center"/>
    </xf>
    <xf numFmtId="0" fontId="4" fillId="0" borderId="82" xfId="0" applyFont="1" applyBorder="1"/>
    <xf numFmtId="0" fontId="0" fillId="0" borderId="62" xfId="0" applyBorder="1" applyAlignment="1">
      <alignment horizontal="center"/>
    </xf>
    <xf numFmtId="0" fontId="0" fillId="2" borderId="12" xfId="0" applyFill="1" applyBorder="1" applyAlignment="1">
      <alignment horizontal="center"/>
    </xf>
    <xf numFmtId="0" fontId="11" fillId="0" borderId="85" xfId="0" applyFont="1" applyBorder="1" applyAlignment="1">
      <alignment horizontal="center"/>
    </xf>
    <xf numFmtId="0" fontId="0" fillId="0" borderId="103" xfId="0" applyBorder="1" applyAlignment="1">
      <alignment horizontal="center"/>
    </xf>
    <xf numFmtId="0" fontId="11" fillId="0" borderId="103" xfId="0" applyFont="1" applyBorder="1"/>
    <xf numFmtId="0" fontId="0" fillId="0" borderId="102" xfId="0" applyBorder="1"/>
    <xf numFmtId="0" fontId="4" fillId="0" borderId="63" xfId="0" applyFont="1" applyBorder="1"/>
    <xf numFmtId="164" fontId="0" fillId="0" borderId="8" xfId="0" applyNumberFormat="1" applyBorder="1" applyAlignment="1">
      <alignment horizontal="center" vertical="center"/>
    </xf>
    <xf numFmtId="0" fontId="0" fillId="0" borderId="12" xfId="0" applyBorder="1" applyAlignment="1">
      <alignment horizontal="center"/>
    </xf>
    <xf numFmtId="0" fontId="4" fillId="0" borderId="1" xfId="0" applyFont="1" applyBorder="1" applyAlignment="1">
      <alignment horizontal="center" vertical="center"/>
    </xf>
    <xf numFmtId="0" fontId="0" fillId="0" borderId="51" xfId="0" applyBorder="1" applyAlignment="1">
      <alignment horizontal="center"/>
    </xf>
    <xf numFmtId="0" fontId="11" fillId="0" borderId="12" xfId="0" applyFont="1" applyBorder="1" applyAlignment="1">
      <alignment horizontal="center"/>
    </xf>
    <xf numFmtId="0" fontId="0" fillId="0" borderId="90" xfId="0" applyBorder="1" applyAlignment="1">
      <alignment horizontal="center"/>
    </xf>
    <xf numFmtId="0" fontId="8" fillId="0" borderId="103" xfId="0" applyFont="1" applyBorder="1" applyAlignment="1">
      <alignment horizontal="center"/>
    </xf>
    <xf numFmtId="0" fontId="6" fillId="0" borderId="12" xfId="0" applyFont="1" applyBorder="1"/>
    <xf numFmtId="0" fontId="0" fillId="0" borderId="82" xfId="0" applyBorder="1"/>
    <xf numFmtId="0" fontId="4" fillId="0" borderId="46" xfId="0" applyFont="1" applyBorder="1" applyAlignment="1">
      <alignment horizontal="center"/>
    </xf>
    <xf numFmtId="0" fontId="20" fillId="0" borderId="1" xfId="0" applyFont="1" applyBorder="1" applyAlignment="1">
      <alignment horizontal="center"/>
    </xf>
    <xf numFmtId="0" fontId="0" fillId="0" borderId="71" xfId="0" applyBorder="1"/>
    <xf numFmtId="0" fontId="11" fillId="0" borderId="18" xfId="0" applyFont="1" applyBorder="1" applyAlignment="1">
      <alignment horizontal="center" vertical="center"/>
    </xf>
    <xf numFmtId="0" fontId="8" fillId="0" borderId="18" xfId="0" applyFont="1" applyBorder="1" applyAlignment="1">
      <alignment horizontal="center" vertical="center"/>
    </xf>
    <xf numFmtId="0" fontId="0" fillId="2" borderId="0" xfId="0" applyFill="1" applyAlignment="1">
      <alignment horizontal="center"/>
    </xf>
    <xf numFmtId="0" fontId="4" fillId="0" borderId="55" xfId="0" applyFont="1" applyBorder="1"/>
    <xf numFmtId="0" fontId="4" fillId="2" borderId="1" xfId="0" applyFont="1" applyFill="1" applyBorder="1" applyAlignment="1">
      <alignment horizontal="center"/>
    </xf>
    <xf numFmtId="0" fontId="11" fillId="0" borderId="19" xfId="0" applyFont="1" applyBorder="1" applyAlignment="1">
      <alignment horizontal="center"/>
    </xf>
    <xf numFmtId="0" fontId="0" fillId="0" borderId="71" xfId="0" applyBorder="1" applyAlignment="1">
      <alignment horizontal="center"/>
    </xf>
    <xf numFmtId="0" fontId="11" fillId="0" borderId="99" xfId="0" applyFont="1" applyBorder="1"/>
    <xf numFmtId="0" fontId="11" fillId="0" borderId="51" xfId="0" applyFont="1" applyBorder="1" applyAlignment="1">
      <alignment horizontal="center"/>
    </xf>
    <xf numFmtId="0" fontId="0" fillId="0" borderId="63" xfId="0" applyBorder="1" applyAlignment="1">
      <alignment horizontal="center"/>
    </xf>
    <xf numFmtId="0" fontId="4" fillId="2" borderId="11" xfId="0" applyFont="1" applyFill="1" applyBorder="1" applyAlignment="1">
      <alignment horizontal="center"/>
    </xf>
    <xf numFmtId="0" fontId="28" fillId="2" borderId="11" xfId="0" applyFont="1" applyFill="1" applyBorder="1" applyAlignment="1">
      <alignment horizontal="center"/>
    </xf>
    <xf numFmtId="0" fontId="4" fillId="2" borderId="1" xfId="0" applyFont="1" applyFill="1" applyBorder="1"/>
    <xf numFmtId="0" fontId="0" fillId="0" borderId="106" xfId="0" applyBorder="1"/>
    <xf numFmtId="0" fontId="0" fillId="0" borderId="1" xfId="0" applyBorder="1" applyAlignment="1">
      <alignment horizontal="right"/>
    </xf>
    <xf numFmtId="0" fontId="0" fillId="2" borderId="11" xfId="0" applyFill="1" applyBorder="1" applyAlignment="1">
      <alignment horizontal="right"/>
    </xf>
    <xf numFmtId="0" fontId="0" fillId="0" borderId="12" xfId="0" applyBorder="1" applyAlignment="1">
      <alignment horizontal="right"/>
    </xf>
    <xf numFmtId="0" fontId="19" fillId="0" borderId="55" xfId="0" applyFont="1" applyBorder="1" applyAlignment="1">
      <alignment horizontal="right"/>
    </xf>
    <xf numFmtId="0" fontId="4" fillId="0" borderId="1" xfId="0" applyFont="1" applyBorder="1" applyAlignment="1">
      <alignment horizontal="right"/>
    </xf>
    <xf numFmtId="11" fontId="0" fillId="2" borderId="0" xfId="0" applyNumberFormat="1" applyFill="1"/>
    <xf numFmtId="11" fontId="0" fillId="2" borderId="1" xfId="0" applyNumberFormat="1" applyFill="1" applyBorder="1" applyAlignment="1">
      <alignment horizontal="center" vertical="center"/>
    </xf>
    <xf numFmtId="11" fontId="0" fillId="0" borderId="0" xfId="0" applyNumberFormat="1"/>
    <xf numFmtId="11" fontId="0" fillId="0" borderId="1" xfId="0" applyNumberFormat="1" applyBorder="1" applyAlignment="1">
      <alignment horizontal="center"/>
    </xf>
    <xf numFmtId="0" fontId="2" fillId="0" borderId="1" xfId="0" applyFont="1" applyBorder="1"/>
    <xf numFmtId="0" fontId="19" fillId="0" borderId="50" xfId="0" applyFont="1" applyBorder="1" applyAlignment="1">
      <alignment horizontal="center"/>
    </xf>
    <xf numFmtId="0" fontId="19" fillId="23" borderId="92" xfId="0" applyFont="1" applyFill="1" applyBorder="1" applyAlignment="1">
      <alignment horizontal="center"/>
    </xf>
    <xf numFmtId="0" fontId="8" fillId="0" borderId="1" xfId="0" applyFont="1" applyBorder="1" applyAlignment="1">
      <alignment horizontal="right"/>
    </xf>
    <xf numFmtId="0" fontId="0" fillId="0" borderId="18" xfId="0" applyBorder="1" applyAlignment="1">
      <alignment horizontal="right"/>
    </xf>
    <xf numFmtId="0" fontId="8" fillId="2" borderId="1" xfId="0" applyFont="1" applyFill="1" applyBorder="1" applyAlignment="1">
      <alignment horizontal="center" vertical="center"/>
    </xf>
    <xf numFmtId="0" fontId="19" fillId="0" borderId="13" xfId="0" applyFont="1" applyBorder="1" applyAlignment="1">
      <alignment horizontal="right"/>
    </xf>
    <xf numFmtId="164" fontId="0" fillId="2" borderId="64" xfId="0" applyNumberFormat="1" applyFill="1" applyBorder="1" applyAlignment="1">
      <alignment horizontal="center" vertical="center"/>
    </xf>
    <xf numFmtId="164" fontId="0" fillId="2" borderId="8" xfId="0" applyNumberFormat="1" applyFill="1" applyBorder="1" applyAlignment="1">
      <alignment horizontal="center" vertical="center"/>
    </xf>
    <xf numFmtId="164" fontId="0" fillId="0" borderId="59" xfId="0" applyNumberFormat="1" applyBorder="1" applyAlignment="1">
      <alignment horizontal="center" vertical="center"/>
    </xf>
    <xf numFmtId="164" fontId="0" fillId="0" borderId="1" xfId="0" applyNumberFormat="1" applyBorder="1" applyAlignment="1">
      <alignment horizontal="center"/>
    </xf>
    <xf numFmtId="164" fontId="8" fillId="0" borderId="1" xfId="0" applyNumberFormat="1" applyFont="1" applyBorder="1" applyAlignment="1">
      <alignment horizontal="center" vertical="center"/>
    </xf>
    <xf numFmtId="164" fontId="8" fillId="0" borderId="18" xfId="0" applyNumberFormat="1" applyFont="1" applyBorder="1" applyAlignment="1">
      <alignment horizontal="center"/>
    </xf>
    <xf numFmtId="164" fontId="8" fillId="2" borderId="1" xfId="0" applyNumberFormat="1" applyFont="1" applyFill="1" applyBorder="1" applyAlignment="1">
      <alignment horizontal="center" vertical="center"/>
    </xf>
    <xf numFmtId="164" fontId="8" fillId="0" borderId="1" xfId="0" applyNumberFormat="1" applyFont="1" applyBorder="1" applyAlignment="1">
      <alignment horizontal="center"/>
    </xf>
    <xf numFmtId="164" fontId="0" fillId="0" borderId="1" xfId="0" applyNumberFormat="1" applyBorder="1"/>
    <xf numFmtId="164" fontId="0" fillId="0" borderId="18" xfId="0" applyNumberFormat="1" applyBorder="1"/>
    <xf numFmtId="0" fontId="2" fillId="3" borderId="1" xfId="0" applyFont="1" applyFill="1" applyBorder="1"/>
    <xf numFmtId="0" fontId="6" fillId="3" borderId="55" xfId="0" applyFont="1" applyFill="1" applyBorder="1"/>
    <xf numFmtId="0" fontId="4" fillId="3" borderId="1" xfId="0" applyFont="1" applyFill="1" applyBorder="1"/>
    <xf numFmtId="0" fontId="4" fillId="3" borderId="11" xfId="0" applyFont="1" applyFill="1" applyBorder="1"/>
    <xf numFmtId="0" fontId="7" fillId="0" borderId="12" xfId="0" applyFont="1" applyBorder="1" applyAlignment="1">
      <alignment horizontal="center" vertical="center"/>
    </xf>
    <xf numFmtId="0" fontId="0" fillId="0" borderId="11" xfId="0" applyBorder="1" applyAlignment="1">
      <alignment horizontal="center" vertical="center"/>
    </xf>
    <xf numFmtId="0" fontId="7" fillId="0" borderId="1" xfId="0" applyFont="1" applyBorder="1" applyAlignment="1">
      <alignment horizontal="center" vertical="center"/>
    </xf>
    <xf numFmtId="0" fontId="0" fillId="0" borderId="23" xfId="0" applyBorder="1" applyAlignment="1">
      <alignment horizontal="center" vertical="center"/>
    </xf>
    <xf numFmtId="0" fontId="31" fillId="0" borderId="1" xfId="0" applyFont="1" applyBorder="1" applyAlignment="1">
      <alignment vertical="center"/>
    </xf>
    <xf numFmtId="0" fontId="32" fillId="0" borderId="1" xfId="0" applyFont="1" applyBorder="1" applyAlignment="1">
      <alignment horizontal="center" vertical="center"/>
    </xf>
    <xf numFmtId="0" fontId="19" fillId="0" borderId="1" xfId="0" applyFont="1" applyBorder="1" applyAlignment="1">
      <alignment horizontal="center" vertical="center"/>
    </xf>
    <xf numFmtId="0" fontId="0" fillId="0" borderId="18" xfId="0" applyBorder="1" applyAlignment="1">
      <alignment horizontal="center" vertical="center"/>
    </xf>
    <xf numFmtId="0" fontId="0" fillId="5" borderId="1" xfId="0" applyFill="1" applyBorder="1" applyAlignment="1">
      <alignment horizontal="center" vertical="center"/>
    </xf>
    <xf numFmtId="0" fontId="19" fillId="27" borderId="0" xfId="0" applyFont="1" applyFill="1"/>
    <xf numFmtId="0" fontId="19" fillId="2" borderId="90" xfId="0" applyFont="1" applyFill="1" applyBorder="1"/>
    <xf numFmtId="0" fontId="0" fillId="2" borderId="12" xfId="0" applyFill="1" applyBorder="1"/>
    <xf numFmtId="0" fontId="0" fillId="2" borderId="23" xfId="0" applyFill="1" applyBorder="1"/>
    <xf numFmtId="0" fontId="0" fillId="2" borderId="11" xfId="0" applyFill="1" applyBorder="1"/>
    <xf numFmtId="0" fontId="11" fillId="2" borderId="0" xfId="0" applyFont="1" applyFill="1"/>
    <xf numFmtId="0" fontId="0" fillId="2" borderId="0" xfId="0" applyFill="1" applyAlignment="1">
      <alignment horizontal="left" vertical="top"/>
    </xf>
    <xf numFmtId="14" fontId="0" fillId="2" borderId="0" xfId="0" applyNumberFormat="1" applyFill="1"/>
    <xf numFmtId="0" fontId="33" fillId="0" borderId="1" xfId="0" applyFont="1" applyBorder="1" applyAlignment="1">
      <alignment horizontal="center" vertical="center"/>
    </xf>
    <xf numFmtId="0" fontId="0" fillId="2" borderId="12" xfId="0" applyFill="1" applyBorder="1" applyAlignment="1">
      <alignment horizontal="center" vertical="center" textRotation="90"/>
    </xf>
    <xf numFmtId="0" fontId="0" fillId="2" borderId="23" xfId="0" applyFill="1" applyBorder="1" applyAlignment="1">
      <alignment horizontal="center" vertical="center" textRotation="90"/>
    </xf>
    <xf numFmtId="0" fontId="0" fillId="2" borderId="11" xfId="0" applyFill="1" applyBorder="1" applyAlignment="1">
      <alignment horizontal="center" vertical="center" textRotation="90"/>
    </xf>
    <xf numFmtId="0" fontId="0" fillId="0" borderId="0" xfId="0" applyAlignment="1">
      <alignment horizontal="center" vertical="center"/>
    </xf>
    <xf numFmtId="49" fontId="0" fillId="0" borderId="0" xfId="0" applyNumberFormat="1" applyAlignment="1">
      <alignment horizontal="center" vertical="center"/>
    </xf>
    <xf numFmtId="0" fontId="8" fillId="0" borderId="12" xfId="0" applyFont="1" applyBorder="1" applyAlignment="1">
      <alignment horizontal="center"/>
    </xf>
    <xf numFmtId="0" fontId="8" fillId="0" borderId="82" xfId="0" applyFont="1" applyBorder="1" applyAlignment="1">
      <alignment horizontal="center"/>
    </xf>
    <xf numFmtId="0" fontId="8" fillId="2" borderId="0" xfId="0" applyFont="1" applyFill="1" applyAlignment="1">
      <alignment horizontal="center"/>
    </xf>
    <xf numFmtId="0" fontId="8" fillId="0" borderId="19" xfId="0" applyFont="1" applyBorder="1" applyAlignment="1">
      <alignment horizontal="center"/>
    </xf>
    <xf numFmtId="0" fontId="0" fillId="2" borderId="12" xfId="0" applyFill="1" applyBorder="1" applyAlignment="1">
      <alignment horizontal="center" vertical="center"/>
    </xf>
    <xf numFmtId="0" fontId="2" fillId="2" borderId="1" xfId="0" applyFont="1" applyFill="1" applyBorder="1" applyAlignment="1">
      <alignment horizontal="center"/>
    </xf>
    <xf numFmtId="0" fontId="3" fillId="2" borderId="1" xfId="0" applyFont="1" applyFill="1" applyBorder="1" applyAlignment="1">
      <alignment horizontal="center" vertical="center" shrinkToFit="1"/>
    </xf>
    <xf numFmtId="0" fontId="1" fillId="0" borderId="12" xfId="0" applyFont="1" applyBorder="1" applyAlignment="1">
      <alignment horizontal="center" vertical="center"/>
    </xf>
    <xf numFmtId="0" fontId="1" fillId="0" borderId="11" xfId="0" applyFont="1" applyBorder="1" applyAlignment="1">
      <alignment horizontal="center" vertical="center"/>
    </xf>
    <xf numFmtId="0" fontId="0" fillId="2" borderId="23" xfId="0" applyFill="1" applyBorder="1" applyAlignment="1">
      <alignment horizontal="center"/>
    </xf>
    <xf numFmtId="0" fontId="2" fillId="2" borderId="18" xfId="0" applyFont="1" applyFill="1" applyBorder="1" applyAlignment="1">
      <alignment horizontal="center" vertical="center"/>
    </xf>
    <xf numFmtId="0" fontId="2" fillId="2" borderId="19" xfId="0" applyFont="1" applyFill="1" applyBorder="1" applyAlignment="1">
      <alignment horizontal="center" vertical="center"/>
    </xf>
    <xf numFmtId="0" fontId="2" fillId="2" borderId="13" xfId="0" applyFont="1" applyFill="1" applyBorder="1" applyAlignment="1">
      <alignment horizontal="center" vertical="center"/>
    </xf>
    <xf numFmtId="0" fontId="19" fillId="0" borderId="81" xfId="0" applyFont="1" applyBorder="1" applyAlignment="1">
      <alignment horizontal="center" vertical="center"/>
    </xf>
    <xf numFmtId="0" fontId="19" fillId="0" borderId="72" xfId="0" applyFont="1" applyBorder="1" applyAlignment="1">
      <alignment horizontal="center" vertical="center"/>
    </xf>
    <xf numFmtId="0" fontId="11" fillId="0" borderId="46" xfId="0" applyFont="1" applyBorder="1" applyAlignment="1">
      <alignment horizontal="center" vertical="center"/>
    </xf>
    <xf numFmtId="0" fontId="0" fillId="6" borderId="83" xfId="0" applyFill="1" applyBorder="1"/>
    <xf numFmtId="0" fontId="0" fillId="6" borderId="84" xfId="0" applyFill="1" applyBorder="1"/>
    <xf numFmtId="0" fontId="0" fillId="6" borderId="54" xfId="0" applyFill="1" applyBorder="1"/>
    <xf numFmtId="0" fontId="17" fillId="0" borderId="46" xfId="0" applyFont="1" applyBorder="1" applyAlignment="1">
      <alignment horizontal="center" vertical="center"/>
    </xf>
    <xf numFmtId="0" fontId="17" fillId="0" borderId="0" xfId="0" applyFont="1" applyAlignment="1">
      <alignment horizontal="center"/>
    </xf>
    <xf numFmtId="0" fontId="19" fillId="15" borderId="2" xfId="0" applyFont="1" applyFill="1" applyBorder="1" applyAlignment="1">
      <alignment horizontal="center"/>
    </xf>
    <xf numFmtId="0" fontId="6" fillId="2" borderId="1" xfId="0" applyFont="1" applyFill="1" applyBorder="1" applyAlignment="1">
      <alignment horizontal="center"/>
    </xf>
    <xf numFmtId="0" fontId="0" fillId="2" borderId="102" xfId="0" applyFill="1" applyBorder="1"/>
    <xf numFmtId="0" fontId="0" fillId="0" borderId="0" xfId="0" applyAlignment="1">
      <alignment horizontal="left" vertical="top"/>
    </xf>
    <xf numFmtId="0" fontId="0" fillId="2" borderId="13" xfId="0" applyFill="1" applyBorder="1" applyAlignment="1">
      <alignment horizontal="center" vertical="center"/>
    </xf>
    <xf numFmtId="0" fontId="4" fillId="2" borderId="16" xfId="0" applyFont="1" applyFill="1" applyBorder="1" applyAlignment="1">
      <alignment horizontal="center"/>
    </xf>
    <xf numFmtId="0" fontId="4" fillId="2" borderId="25" xfId="0" applyFont="1" applyFill="1" applyBorder="1" applyAlignment="1">
      <alignment horizontal="center"/>
    </xf>
    <xf numFmtId="0" fontId="4" fillId="9" borderId="24" xfId="0" applyFont="1" applyFill="1" applyBorder="1" applyAlignment="1">
      <alignment horizontal="center"/>
    </xf>
    <xf numFmtId="0" fontId="0" fillId="2" borderId="5" xfId="0" applyFill="1" applyBorder="1" applyAlignment="1">
      <alignment horizontal="center"/>
    </xf>
    <xf numFmtId="0" fontId="0" fillId="2" borderId="17" xfId="0" applyFill="1" applyBorder="1" applyAlignment="1">
      <alignment horizontal="center"/>
    </xf>
    <xf numFmtId="0" fontId="0" fillId="2" borderId="16" xfId="0" applyFill="1" applyBorder="1" applyAlignment="1">
      <alignment horizontal="center" vertical="center"/>
    </xf>
    <xf numFmtId="0" fontId="0" fillId="2" borderId="24" xfId="0" applyFill="1" applyBorder="1" applyAlignment="1">
      <alignment horizontal="center" vertical="center"/>
    </xf>
    <xf numFmtId="0" fontId="4" fillId="2" borderId="24" xfId="0" applyFont="1" applyFill="1" applyBorder="1" applyAlignment="1">
      <alignment horizontal="center"/>
    </xf>
    <xf numFmtId="0" fontId="4" fillId="2" borderId="27" xfId="0" applyFont="1" applyFill="1" applyBorder="1" applyAlignment="1">
      <alignment horizontal="center"/>
    </xf>
    <xf numFmtId="0" fontId="4" fillId="2" borderId="28" xfId="0" applyFont="1" applyFill="1" applyBorder="1" applyAlignment="1">
      <alignment horizontal="center"/>
    </xf>
    <xf numFmtId="0" fontId="0" fillId="2" borderId="3" xfId="0" applyFill="1" applyBorder="1" applyAlignment="1">
      <alignment horizontal="center"/>
    </xf>
    <xf numFmtId="0" fontId="0" fillId="2" borderId="20" xfId="0" applyFill="1" applyBorder="1" applyAlignment="1">
      <alignment horizontal="center"/>
    </xf>
    <xf numFmtId="0" fontId="0" fillId="2" borderId="21" xfId="0" applyFill="1" applyBorder="1" applyAlignment="1">
      <alignment horizontal="center"/>
    </xf>
    <xf numFmtId="0" fontId="0" fillId="2" borderId="22" xfId="0" applyFill="1" applyBorder="1" applyAlignment="1">
      <alignment horizontal="center"/>
    </xf>
    <xf numFmtId="0" fontId="0" fillId="2" borderId="32" xfId="0" applyFill="1" applyBorder="1" applyAlignment="1">
      <alignment horizontal="center"/>
    </xf>
    <xf numFmtId="0" fontId="0" fillId="2" borderId="25" xfId="0" applyFill="1" applyBorder="1" applyAlignment="1">
      <alignment horizontal="center" vertical="center"/>
    </xf>
    <xf numFmtId="0" fontId="4" fillId="2" borderId="29" xfId="0" applyFont="1" applyFill="1" applyBorder="1" applyAlignment="1">
      <alignment horizontal="center"/>
    </xf>
    <xf numFmtId="0" fontId="0" fillId="0" borderId="33" xfId="0" applyBorder="1" applyAlignment="1">
      <alignment horizontal="center"/>
    </xf>
    <xf numFmtId="0" fontId="0" fillId="0" borderId="34" xfId="0" applyBorder="1" applyAlignment="1">
      <alignment horizontal="center"/>
    </xf>
    <xf numFmtId="0" fontId="0" fillId="0" borderId="35" xfId="0" applyBorder="1" applyAlignment="1">
      <alignment horizontal="center"/>
    </xf>
    <xf numFmtId="0" fontId="0" fillId="2" borderId="41" xfId="0" applyFill="1" applyBorder="1" applyAlignment="1">
      <alignment horizontal="center" vertical="center"/>
    </xf>
    <xf numFmtId="0" fontId="2" fillId="5" borderId="1" xfId="0" applyFont="1" applyFill="1" applyBorder="1" applyAlignment="1">
      <alignment horizontal="left"/>
    </xf>
    <xf numFmtId="0" fontId="0" fillId="0" borderId="47" xfId="0" applyBorder="1" applyAlignment="1">
      <alignment horizontal="left" vertical="center"/>
    </xf>
    <xf numFmtId="0" fontId="0" fillId="0" borderId="18" xfId="0" applyBorder="1" applyAlignment="1">
      <alignment horizontal="left"/>
    </xf>
    <xf numFmtId="0" fontId="4" fillId="2" borderId="36" xfId="0" applyFont="1" applyFill="1" applyBorder="1" applyAlignment="1">
      <alignment horizontal="center"/>
    </xf>
    <xf numFmtId="0" fontId="4" fillId="2" borderId="90" xfId="0" applyFont="1" applyFill="1" applyBorder="1" applyAlignment="1">
      <alignment horizontal="center"/>
    </xf>
    <xf numFmtId="0" fontId="4" fillId="2" borderId="55" xfId="0" applyFont="1" applyFill="1" applyBorder="1" applyAlignment="1">
      <alignment horizontal="center"/>
    </xf>
    <xf numFmtId="0" fontId="0" fillId="0" borderId="1" xfId="0" applyBorder="1" applyAlignment="1">
      <alignment horizontal="left"/>
    </xf>
    <xf numFmtId="0" fontId="0" fillId="0" borderId="1" xfId="0" applyBorder="1" applyAlignment="1">
      <alignment horizontal="left" vertical="top"/>
    </xf>
    <xf numFmtId="0" fontId="0" fillId="0" borderId="12" xfId="0" applyBorder="1" applyAlignment="1">
      <alignment horizontal="left"/>
    </xf>
    <xf numFmtId="0" fontId="4" fillId="4" borderId="1" xfId="0" applyFont="1" applyFill="1" applyBorder="1" applyAlignment="1">
      <alignment horizontal="left"/>
    </xf>
    <xf numFmtId="0" fontId="7" fillId="0" borderId="1" xfId="0" applyFont="1" applyBorder="1" applyAlignment="1">
      <alignment horizontal="left" vertical="center"/>
    </xf>
    <xf numFmtId="0" fontId="4" fillId="8" borderId="1" xfId="0" applyFont="1" applyFill="1" applyBorder="1" applyAlignment="1">
      <alignment horizontal="left"/>
    </xf>
    <xf numFmtId="0" fontId="17" fillId="0" borderId="18" xfId="0" applyFont="1" applyBorder="1" applyAlignment="1">
      <alignment horizontal="center"/>
    </xf>
    <xf numFmtId="0" fontId="17" fillId="0" borderId="19" xfId="0" applyFont="1" applyBorder="1" applyAlignment="1">
      <alignment horizontal="center"/>
    </xf>
    <xf numFmtId="0" fontId="4" fillId="0" borderId="49" xfId="0" applyFont="1" applyBorder="1" applyAlignment="1">
      <alignment horizontal="center" vertical="center"/>
    </xf>
    <xf numFmtId="0" fontId="4" fillId="0" borderId="58" xfId="0" applyFont="1" applyBorder="1" applyAlignment="1">
      <alignment horizontal="center" vertical="center"/>
    </xf>
    <xf numFmtId="0" fontId="4" fillId="0" borderId="53" xfId="0" applyFont="1" applyBorder="1" applyAlignment="1">
      <alignment horizontal="center" vertical="center"/>
    </xf>
    <xf numFmtId="0" fontId="4" fillId="0" borderId="75" xfId="0" applyFont="1" applyBorder="1" applyAlignment="1">
      <alignment horizontal="center" vertical="center"/>
    </xf>
    <xf numFmtId="0" fontId="4" fillId="0" borderId="76" xfId="0" applyFont="1" applyBorder="1" applyAlignment="1">
      <alignment horizontal="center" vertical="center"/>
    </xf>
    <xf numFmtId="0" fontId="0" fillId="0" borderId="47" xfId="0" applyBorder="1" applyAlignment="1">
      <alignment horizontal="left"/>
    </xf>
    <xf numFmtId="0" fontId="0" fillId="0" borderId="51" xfId="0" applyBorder="1" applyAlignment="1">
      <alignment horizontal="left"/>
    </xf>
    <xf numFmtId="0" fontId="0" fillId="0" borderId="19" xfId="0" applyBorder="1" applyAlignment="1">
      <alignment horizontal="left"/>
    </xf>
    <xf numFmtId="0" fontId="0" fillId="0" borderId="13" xfId="0" applyBorder="1" applyAlignment="1">
      <alignment horizontal="left"/>
    </xf>
    <xf numFmtId="0" fontId="4" fillId="0" borderId="49" xfId="0" applyFont="1" applyBorder="1" applyAlignment="1">
      <alignment horizontal="left" vertical="top"/>
    </xf>
    <xf numFmtId="0" fontId="4" fillId="0" borderId="63" xfId="0" applyFont="1" applyBorder="1" applyAlignment="1">
      <alignment horizontal="left" vertical="top"/>
    </xf>
    <xf numFmtId="0" fontId="4" fillId="0" borderId="58" xfId="0" applyFont="1" applyBorder="1" applyAlignment="1">
      <alignment horizontal="left" vertical="top"/>
    </xf>
    <xf numFmtId="0" fontId="4" fillId="0" borderId="53" xfId="0" applyFont="1" applyBorder="1" applyAlignment="1">
      <alignment horizontal="left" vertical="top"/>
    </xf>
    <xf numFmtId="0" fontId="4" fillId="0" borderId="52" xfId="0" applyFont="1" applyBorder="1" applyAlignment="1">
      <alignment horizontal="left" vertical="top"/>
    </xf>
    <xf numFmtId="0" fontId="4" fillId="0" borderId="78" xfId="0" applyFont="1" applyBorder="1" applyAlignment="1">
      <alignment horizontal="left" vertical="top"/>
    </xf>
    <xf numFmtId="0" fontId="4" fillId="0" borderId="0" xfId="0" applyFont="1" applyAlignment="1">
      <alignment horizontal="left" vertical="top"/>
    </xf>
    <xf numFmtId="0" fontId="4" fillId="0" borderId="79" xfId="0" applyFont="1" applyBorder="1" applyAlignment="1">
      <alignment horizontal="left" vertical="top"/>
    </xf>
    <xf numFmtId="0" fontId="4" fillId="0" borderId="1" xfId="0" applyFont="1" applyBorder="1" applyAlignment="1">
      <alignment horizontal="left"/>
    </xf>
    <xf numFmtId="0" fontId="4" fillId="0" borderId="18" xfId="0" applyFont="1" applyBorder="1" applyAlignment="1">
      <alignment horizontal="left"/>
    </xf>
    <xf numFmtId="0" fontId="6" fillId="6" borderId="18" xfId="0" applyFont="1" applyFill="1" applyBorder="1" applyAlignment="1">
      <alignment horizontal="left"/>
    </xf>
    <xf numFmtId="0" fontId="6" fillId="6" borderId="19" xfId="0" applyFont="1" applyFill="1" applyBorder="1" applyAlignment="1">
      <alignment horizontal="left"/>
    </xf>
    <xf numFmtId="0" fontId="6" fillId="6" borderId="1" xfId="0" applyFont="1" applyFill="1" applyBorder="1" applyAlignment="1">
      <alignment horizontal="left"/>
    </xf>
    <xf numFmtId="0" fontId="4" fillId="0" borderId="52" xfId="0" applyFont="1" applyBorder="1" applyAlignment="1">
      <alignment horizontal="center" vertical="center"/>
    </xf>
    <xf numFmtId="0" fontId="4" fillId="0" borderId="77" xfId="0" applyFont="1" applyBorder="1" applyAlignment="1">
      <alignment horizontal="center" vertical="center"/>
    </xf>
    <xf numFmtId="0" fontId="0" fillId="0" borderId="48" xfId="0" applyBorder="1" applyAlignment="1">
      <alignment horizontal="center"/>
    </xf>
    <xf numFmtId="0" fontId="4" fillId="0" borderId="47" xfId="0" applyFont="1" applyBorder="1" applyAlignment="1">
      <alignment horizontal="left"/>
    </xf>
    <xf numFmtId="0" fontId="4" fillId="0" borderId="51" xfId="0" applyFont="1" applyBorder="1" applyAlignment="1">
      <alignment horizontal="left"/>
    </xf>
    <xf numFmtId="0" fontId="4" fillId="0" borderId="53" xfId="0" applyFont="1" applyBorder="1" applyAlignment="1">
      <alignment horizontal="left"/>
    </xf>
    <xf numFmtId="0" fontId="4" fillId="0" borderId="52" xfId="0" applyFont="1" applyBorder="1" applyAlignment="1">
      <alignment horizontal="left"/>
    </xf>
    <xf numFmtId="0" fontId="4" fillId="0" borderId="58" xfId="0" applyFont="1" applyBorder="1" applyAlignment="1">
      <alignment horizontal="center"/>
    </xf>
    <xf numFmtId="0" fontId="4" fillId="0" borderId="53" xfId="0" applyFont="1" applyBorder="1" applyAlignment="1">
      <alignment horizontal="center"/>
    </xf>
    <xf numFmtId="0" fontId="11" fillId="0" borderId="12" xfId="0" applyFont="1" applyBorder="1" applyAlignment="1">
      <alignment horizontal="left"/>
    </xf>
    <xf numFmtId="0" fontId="11" fillId="0" borderId="82" xfId="0" applyFont="1" applyBorder="1" applyAlignment="1">
      <alignment horizontal="left"/>
    </xf>
    <xf numFmtId="0" fontId="19" fillId="0" borderId="18" xfId="0" applyFont="1" applyBorder="1" applyAlignment="1">
      <alignment horizontal="left"/>
    </xf>
    <xf numFmtId="0" fontId="19" fillId="0" borderId="19" xfId="0" applyFont="1" applyBorder="1" applyAlignment="1">
      <alignment horizontal="left"/>
    </xf>
    <xf numFmtId="0" fontId="19" fillId="0" borderId="13" xfId="0" applyFont="1" applyBorder="1" applyAlignment="1">
      <alignment horizontal="left"/>
    </xf>
    <xf numFmtId="0" fontId="0" fillId="0" borderId="66" xfId="0" applyBorder="1" applyAlignment="1">
      <alignment horizontal="left"/>
    </xf>
    <xf numFmtId="0" fontId="0" fillId="0" borderId="67" xfId="0" applyBorder="1" applyAlignment="1">
      <alignment horizontal="left"/>
    </xf>
    <xf numFmtId="0" fontId="0" fillId="0" borderId="45" xfId="0" applyBorder="1" applyAlignment="1">
      <alignment horizontal="left"/>
    </xf>
    <xf numFmtId="0" fontId="0" fillId="0" borderId="23" xfId="0" applyBorder="1" applyAlignment="1">
      <alignment horizontal="center"/>
    </xf>
    <xf numFmtId="0" fontId="0" fillId="0" borderId="11" xfId="0" applyBorder="1" applyAlignment="1">
      <alignment horizontal="center"/>
    </xf>
    <xf numFmtId="0" fontId="4" fillId="0" borderId="51" xfId="0" applyFont="1" applyBorder="1" applyAlignment="1">
      <alignment horizontal="left" vertical="center"/>
    </xf>
    <xf numFmtId="0" fontId="4" fillId="0" borderId="89" xfId="0" applyFont="1" applyBorder="1" applyAlignment="1">
      <alignment horizontal="left" vertical="center"/>
    </xf>
    <xf numFmtId="0" fontId="0" fillId="0" borderId="74" xfId="0" applyBorder="1" applyAlignment="1">
      <alignment horizontal="left"/>
    </xf>
    <xf numFmtId="0" fontId="0" fillId="0" borderId="71" xfId="0" applyBorder="1" applyAlignment="1">
      <alignment horizontal="left"/>
    </xf>
    <xf numFmtId="0" fontId="0" fillId="0" borderId="72" xfId="0" applyBorder="1" applyAlignment="1">
      <alignment horizontal="left"/>
    </xf>
    <xf numFmtId="0" fontId="0" fillId="0" borderId="68" xfId="0" applyBorder="1" applyAlignment="1">
      <alignment horizontal="left"/>
    </xf>
    <xf numFmtId="0" fontId="0" fillId="0" borderId="70" xfId="0" applyBorder="1" applyAlignment="1">
      <alignment horizontal="left"/>
    </xf>
    <xf numFmtId="0" fontId="0" fillId="0" borderId="69" xfId="0" applyBorder="1" applyAlignment="1">
      <alignment horizontal="left"/>
    </xf>
    <xf numFmtId="0" fontId="7" fillId="0" borderId="1" xfId="0" applyFont="1" applyBorder="1" applyAlignment="1">
      <alignment horizontal="left"/>
    </xf>
    <xf numFmtId="0" fontId="4" fillId="0" borderId="75" xfId="0" applyFont="1" applyBorder="1" applyAlignment="1">
      <alignment horizontal="left" vertical="top"/>
    </xf>
    <xf numFmtId="0" fontId="4" fillId="0" borderId="76" xfId="0" applyFont="1" applyBorder="1" applyAlignment="1">
      <alignment horizontal="left" vertical="top"/>
    </xf>
    <xf numFmtId="0" fontId="4" fillId="0" borderId="1" xfId="0" applyFont="1" applyBorder="1" applyAlignment="1">
      <alignment horizontal="left" vertical="top"/>
    </xf>
    <xf numFmtId="0" fontId="6" fillId="11" borderId="95" xfId="0" applyFont="1" applyFill="1" applyBorder="1" applyAlignment="1">
      <alignment horizontal="left"/>
    </xf>
    <xf numFmtId="0" fontId="6" fillId="11" borderId="90" xfId="0" applyFont="1" applyFill="1" applyBorder="1" applyAlignment="1">
      <alignment horizontal="left"/>
    </xf>
    <xf numFmtId="0" fontId="6" fillId="11" borderId="55" xfId="0" applyFont="1" applyFill="1" applyBorder="1" applyAlignment="1">
      <alignment horizontal="left"/>
    </xf>
    <xf numFmtId="0" fontId="22" fillId="11" borderId="98" xfId="0" applyFont="1" applyFill="1" applyBorder="1"/>
    <xf numFmtId="0" fontId="22" fillId="11" borderId="76" xfId="0" applyFont="1" applyFill="1" applyBorder="1"/>
    <xf numFmtId="0" fontId="22" fillId="11" borderId="97" xfId="0" applyFont="1" applyFill="1" applyBorder="1"/>
    <xf numFmtId="0" fontId="16" fillId="8" borderId="1" xfId="0" applyFont="1" applyFill="1" applyBorder="1" applyAlignment="1">
      <alignment horizontal="left"/>
    </xf>
    <xf numFmtId="0" fontId="6" fillId="6" borderId="83" xfId="0" applyFont="1" applyFill="1" applyBorder="1" applyAlignment="1">
      <alignment horizontal="left"/>
    </xf>
    <xf numFmtId="0" fontId="6" fillId="6" borderId="84" xfId="0" applyFont="1" applyFill="1" applyBorder="1" applyAlignment="1">
      <alignment horizontal="left"/>
    </xf>
    <xf numFmtId="0" fontId="0" fillId="0" borderId="49" xfId="0" applyBorder="1" applyAlignment="1">
      <alignment horizontal="center" vertical="top"/>
    </xf>
    <xf numFmtId="0" fontId="4" fillId="0" borderId="48" xfId="0" applyFont="1" applyBorder="1" applyAlignment="1">
      <alignment horizontal="left"/>
    </xf>
    <xf numFmtId="0" fontId="6" fillId="11" borderId="85" xfId="0" applyFont="1" applyFill="1" applyBorder="1" applyAlignment="1">
      <alignment horizontal="left"/>
    </xf>
    <xf numFmtId="0" fontId="6" fillId="11" borderId="86" xfId="0" applyFont="1" applyFill="1" applyBorder="1" applyAlignment="1">
      <alignment horizontal="left"/>
    </xf>
    <xf numFmtId="0" fontId="6" fillId="11" borderId="87" xfId="0" applyFont="1" applyFill="1" applyBorder="1" applyAlignment="1">
      <alignment horizontal="left"/>
    </xf>
    <xf numFmtId="0" fontId="22" fillId="11" borderId="88" xfId="0" applyFont="1" applyFill="1" applyBorder="1"/>
    <xf numFmtId="0" fontId="22" fillId="11" borderId="51" xfId="0" applyFont="1" applyFill="1" applyBorder="1"/>
    <xf numFmtId="0" fontId="22" fillId="11" borderId="89" xfId="0" applyFont="1" applyFill="1" applyBorder="1"/>
    <xf numFmtId="0" fontId="6" fillId="0" borderId="78" xfId="0" applyFont="1" applyBorder="1" applyAlignment="1">
      <alignment horizontal="left"/>
    </xf>
    <xf numFmtId="0" fontId="6" fillId="0" borderId="0" xfId="0" applyFont="1" applyAlignment="1">
      <alignment horizontal="left"/>
    </xf>
    <xf numFmtId="0" fontId="6" fillId="0" borderId="81" xfId="0" applyFont="1" applyBorder="1" applyAlignment="1">
      <alignment horizontal="left"/>
    </xf>
    <xf numFmtId="0" fontId="6" fillId="6" borderId="36" xfId="0" applyFont="1" applyFill="1" applyBorder="1" applyAlignment="1">
      <alignment horizontal="left"/>
    </xf>
    <xf numFmtId="0" fontId="6" fillId="6" borderId="90" xfId="0" applyFont="1" applyFill="1" applyBorder="1" applyAlignment="1">
      <alignment horizontal="left"/>
    </xf>
    <xf numFmtId="0" fontId="6" fillId="6" borderId="55" xfId="0" applyFont="1" applyFill="1" applyBorder="1" applyAlignment="1">
      <alignment horizontal="left"/>
    </xf>
    <xf numFmtId="0" fontId="17" fillId="0" borderId="13" xfId="0" applyFont="1" applyBorder="1" applyAlignment="1">
      <alignment horizontal="center"/>
    </xf>
    <xf numFmtId="0" fontId="35" fillId="0" borderId="94" xfId="0" applyFont="1" applyBorder="1" applyAlignment="1">
      <alignment horizontal="center"/>
    </xf>
    <xf numFmtId="0" fontId="11" fillId="0" borderId="23" xfId="0" applyFont="1" applyBorder="1"/>
    <xf numFmtId="0" fontId="0" fillId="0" borderId="13" xfId="0" applyBorder="1"/>
    <xf numFmtId="0" fontId="0" fillId="0" borderId="19" xfId="0" applyBorder="1"/>
    <xf numFmtId="0" fontId="0" fillId="0" borderId="63" xfId="0" applyBorder="1" applyAlignment="1">
      <alignment horizontal="center" vertical="top"/>
    </xf>
    <xf numFmtId="0" fontId="11" fillId="0" borderId="11" xfId="0" applyFont="1" applyBorder="1"/>
    <xf numFmtId="0" fontId="0" fillId="2" borderId="19" xfId="0" applyFill="1" applyBorder="1"/>
    <xf numFmtId="0" fontId="0" fillId="2" borderId="90" xfId="0" applyFill="1" applyBorder="1"/>
    <xf numFmtId="0" fontId="6" fillId="2" borderId="0" xfId="0" applyFont="1" applyFill="1"/>
    <xf numFmtId="0" fontId="7" fillId="2" borderId="0" xfId="0" applyFont="1" applyFill="1"/>
    <xf numFmtId="0" fontId="0" fillId="2" borderId="0" xfId="0" applyFill="1" applyAlignment="1">
      <alignment vertical="top"/>
    </xf>
    <xf numFmtId="0" fontId="4" fillId="2" borderId="0" xfId="0" applyFont="1" applyFill="1" applyAlignment="1">
      <alignment vertical="top"/>
    </xf>
    <xf numFmtId="0" fontId="16" fillId="2" borderId="0" xfId="0" applyFont="1" applyFill="1"/>
    <xf numFmtId="0" fontId="17" fillId="2" borderId="0" xfId="0" applyFont="1" applyFill="1"/>
    <xf numFmtId="0" fontId="0" fillId="28" borderId="92" xfId="0" applyFill="1" applyBorder="1" applyAlignment="1">
      <alignment horizontal="center"/>
    </xf>
    <xf numFmtId="0" fontId="19" fillId="0" borderId="11" xfId="0" applyFont="1" applyBorder="1" applyAlignment="1">
      <alignment vertical="top"/>
    </xf>
    <xf numFmtId="0" fontId="19" fillId="0" borderId="1" xfId="0" applyFont="1" applyBorder="1" applyAlignment="1">
      <alignment horizontal="center"/>
    </xf>
    <xf numFmtId="0" fontId="19" fillId="0" borderId="11" xfId="0" applyFont="1" applyBorder="1" applyAlignment="1">
      <alignment horizontal="left"/>
    </xf>
    <xf numFmtId="0" fontId="0" fillId="0" borderId="11" xfId="0" applyBorder="1"/>
    <xf numFmtId="0" fontId="0" fillId="26" borderId="13" xfId="0" applyFill="1" applyBorder="1"/>
    <xf numFmtId="0" fontId="0" fillId="26" borderId="0" xfId="0" applyFill="1"/>
    <xf numFmtId="164" fontId="11" fillId="0" borderId="18" xfId="0" applyNumberFormat="1" applyFont="1" applyBorder="1"/>
    <xf numFmtId="0" fontId="19" fillId="0" borderId="111" xfId="0" applyFont="1" applyBorder="1" applyAlignment="1">
      <alignment horizontal="center"/>
    </xf>
    <xf numFmtId="0" fontId="19" fillId="0" borderId="71" xfId="0" applyFont="1" applyBorder="1"/>
    <xf numFmtId="0" fontId="4" fillId="0" borderId="50" xfId="0" applyFont="1" applyBorder="1" applyAlignment="1">
      <alignment horizontal="left" vertical="top"/>
    </xf>
    <xf numFmtId="0" fontId="0" fillId="0" borderId="58" xfId="0" applyBorder="1" applyAlignment="1">
      <alignment horizontal="left"/>
    </xf>
    <xf numFmtId="0" fontId="0" fillId="0" borderId="53" xfId="0" applyBorder="1" applyAlignment="1">
      <alignment horizontal="left"/>
    </xf>
    <xf numFmtId="0" fontId="0" fillId="0" borderId="75" xfId="0" applyBorder="1"/>
    <xf numFmtId="0" fontId="11" fillId="0" borderId="36" xfId="0" applyFont="1" applyBorder="1"/>
    <xf numFmtId="0" fontId="19" fillId="0" borderId="12" xfId="0" applyFont="1" applyBorder="1"/>
    <xf numFmtId="0" fontId="20" fillId="0" borderId="12" xfId="0" applyFont="1" applyBorder="1" applyAlignment="1">
      <alignment horizontal="center" vertical="center"/>
    </xf>
    <xf numFmtId="0" fontId="0" fillId="0" borderId="18" xfId="0" applyBorder="1" applyAlignment="1">
      <alignment horizontal="left" vertical="top"/>
    </xf>
    <xf numFmtId="0" fontId="0" fillId="0" borderId="19" xfId="0" applyBorder="1" applyAlignment="1">
      <alignment horizontal="left" vertical="top"/>
    </xf>
    <xf numFmtId="0" fontId="0" fillId="0" borderId="13" xfId="0" applyBorder="1" applyAlignment="1">
      <alignment horizontal="left" vertical="top"/>
    </xf>
    <xf numFmtId="0" fontId="4" fillId="0" borderId="19" xfId="0" applyFont="1" applyBorder="1" applyAlignment="1">
      <alignment horizontal="left"/>
    </xf>
    <xf numFmtId="0" fontId="4" fillId="0" borderId="13" xfId="0" applyFont="1" applyBorder="1" applyAlignment="1">
      <alignment horizontal="left"/>
    </xf>
    <xf numFmtId="0" fontId="0" fillId="0" borderId="47" xfId="0" applyBorder="1" applyAlignment="1">
      <alignment horizontal="left" vertical="top"/>
    </xf>
    <xf numFmtId="0" fontId="0" fillId="0" borderId="51" xfId="0" applyBorder="1" applyAlignment="1">
      <alignment horizontal="left" vertical="top"/>
    </xf>
    <xf numFmtId="0" fontId="0" fillId="0" borderId="89" xfId="0" applyBorder="1" applyAlignment="1">
      <alignment horizontal="left" vertical="top"/>
    </xf>
    <xf numFmtId="0" fontId="6" fillId="0" borderId="1" xfId="0" applyFont="1" applyBorder="1" applyAlignment="1">
      <alignment horizontal="left"/>
    </xf>
    <xf numFmtId="0" fontId="4" fillId="0" borderId="58" xfId="0" applyFont="1" applyBorder="1" applyAlignment="1">
      <alignment horizontal="left"/>
    </xf>
    <xf numFmtId="0" fontId="11" fillId="0" borderId="82" xfId="0" applyFont="1" applyBorder="1" applyAlignment="1">
      <alignment horizontal="center"/>
    </xf>
    <xf numFmtId="0" fontId="6" fillId="6" borderId="82" xfId="0" applyFont="1" applyFill="1" applyBorder="1" applyAlignment="1">
      <alignment horizontal="left"/>
    </xf>
    <xf numFmtId="0" fontId="4" fillId="0" borderId="12" xfId="0" applyFont="1" applyBorder="1" applyAlignment="1">
      <alignment horizontal="center"/>
    </xf>
    <xf numFmtId="0" fontId="4" fillId="0" borderId="77" xfId="0" applyFont="1" applyBorder="1" applyAlignment="1">
      <alignment horizontal="left" vertical="top"/>
    </xf>
    <xf numFmtId="0" fontId="0" fillId="0" borderId="82" xfId="0" applyBorder="1" applyAlignment="1">
      <alignment horizontal="center" vertical="center"/>
    </xf>
    <xf numFmtId="0" fontId="0" fillId="0" borderId="36" xfId="0" applyBorder="1" applyAlignment="1">
      <alignment horizontal="center" vertical="center"/>
    </xf>
    <xf numFmtId="0" fontId="0" fillId="0" borderId="102" xfId="0" applyBorder="1" applyAlignment="1">
      <alignment horizontal="left" vertical="top"/>
    </xf>
    <xf numFmtId="0" fontId="0" fillId="3" borderId="13" xfId="0" applyFill="1" applyBorder="1" applyAlignment="1">
      <alignment horizontal="center" vertical="center"/>
    </xf>
    <xf numFmtId="0" fontId="8" fillId="0" borderId="78" xfId="0" applyFont="1" applyBorder="1" applyAlignment="1">
      <alignment horizontal="center"/>
    </xf>
    <xf numFmtId="0" fontId="0" fillId="2" borderId="18" xfId="0" applyFill="1" applyBorder="1" applyAlignment="1">
      <alignment horizontal="center" vertical="center"/>
    </xf>
    <xf numFmtId="0" fontId="2" fillId="2" borderId="36" xfId="0" applyFont="1" applyFill="1" applyBorder="1" applyAlignment="1">
      <alignment horizontal="center"/>
    </xf>
    <xf numFmtId="0" fontId="2" fillId="2" borderId="55" xfId="0" applyFont="1" applyFill="1" applyBorder="1" applyAlignment="1">
      <alignment horizontal="center"/>
    </xf>
    <xf numFmtId="0" fontId="0" fillId="0" borderId="23" xfId="0" applyBorder="1"/>
    <xf numFmtId="0" fontId="6" fillId="6" borderId="63" xfId="0" applyFont="1" applyFill="1" applyBorder="1"/>
    <xf numFmtId="0" fontId="0" fillId="6" borderId="0" xfId="0" applyFill="1"/>
    <xf numFmtId="0" fontId="4" fillId="22" borderId="1" xfId="0" applyFont="1" applyFill="1" applyBorder="1" applyAlignment="1">
      <alignment horizontal="center"/>
    </xf>
    <xf numFmtId="0" fontId="0" fillId="0" borderId="51" xfId="0" applyBorder="1"/>
    <xf numFmtId="0" fontId="0" fillId="0" borderId="53" xfId="0" applyBorder="1"/>
    <xf numFmtId="0" fontId="0" fillId="0" borderId="52" xfId="0" applyBorder="1"/>
    <xf numFmtId="0" fontId="4" fillId="0" borderId="76" xfId="0" applyFont="1" applyBorder="1" applyAlignment="1">
      <alignment horizontal="left"/>
    </xf>
    <xf numFmtId="0" fontId="0" fillId="2" borderId="11" xfId="0" applyFill="1" applyBorder="1" applyAlignment="1">
      <alignment horizontal="center" vertical="center"/>
    </xf>
    <xf numFmtId="0" fontId="0" fillId="2" borderId="1" xfId="0" applyFill="1" applyBorder="1" applyAlignment="1">
      <alignment horizontal="center" vertical="center" textRotation="90"/>
    </xf>
    <xf numFmtId="0" fontId="0" fillId="0" borderId="54" xfId="0" applyBorder="1" applyAlignment="1">
      <alignment horizontal="center"/>
    </xf>
    <xf numFmtId="2" fontId="0" fillId="0" borderId="49" xfId="0" applyNumberFormat="1" applyBorder="1"/>
    <xf numFmtId="0" fontId="11" fillId="0" borderId="0" xfId="0" applyFont="1" applyAlignment="1">
      <alignment horizontal="center" vertical="center"/>
    </xf>
    <xf numFmtId="0" fontId="4" fillId="0" borderId="79" xfId="0" applyFont="1" applyBorder="1" applyAlignment="1">
      <alignment horizontal="left"/>
    </xf>
    <xf numFmtId="164" fontId="4" fillId="2" borderId="1" xfId="0" applyNumberFormat="1" applyFont="1" applyFill="1" applyBorder="1"/>
    <xf numFmtId="0" fontId="4" fillId="29" borderId="0" xfId="0" applyFont="1" applyFill="1"/>
    <xf numFmtId="0" fontId="4" fillId="2" borderId="23" xfId="0" applyFont="1" applyFill="1" applyBorder="1" applyAlignment="1">
      <alignment horizontal="center"/>
    </xf>
    <xf numFmtId="0" fontId="4" fillId="0" borderId="23" xfId="0" applyFont="1" applyBorder="1"/>
    <xf numFmtId="0" fontId="4" fillId="29" borderId="23" xfId="0" applyFont="1" applyFill="1" applyBorder="1" applyAlignment="1">
      <alignment horizontal="center"/>
    </xf>
    <xf numFmtId="0" fontId="11" fillId="29" borderId="103" xfId="0" applyFont="1" applyFill="1" applyBorder="1"/>
    <xf numFmtId="0" fontId="11" fillId="29" borderId="47" xfId="0" applyFont="1" applyFill="1" applyBorder="1"/>
    <xf numFmtId="0" fontId="4" fillId="29" borderId="1" xfId="0" applyFont="1" applyFill="1" applyBorder="1"/>
    <xf numFmtId="0" fontId="8" fillId="0" borderId="19" xfId="0" applyFont="1" applyBorder="1" applyAlignment="1">
      <alignment horizontal="center" vertical="center"/>
    </xf>
    <xf numFmtId="0" fontId="8" fillId="0" borderId="13" xfId="0" applyFont="1" applyBorder="1" applyAlignment="1">
      <alignment horizontal="center"/>
    </xf>
    <xf numFmtId="0" fontId="8" fillId="0" borderId="12" xfId="0" applyFont="1" applyBorder="1" applyAlignment="1">
      <alignment horizontal="center" vertical="center"/>
    </xf>
    <xf numFmtId="0" fontId="4" fillId="0" borderId="18" xfId="0" applyFont="1" applyBorder="1" applyAlignment="1">
      <alignment horizontal="center" vertical="center"/>
    </xf>
    <xf numFmtId="0" fontId="4" fillId="0" borderId="19" xfId="0" applyFont="1" applyBorder="1" applyAlignment="1">
      <alignment horizontal="center" vertical="center"/>
    </xf>
    <xf numFmtId="0" fontId="4" fillId="0" borderId="13" xfId="0" applyFont="1" applyBorder="1" applyAlignment="1">
      <alignment horizontal="center" vertical="center"/>
    </xf>
    <xf numFmtId="0" fontId="4" fillId="29" borderId="18" xfId="0" applyFont="1" applyFill="1" applyBorder="1"/>
    <xf numFmtId="0" fontId="4" fillId="3" borderId="55" xfId="0" applyFont="1" applyFill="1" applyBorder="1"/>
    <xf numFmtId="0" fontId="0" fillId="0" borderId="81" xfId="0" applyBorder="1" applyAlignment="1">
      <alignment vertical="center"/>
    </xf>
    <xf numFmtId="0" fontId="4" fillId="0" borderId="0" xfId="0" applyFont="1" applyAlignment="1">
      <alignment horizontal="center" vertical="center" textRotation="90"/>
    </xf>
    <xf numFmtId="0" fontId="0" fillId="24" borderId="0" xfId="0" applyFill="1" applyAlignment="1">
      <alignment horizontal="center"/>
    </xf>
    <xf numFmtId="0" fontId="30" fillId="24" borderId="0" xfId="0" applyFont="1" applyFill="1" applyAlignment="1">
      <alignment horizontal="center" vertical="center"/>
    </xf>
    <xf numFmtId="0" fontId="0" fillId="3" borderId="0" xfId="0" applyFill="1" applyAlignment="1">
      <alignment horizontal="center" vertical="center"/>
    </xf>
    <xf numFmtId="0" fontId="0" fillId="0" borderId="12" xfId="0" applyBorder="1" applyAlignment="1">
      <alignment vertical="center"/>
    </xf>
    <xf numFmtId="0" fontId="0" fillId="0" borderId="16" xfId="0" applyBorder="1"/>
    <xf numFmtId="0" fontId="0" fillId="0" borderId="2" xfId="0" applyBorder="1"/>
    <xf numFmtId="0" fontId="0" fillId="29" borderId="2" xfId="0" applyFill="1" applyBorder="1"/>
    <xf numFmtId="0" fontId="0" fillId="26" borderId="11" xfId="0" applyFill="1" applyBorder="1"/>
    <xf numFmtId="0" fontId="0" fillId="0" borderId="38" xfId="0" applyBorder="1" applyAlignment="1">
      <alignment horizontal="center" vertical="center"/>
    </xf>
    <xf numFmtId="0" fontId="0" fillId="2" borderId="118" xfId="0" applyFill="1" applyBorder="1"/>
    <xf numFmtId="0" fontId="0" fillId="4" borderId="2" xfId="0" applyFill="1" applyBorder="1"/>
    <xf numFmtId="164" fontId="0" fillId="2" borderId="1" xfId="0" applyNumberFormat="1" applyFill="1" applyBorder="1"/>
    <xf numFmtId="0" fontId="0" fillId="0" borderId="104" xfId="0" applyBorder="1" applyAlignment="1">
      <alignment horizontal="left"/>
    </xf>
    <xf numFmtId="0" fontId="0" fillId="0" borderId="76" xfId="0" applyBorder="1" applyAlignment="1">
      <alignment horizontal="left"/>
    </xf>
    <xf numFmtId="0" fontId="0" fillId="0" borderId="105" xfId="0" applyBorder="1" applyAlignment="1">
      <alignment horizontal="left"/>
    </xf>
    <xf numFmtId="0" fontId="0" fillId="2" borderId="18" xfId="0" applyFill="1" applyBorder="1" applyAlignment="1">
      <alignment horizontal="left"/>
    </xf>
    <xf numFmtId="0" fontId="0" fillId="2" borderId="19" xfId="0" applyFill="1" applyBorder="1" applyAlignment="1">
      <alignment horizontal="left"/>
    </xf>
    <xf numFmtId="0" fontId="0" fillId="2" borderId="13" xfId="0" applyFill="1" applyBorder="1" applyAlignment="1">
      <alignment horizontal="left"/>
    </xf>
    <xf numFmtId="0" fontId="6" fillId="0" borderId="50" xfId="0" applyFont="1" applyBorder="1" applyAlignment="1">
      <alignment horizontal="center" vertical="center"/>
    </xf>
    <xf numFmtId="0" fontId="19" fillId="0" borderId="11" xfId="0" applyFont="1" applyBorder="1" applyAlignment="1">
      <alignment horizontal="center"/>
    </xf>
    <xf numFmtId="0" fontId="0" fillId="0" borderId="13" xfId="0" applyBorder="1" applyAlignment="1">
      <alignment horizontal="left" vertical="center"/>
    </xf>
    <xf numFmtId="0" fontId="4" fillId="0" borderId="1" xfId="0" applyFont="1" applyBorder="1" applyAlignment="1">
      <alignment horizontal="center"/>
    </xf>
    <xf numFmtId="0" fontId="0" fillId="0" borderId="82" xfId="0" applyBorder="1" applyAlignment="1">
      <alignment horizontal="center"/>
    </xf>
    <xf numFmtId="0" fontId="0" fillId="0" borderId="1" xfId="0" applyBorder="1" applyAlignment="1">
      <alignment horizontal="left" vertical="center"/>
    </xf>
    <xf numFmtId="0" fontId="19" fillId="0" borderId="90" xfId="0" applyFont="1" applyBorder="1" applyAlignment="1">
      <alignment horizontal="center" vertical="center"/>
    </xf>
    <xf numFmtId="0" fontId="6" fillId="30" borderId="1" xfId="0" applyFont="1" applyFill="1" applyBorder="1" applyAlignment="1">
      <alignment horizontal="left"/>
    </xf>
    <xf numFmtId="0" fontId="6" fillId="30" borderId="18" xfId="0" applyFont="1" applyFill="1" applyBorder="1" applyAlignment="1">
      <alignment horizontal="left"/>
    </xf>
    <xf numFmtId="0" fontId="6" fillId="30" borderId="19" xfId="0" applyFont="1" applyFill="1" applyBorder="1" applyAlignment="1">
      <alignment horizontal="left"/>
    </xf>
    <xf numFmtId="0" fontId="6" fillId="30" borderId="50" xfId="0" applyFont="1" applyFill="1" applyBorder="1"/>
    <xf numFmtId="0" fontId="0" fillId="30" borderId="50" xfId="0" applyFill="1" applyBorder="1"/>
    <xf numFmtId="0" fontId="4" fillId="30" borderId="1" xfId="0" applyFont="1" applyFill="1" applyBorder="1" applyAlignment="1">
      <alignment horizontal="center"/>
    </xf>
    <xf numFmtId="0" fontId="19" fillId="16" borderId="12" xfId="0" applyFont="1" applyFill="1" applyBorder="1"/>
    <xf numFmtId="11" fontId="19" fillId="16" borderId="0" xfId="0" applyNumberFormat="1" applyFont="1" applyFill="1"/>
    <xf numFmtId="0" fontId="19" fillId="16" borderId="23" xfId="0" applyFont="1" applyFill="1" applyBorder="1"/>
    <xf numFmtId="0" fontId="20" fillId="0" borderId="77" xfId="0" applyFont="1" applyBorder="1" applyAlignment="1">
      <alignment horizontal="center" vertical="center"/>
    </xf>
    <xf numFmtId="0" fontId="20" fillId="0" borderId="90" xfId="0" applyFont="1" applyBorder="1" applyAlignment="1">
      <alignment horizontal="center"/>
    </xf>
    <xf numFmtId="164" fontId="19" fillId="0" borderId="55" xfId="0" applyNumberFormat="1" applyFont="1" applyBorder="1"/>
    <xf numFmtId="164" fontId="19" fillId="0" borderId="90" xfId="0" applyNumberFormat="1" applyFont="1" applyBorder="1"/>
    <xf numFmtId="0" fontId="20" fillId="0" borderId="77" xfId="0" applyFont="1" applyBorder="1"/>
    <xf numFmtId="0" fontId="20" fillId="0" borderId="76" xfId="0" applyFont="1" applyBorder="1"/>
    <xf numFmtId="0" fontId="19" fillId="0" borderId="19" xfId="0" applyFont="1" applyBorder="1"/>
    <xf numFmtId="0" fontId="20" fillId="0" borderId="90" xfId="0" applyFont="1" applyBorder="1" applyAlignment="1">
      <alignment horizontal="center" vertical="center"/>
    </xf>
    <xf numFmtId="0" fontId="19" fillId="0" borderId="23" xfId="0" applyFont="1" applyBorder="1"/>
    <xf numFmtId="0" fontId="20" fillId="0" borderId="1" xfId="0" applyFont="1" applyBorder="1" applyAlignment="1">
      <alignment horizontal="center" vertical="center"/>
    </xf>
    <xf numFmtId="0" fontId="20" fillId="0" borderId="19" xfId="0" applyFont="1" applyBorder="1" applyAlignment="1">
      <alignment horizontal="center" vertical="center"/>
    </xf>
    <xf numFmtId="164" fontId="19" fillId="0" borderId="55" xfId="0" applyNumberFormat="1" applyFont="1" applyBorder="1" applyAlignment="1">
      <alignment horizontal="center"/>
    </xf>
    <xf numFmtId="164" fontId="19" fillId="0" borderId="55" xfId="0" applyNumberFormat="1" applyFont="1" applyBorder="1" applyAlignment="1">
      <alignment horizontal="center" vertical="center"/>
    </xf>
    <xf numFmtId="164" fontId="19" fillId="0" borderId="90" xfId="0" applyNumberFormat="1" applyFont="1" applyBorder="1" applyAlignment="1">
      <alignment horizontal="center"/>
    </xf>
    <xf numFmtId="11" fontId="19" fillId="0" borderId="0" xfId="0" applyNumberFormat="1" applyFont="1"/>
    <xf numFmtId="0" fontId="19" fillId="18" borderId="0" xfId="0" applyFont="1" applyFill="1"/>
    <xf numFmtId="0" fontId="0" fillId="0" borderId="81" xfId="0" applyBorder="1"/>
    <xf numFmtId="0" fontId="19" fillId="16" borderId="11" xfId="0" applyFont="1" applyFill="1" applyBorder="1"/>
    <xf numFmtId="11" fontId="19" fillId="16" borderId="13" xfId="0" applyNumberFormat="1" applyFont="1" applyFill="1" applyBorder="1" applyAlignment="1">
      <alignment horizontal="center" vertical="center"/>
    </xf>
    <xf numFmtId="0" fontId="6" fillId="16" borderId="55" xfId="0" applyFont="1" applyFill="1" applyBorder="1" applyAlignment="1">
      <alignment horizontal="center"/>
    </xf>
    <xf numFmtId="0" fontId="38" fillId="16" borderId="55" xfId="0" applyFont="1" applyFill="1" applyBorder="1" applyAlignment="1">
      <alignment horizontal="center"/>
    </xf>
    <xf numFmtId="0" fontId="19" fillId="16" borderId="55" xfId="0" applyFont="1" applyFill="1" applyBorder="1" applyAlignment="1">
      <alignment horizontal="right"/>
    </xf>
    <xf numFmtId="0" fontId="0" fillId="0" borderId="55" xfId="0" applyBorder="1" applyAlignment="1">
      <alignment horizontal="right"/>
    </xf>
    <xf numFmtId="0" fontId="6" fillId="0" borderId="55" xfId="0" applyFont="1" applyBorder="1" applyAlignment="1">
      <alignment horizontal="right"/>
    </xf>
    <xf numFmtId="0" fontId="39" fillId="0" borderId="55" xfId="0" applyFont="1" applyBorder="1"/>
    <xf numFmtId="11" fontId="19" fillId="0" borderId="55" xfId="0" applyNumberFormat="1" applyFont="1" applyBorder="1" applyAlignment="1">
      <alignment horizontal="center"/>
    </xf>
    <xf numFmtId="0" fontId="0" fillId="30" borderId="83" xfId="0" applyFill="1" applyBorder="1"/>
    <xf numFmtId="0" fontId="0" fillId="30" borderId="84" xfId="0" applyFill="1" applyBorder="1"/>
    <xf numFmtId="0" fontId="0" fillId="30" borderId="54" xfId="0" applyFill="1" applyBorder="1"/>
    <xf numFmtId="0" fontId="20" fillId="2" borderId="0" xfId="0" applyFont="1" applyFill="1" applyAlignment="1">
      <alignment horizontal="center" vertical="center"/>
    </xf>
    <xf numFmtId="0" fontId="4" fillId="34" borderId="0" xfId="0" applyFont="1" applyFill="1" applyAlignment="1">
      <alignment horizontal="center"/>
    </xf>
    <xf numFmtId="2" fontId="0" fillId="0" borderId="1" xfId="0" applyNumberFormat="1" applyBorder="1" applyAlignment="1">
      <alignment horizontal="center"/>
    </xf>
    <xf numFmtId="0" fontId="0" fillId="0" borderId="58" xfId="0" applyBorder="1" applyAlignment="1">
      <alignment horizontal="left" vertical="center"/>
    </xf>
    <xf numFmtId="0" fontId="0" fillId="0" borderId="53" xfId="0" applyBorder="1" applyAlignment="1">
      <alignment horizontal="left" vertical="center"/>
    </xf>
    <xf numFmtId="0" fontId="0" fillId="0" borderId="91" xfId="0" applyBorder="1" applyAlignment="1">
      <alignment horizontal="left" vertical="center"/>
    </xf>
    <xf numFmtId="0" fontId="4" fillId="0" borderId="12" xfId="0" applyFont="1" applyBorder="1" applyAlignment="1">
      <alignment horizontal="center" vertical="center"/>
    </xf>
    <xf numFmtId="2" fontId="0" fillId="0" borderId="12" xfId="0" applyNumberFormat="1" applyBorder="1" applyAlignment="1">
      <alignment horizontal="center"/>
    </xf>
    <xf numFmtId="0" fontId="0" fillId="2" borderId="81" xfId="0" applyFill="1" applyBorder="1"/>
    <xf numFmtId="0" fontId="0" fillId="0" borderId="36" xfId="0" applyBorder="1"/>
    <xf numFmtId="0" fontId="6" fillId="30" borderId="83" xfId="0" applyFont="1" applyFill="1" applyBorder="1" applyAlignment="1">
      <alignment horizontal="left"/>
    </xf>
    <xf numFmtId="0" fontId="6" fillId="30" borderId="84" xfId="0" applyFont="1" applyFill="1" applyBorder="1" applyAlignment="1">
      <alignment horizontal="left"/>
    </xf>
    <xf numFmtId="0" fontId="6" fillId="30" borderId="54" xfId="0" applyFont="1" applyFill="1" applyBorder="1" applyAlignment="1">
      <alignment horizontal="left"/>
    </xf>
    <xf numFmtId="0" fontId="4" fillId="34" borderId="0" xfId="0" applyFont="1" applyFill="1"/>
    <xf numFmtId="0" fontId="0" fillId="0" borderId="78" xfId="0" applyBorder="1" applyAlignment="1">
      <alignment horizontal="left"/>
    </xf>
    <xf numFmtId="0" fontId="0" fillId="0" borderId="81" xfId="0" applyBorder="1" applyAlignment="1">
      <alignment horizontal="left"/>
    </xf>
    <xf numFmtId="0" fontId="6" fillId="9" borderId="85" xfId="0" applyFont="1" applyFill="1" applyBorder="1" applyAlignment="1">
      <alignment horizontal="left"/>
    </xf>
    <xf numFmtId="0" fontId="6" fillId="9" borderId="86" xfId="0" applyFont="1" applyFill="1" applyBorder="1" applyAlignment="1">
      <alignment horizontal="left"/>
    </xf>
    <xf numFmtId="0" fontId="6" fillId="9" borderId="87" xfId="0" applyFont="1" applyFill="1" applyBorder="1" applyAlignment="1">
      <alignment horizontal="left"/>
    </xf>
    <xf numFmtId="2" fontId="4" fillId="0" borderId="55" xfId="0" applyNumberFormat="1" applyFont="1" applyBorder="1"/>
    <xf numFmtId="0" fontId="4" fillId="0" borderId="63" xfId="0" applyFont="1" applyBorder="1" applyAlignment="1">
      <alignment horizontal="center" vertical="center"/>
    </xf>
    <xf numFmtId="0" fontId="4" fillId="0" borderId="11" xfId="0" applyFont="1" applyBorder="1" applyAlignment="1">
      <alignment horizontal="center" vertical="center"/>
    </xf>
    <xf numFmtId="0" fontId="11" fillId="0" borderId="94" xfId="0" applyFont="1" applyBorder="1"/>
    <xf numFmtId="0" fontId="0" fillId="30" borderId="0" xfId="0" applyFill="1"/>
    <xf numFmtId="0" fontId="6" fillId="30" borderId="90" xfId="0" applyFont="1" applyFill="1" applyBorder="1" applyAlignment="1">
      <alignment horizontal="left"/>
    </xf>
    <xf numFmtId="0" fontId="6" fillId="30" borderId="36" xfId="0" applyFont="1" applyFill="1" applyBorder="1" applyAlignment="1">
      <alignment horizontal="left"/>
    </xf>
    <xf numFmtId="0" fontId="6" fillId="30" borderId="55" xfId="0" applyFont="1" applyFill="1" applyBorder="1" applyAlignment="1">
      <alignment horizontal="left"/>
    </xf>
    <xf numFmtId="0" fontId="4" fillId="0" borderId="82" xfId="0" applyFont="1" applyBorder="1" applyAlignment="1">
      <alignment horizontal="center" vertical="center"/>
    </xf>
    <xf numFmtId="0" fontId="0" fillId="35" borderId="1" xfId="0" applyFill="1" applyBorder="1"/>
    <xf numFmtId="0" fontId="0" fillId="22" borderId="1" xfId="0" applyFill="1" applyBorder="1"/>
    <xf numFmtId="0" fontId="0" fillId="2" borderId="0" xfId="0" applyFill="1" applyAlignment="1">
      <alignment vertical="center"/>
    </xf>
    <xf numFmtId="166" fontId="0" fillId="0" borderId="1" xfId="0" applyNumberFormat="1" applyBorder="1" applyAlignment="1">
      <alignment horizontal="center"/>
    </xf>
    <xf numFmtId="166" fontId="0" fillId="2" borderId="0" xfId="0" applyNumberFormat="1" applyFill="1"/>
    <xf numFmtId="166" fontId="0" fillId="0" borderId="0" xfId="0" applyNumberFormat="1" applyAlignment="1">
      <alignment horizontal="center"/>
    </xf>
    <xf numFmtId="0" fontId="0" fillId="0" borderId="12" xfId="0" applyBorder="1" applyAlignment="1">
      <alignment horizontal="left" vertical="top"/>
    </xf>
    <xf numFmtId="0" fontId="11" fillId="0" borderId="12" xfId="0" applyFont="1" applyBorder="1"/>
    <xf numFmtId="164" fontId="0" fillId="2" borderId="23" xfId="0" applyNumberFormat="1" applyFill="1" applyBorder="1"/>
    <xf numFmtId="0" fontId="4" fillId="2" borderId="0" xfId="0" applyFont="1" applyFill="1" applyAlignment="1">
      <alignment vertical="center"/>
    </xf>
    <xf numFmtId="0" fontId="4" fillId="0" borderId="46" xfId="0" applyFont="1" applyBorder="1" applyAlignment="1">
      <alignment horizontal="center" vertical="center"/>
    </xf>
    <xf numFmtId="0" fontId="0" fillId="0" borderId="46" xfId="0" applyBorder="1" applyAlignment="1">
      <alignment horizontal="center" vertical="center"/>
    </xf>
    <xf numFmtId="2" fontId="0" fillId="5" borderId="0" xfId="0" applyNumberFormat="1" applyFill="1" applyAlignment="1">
      <alignment horizontal="center"/>
    </xf>
    <xf numFmtId="0" fontId="4" fillId="14" borderId="11" xfId="0" applyFont="1" applyFill="1" applyBorder="1" applyAlignment="1">
      <alignment horizontal="center"/>
    </xf>
    <xf numFmtId="0" fontId="0" fillId="5" borderId="26" xfId="0" applyFill="1" applyBorder="1" applyAlignment="1">
      <alignment horizontal="center"/>
    </xf>
    <xf numFmtId="0" fontId="4" fillId="0" borderId="11" xfId="0" applyFont="1" applyBorder="1" applyAlignment="1">
      <alignment horizontal="center"/>
    </xf>
    <xf numFmtId="0" fontId="0" fillId="29" borderId="0" xfId="0" applyFill="1" applyAlignment="1">
      <alignment horizontal="center"/>
    </xf>
    <xf numFmtId="0" fontId="0" fillId="0" borderId="51" xfId="0" applyBorder="1" applyAlignment="1">
      <alignment horizontal="left" vertical="center"/>
    </xf>
    <xf numFmtId="0" fontId="0" fillId="0" borderId="89" xfId="0" applyBorder="1" applyAlignment="1">
      <alignment horizontal="left" vertical="center"/>
    </xf>
    <xf numFmtId="11" fontId="0" fillId="0" borderId="102" xfId="0" applyNumberFormat="1" applyBorder="1" applyAlignment="1">
      <alignment horizontal="center"/>
    </xf>
    <xf numFmtId="0" fontId="0" fillId="0" borderId="12" xfId="0" applyBorder="1" applyAlignment="1">
      <alignment horizontal="left" vertical="center"/>
    </xf>
    <xf numFmtId="0" fontId="4" fillId="0" borderId="78" xfId="0" applyFont="1" applyBorder="1" applyAlignment="1">
      <alignment horizontal="center" vertical="center"/>
    </xf>
    <xf numFmtId="0" fontId="0" fillId="0" borderId="82" xfId="0" applyBorder="1" applyAlignment="1">
      <alignment horizontal="left" vertical="top"/>
    </xf>
    <xf numFmtId="0" fontId="0" fillId="2" borderId="1" xfId="0" applyFill="1" applyBorder="1" applyAlignment="1">
      <alignment horizontal="left"/>
    </xf>
    <xf numFmtId="0" fontId="35" fillId="0" borderId="0" xfId="0" applyFont="1"/>
    <xf numFmtId="0" fontId="4" fillId="0" borderId="75" xfId="0" applyFont="1" applyBorder="1" applyAlignment="1">
      <alignment horizontal="left"/>
    </xf>
    <xf numFmtId="0" fontId="4" fillId="0" borderId="0" xfId="0" applyFont="1" applyAlignment="1">
      <alignment horizontal="left"/>
    </xf>
    <xf numFmtId="2" fontId="0" fillId="0" borderId="0" xfId="0" applyNumberFormat="1"/>
    <xf numFmtId="0" fontId="4" fillId="0" borderId="0" xfId="0" applyFont="1" applyAlignment="1">
      <alignment horizontal="center" vertical="center"/>
    </xf>
    <xf numFmtId="0" fontId="0" fillId="37" borderId="0" xfId="0" applyFill="1" applyAlignment="1">
      <alignment wrapText="1"/>
    </xf>
    <xf numFmtId="0" fontId="0" fillId="37" borderId="123" xfId="0" applyFill="1" applyBorder="1" applyAlignment="1">
      <alignment wrapText="1"/>
    </xf>
    <xf numFmtId="0" fontId="0" fillId="37" borderId="124" xfId="0" applyFill="1" applyBorder="1" applyAlignment="1">
      <alignment wrapText="1"/>
    </xf>
    <xf numFmtId="0" fontId="0" fillId="0" borderId="0" xfId="0" applyAlignment="1">
      <alignment horizontal="center" wrapText="1"/>
    </xf>
    <xf numFmtId="0" fontId="0" fillId="37" borderId="0" xfId="0" applyFill="1" applyAlignment="1">
      <alignment horizontal="center" wrapText="1"/>
    </xf>
    <xf numFmtId="0" fontId="0" fillId="0" borderId="0" xfId="0" applyAlignment="1">
      <alignment wrapText="1"/>
    </xf>
    <xf numFmtId="0" fontId="4" fillId="38" borderId="123" xfId="0" applyFont="1" applyFill="1" applyBorder="1" applyAlignment="1">
      <alignment horizontal="center" vertical="center" wrapText="1"/>
    </xf>
    <xf numFmtId="0" fontId="4" fillId="39" borderId="0" xfId="0" applyFont="1" applyFill="1" applyAlignment="1">
      <alignment horizontal="center" vertical="center" wrapText="1"/>
    </xf>
    <xf numFmtId="0" fontId="0" fillId="42" borderId="0" xfId="0" applyFill="1" applyAlignment="1">
      <alignment wrapText="1"/>
    </xf>
    <xf numFmtId="2" fontId="4" fillId="38" borderId="123" xfId="0" applyNumberFormat="1" applyFont="1" applyFill="1" applyBorder="1" applyAlignment="1">
      <alignment horizontal="center" vertical="center" wrapText="1"/>
    </xf>
    <xf numFmtId="2" fontId="0" fillId="37" borderId="0" xfId="0" applyNumberFormat="1" applyFill="1" applyAlignment="1">
      <alignment horizontal="center" wrapText="1"/>
    </xf>
    <xf numFmtId="2" fontId="0" fillId="0" borderId="0" xfId="0" applyNumberFormat="1" applyAlignment="1">
      <alignment horizontal="center" wrapText="1"/>
    </xf>
    <xf numFmtId="2" fontId="0" fillId="41" borderId="0" xfId="0" applyNumberFormat="1" applyFill="1" applyAlignment="1">
      <alignment horizontal="center" wrapText="1"/>
    </xf>
    <xf numFmtId="0" fontId="11" fillId="0" borderId="11" xfId="0" applyFont="1" applyBorder="1" applyAlignment="1">
      <alignment horizontal="center" vertical="center"/>
    </xf>
    <xf numFmtId="0" fontId="0" fillId="0" borderId="54" xfId="0" applyBorder="1"/>
    <xf numFmtId="0" fontId="6" fillId="30" borderId="1" xfId="0" applyFont="1" applyFill="1" applyBorder="1"/>
    <xf numFmtId="0" fontId="0" fillId="30" borderId="1" xfId="0" applyFill="1" applyBorder="1"/>
    <xf numFmtId="164" fontId="48" fillId="0" borderId="1" xfId="0" applyNumberFormat="1" applyFont="1" applyBorder="1" applyAlignment="1">
      <alignment horizontal="center"/>
    </xf>
    <xf numFmtId="164" fontId="48" fillId="0" borderId="1" xfId="0" applyNumberFormat="1" applyFont="1" applyBorder="1" applyAlignment="1">
      <alignment horizontal="center" vertical="center"/>
    </xf>
    <xf numFmtId="164" fontId="48" fillId="2" borderId="1" xfId="0" applyNumberFormat="1" applyFont="1" applyFill="1" applyBorder="1" applyAlignment="1">
      <alignment horizontal="center" vertical="center"/>
    </xf>
    <xf numFmtId="0" fontId="48" fillId="0" borderId="12" xfId="0" applyFont="1" applyBorder="1" applyAlignment="1">
      <alignment horizontal="center"/>
    </xf>
    <xf numFmtId="0" fontId="48" fillId="0" borderId="82" xfId="0" applyFont="1" applyBorder="1" applyAlignment="1">
      <alignment horizontal="center"/>
    </xf>
    <xf numFmtId="164" fontId="4" fillId="2" borderId="23" xfId="0" applyNumberFormat="1" applyFont="1" applyFill="1" applyBorder="1"/>
    <xf numFmtId="0" fontId="4" fillId="43" borderId="18" xfId="0" applyFont="1" applyFill="1" applyBorder="1"/>
    <xf numFmtId="11" fontId="0" fillId="0" borderId="0" xfId="0" applyNumberFormat="1" applyAlignment="1">
      <alignment horizontal="center"/>
    </xf>
    <xf numFmtId="0" fontId="0" fillId="43" borderId="18" xfId="0" applyFill="1" applyBorder="1" applyAlignment="1">
      <alignment horizontal="center"/>
    </xf>
    <xf numFmtId="0" fontId="0" fillId="43" borderId="18" xfId="0" applyFill="1" applyBorder="1"/>
    <xf numFmtId="0" fontId="6" fillId="2" borderId="1" xfId="0" applyFont="1" applyFill="1" applyBorder="1"/>
    <xf numFmtId="0" fontId="0" fillId="2" borderId="1" xfId="0" applyFill="1" applyBorder="1" applyAlignment="1">
      <alignment horizontal="right"/>
    </xf>
    <xf numFmtId="0" fontId="0" fillId="2" borderId="1" xfId="0" applyFill="1" applyBorder="1" applyAlignment="1">
      <alignment horizontal="left" vertical="top"/>
    </xf>
    <xf numFmtId="164" fontId="19" fillId="16" borderId="23" xfId="0" applyNumberFormat="1" applyFont="1" applyFill="1" applyBorder="1"/>
    <xf numFmtId="0" fontId="2" fillId="44" borderId="1" xfId="0" applyFont="1" applyFill="1" applyBorder="1"/>
    <xf numFmtId="0" fontId="19" fillId="2" borderId="1" xfId="0" applyFont="1" applyFill="1" applyBorder="1" applyAlignment="1">
      <alignment horizontal="center"/>
    </xf>
    <xf numFmtId="0" fontId="19" fillId="2" borderId="1" xfId="0" applyFont="1" applyFill="1" applyBorder="1"/>
    <xf numFmtId="0" fontId="19" fillId="2" borderId="18" xfId="0" applyFont="1" applyFill="1" applyBorder="1" applyAlignment="1">
      <alignment horizontal="left"/>
    </xf>
    <xf numFmtId="0" fontId="19" fillId="2" borderId="55" xfId="0" applyFont="1" applyFill="1" applyBorder="1"/>
    <xf numFmtId="0" fontId="6" fillId="2" borderId="23" xfId="0" applyFont="1" applyFill="1" applyBorder="1"/>
    <xf numFmtId="0" fontId="6" fillId="27" borderId="63" xfId="0" applyFont="1" applyFill="1" applyBorder="1"/>
    <xf numFmtId="0" fontId="19" fillId="27" borderId="79" xfId="0" applyFont="1" applyFill="1" applyBorder="1"/>
    <xf numFmtId="0" fontId="20" fillId="2" borderId="95" xfId="0" applyFont="1" applyFill="1" applyBorder="1" applyAlignment="1">
      <alignment horizontal="center" vertical="center"/>
    </xf>
    <xf numFmtId="0" fontId="0" fillId="27" borderId="18" xfId="0" applyFill="1" applyBorder="1"/>
    <xf numFmtId="0" fontId="0" fillId="27" borderId="19" xfId="0" applyFill="1" applyBorder="1"/>
    <xf numFmtId="0" fontId="6" fillId="27" borderId="19" xfId="0" applyFont="1" applyFill="1" applyBorder="1"/>
    <xf numFmtId="0" fontId="6" fillId="27" borderId="90" xfId="0" applyFont="1" applyFill="1" applyBorder="1"/>
    <xf numFmtId="0" fontId="19" fillId="2" borderId="18" xfId="0" applyFont="1" applyFill="1" applyBorder="1" applyAlignment="1">
      <alignment horizontal="left" vertical="top"/>
    </xf>
    <xf numFmtId="0" fontId="6" fillId="27" borderId="18" xfId="0" applyFont="1" applyFill="1" applyBorder="1" applyAlignment="1">
      <alignment horizontal="center"/>
    </xf>
    <xf numFmtId="0" fontId="19" fillId="2" borderId="12" xfId="0" applyFont="1" applyFill="1" applyBorder="1" applyAlignment="1">
      <alignment horizontal="center"/>
    </xf>
    <xf numFmtId="0" fontId="6" fillId="2" borderId="55" xfId="0" applyFont="1" applyFill="1" applyBorder="1"/>
    <xf numFmtId="0" fontId="0" fillId="3" borderId="0" xfId="0" applyFill="1"/>
    <xf numFmtId="2" fontId="2" fillId="3" borderId="1" xfId="0" applyNumberFormat="1" applyFont="1" applyFill="1" applyBorder="1"/>
    <xf numFmtId="0" fontId="0" fillId="0" borderId="0" xfId="0" applyAlignment="1">
      <alignment horizontal="left" vertical="center"/>
    </xf>
    <xf numFmtId="43" fontId="0" fillId="0" borderId="0" xfId="1" applyFont="1"/>
    <xf numFmtId="43" fontId="19" fillId="0" borderId="1" xfId="1" applyFont="1" applyBorder="1" applyAlignment="1">
      <alignment horizontal="center" vertical="center"/>
    </xf>
    <xf numFmtId="43" fontId="19" fillId="0" borderId="55" xfId="1" applyFont="1" applyBorder="1" applyAlignment="1">
      <alignment horizontal="center"/>
    </xf>
    <xf numFmtId="43" fontId="19" fillId="2" borderId="55" xfId="1" applyFont="1" applyFill="1" applyBorder="1" applyAlignment="1">
      <alignment horizontal="center"/>
    </xf>
    <xf numFmtId="43" fontId="4" fillId="0" borderId="18" xfId="1" applyFont="1" applyBorder="1" applyAlignment="1">
      <alignment horizontal="center" vertical="center"/>
    </xf>
    <xf numFmtId="43" fontId="0" fillId="0" borderId="1" xfId="1" applyFont="1" applyBorder="1"/>
    <xf numFmtId="43" fontId="37" fillId="0" borderId="1" xfId="1" applyFont="1" applyBorder="1" applyAlignment="1">
      <alignment horizontal="center" vertical="center"/>
    </xf>
    <xf numFmtId="43" fontId="19" fillId="0" borderId="81" xfId="1" applyFont="1" applyBorder="1" applyAlignment="1">
      <alignment horizontal="center"/>
    </xf>
    <xf numFmtId="43" fontId="19" fillId="0" borderId="1" xfId="1" applyFont="1" applyBorder="1" applyAlignment="1">
      <alignment horizontal="center"/>
    </xf>
    <xf numFmtId="43" fontId="19" fillId="0" borderId="12" xfId="1" applyFont="1" applyBorder="1" applyAlignment="1">
      <alignment horizontal="center" vertical="center"/>
    </xf>
    <xf numFmtId="43" fontId="19" fillId="2" borderId="81" xfId="1" applyFont="1" applyFill="1" applyBorder="1" applyAlignment="1">
      <alignment horizontal="center"/>
    </xf>
    <xf numFmtId="43" fontId="4" fillId="0" borderId="84" xfId="1" applyFont="1" applyBorder="1" applyAlignment="1">
      <alignment horizontal="center" vertical="center"/>
    </xf>
    <xf numFmtId="43" fontId="0" fillId="0" borderId="12" xfId="1" applyFont="1" applyBorder="1"/>
    <xf numFmtId="43" fontId="6" fillId="22" borderId="115" xfId="1" applyFont="1" applyFill="1" applyBorder="1" applyAlignment="1">
      <alignment horizontal="center" vertical="center"/>
    </xf>
    <xf numFmtId="43" fontId="6" fillId="5" borderId="116" xfId="1" applyFont="1" applyFill="1" applyBorder="1" applyAlignment="1">
      <alignment horizontal="center" vertical="center"/>
    </xf>
    <xf numFmtId="43" fontId="6" fillId="2" borderId="116" xfId="1" applyFont="1" applyFill="1" applyBorder="1" applyAlignment="1">
      <alignment horizontal="center" vertical="center"/>
    </xf>
    <xf numFmtId="43" fontId="0" fillId="2" borderId="1" xfId="1" applyFont="1" applyFill="1" applyBorder="1" applyAlignment="1">
      <alignment horizontal="center"/>
    </xf>
    <xf numFmtId="43" fontId="0" fillId="0" borderId="0" xfId="1" applyFont="1" applyAlignment="1">
      <alignment horizontal="center"/>
    </xf>
    <xf numFmtId="43" fontId="0" fillId="2" borderId="1" xfId="1" applyFont="1" applyFill="1" applyBorder="1" applyAlignment="1">
      <alignment horizontal="center" vertical="center"/>
    </xf>
    <xf numFmtId="43" fontId="0" fillId="0" borderId="0" xfId="0" applyNumberFormat="1" applyAlignment="1">
      <alignment horizontal="center" wrapText="1"/>
    </xf>
    <xf numFmtId="43" fontId="0" fillId="39" borderId="0" xfId="0" applyNumberFormat="1" applyFill="1" applyAlignment="1">
      <alignment horizontal="center" wrapText="1"/>
    </xf>
    <xf numFmtId="0" fontId="8" fillId="0" borderId="68" xfId="0" applyFont="1" applyBorder="1" applyAlignment="1">
      <alignment horizontal="left"/>
    </xf>
    <xf numFmtId="43" fontId="0" fillId="2" borderId="1" xfId="0" applyNumberFormat="1" applyFill="1" applyBorder="1" applyAlignment="1">
      <alignment horizontal="center"/>
    </xf>
    <xf numFmtId="43" fontId="0" fillId="2" borderId="18" xfId="0" applyNumberFormat="1" applyFill="1" applyBorder="1"/>
    <xf numFmtId="43" fontId="0" fillId="2" borderId="1" xfId="0" applyNumberFormat="1" applyFill="1" applyBorder="1"/>
    <xf numFmtId="43" fontId="0" fillId="0" borderId="0" xfId="0" applyNumberFormat="1"/>
    <xf numFmtId="43" fontId="0" fillId="0" borderId="16" xfId="0" applyNumberFormat="1" applyBorder="1"/>
    <xf numFmtId="43" fontId="0" fillId="2" borderId="11" xfId="0" applyNumberFormat="1" applyFill="1" applyBorder="1"/>
    <xf numFmtId="0" fontId="16" fillId="0" borderId="18" xfId="0" applyFont="1" applyBorder="1" applyAlignment="1">
      <alignment horizontal="left"/>
    </xf>
    <xf numFmtId="0" fontId="16" fillId="0" borderId="19" xfId="0" applyFont="1" applyBorder="1" applyAlignment="1">
      <alignment horizontal="left"/>
    </xf>
    <xf numFmtId="0" fontId="16" fillId="0" borderId="13" xfId="0" applyFont="1" applyBorder="1" applyAlignment="1">
      <alignment horizontal="left"/>
    </xf>
    <xf numFmtId="2" fontId="8" fillId="0" borderId="1" xfId="0" applyNumberFormat="1" applyFont="1" applyBorder="1" applyAlignment="1">
      <alignment horizontal="center" vertical="center"/>
    </xf>
    <xf numFmtId="2" fontId="8" fillId="0" borderId="18" xfId="0" applyNumberFormat="1" applyFont="1" applyBorder="1" applyAlignment="1">
      <alignment horizontal="center"/>
    </xf>
    <xf numFmtId="2" fontId="8" fillId="0" borderId="12" xfId="0" applyNumberFormat="1" applyFont="1" applyBorder="1" applyAlignment="1">
      <alignment horizontal="center" vertical="center"/>
    </xf>
    <xf numFmtId="2" fontId="8" fillId="0" borderId="1" xfId="0" applyNumberFormat="1" applyFont="1" applyBorder="1" applyAlignment="1">
      <alignment horizontal="center"/>
    </xf>
    <xf numFmtId="0" fontId="8" fillId="0" borderId="82" xfId="0" applyFont="1" applyBorder="1" applyAlignment="1">
      <alignment horizontal="center" vertical="center"/>
    </xf>
    <xf numFmtId="164" fontId="8" fillId="43" borderId="12" xfId="0" applyNumberFormat="1" applyFont="1" applyFill="1" applyBorder="1" applyAlignment="1">
      <alignment horizontal="center"/>
    </xf>
    <xf numFmtId="0" fontId="8" fillId="43" borderId="18" xfId="0" applyFont="1" applyFill="1" applyBorder="1" applyAlignment="1">
      <alignment horizontal="center"/>
    </xf>
    <xf numFmtId="0" fontId="8" fillId="43" borderId="82" xfId="0" applyFont="1" applyFill="1" applyBorder="1" applyAlignment="1">
      <alignment horizontal="center"/>
    </xf>
    <xf numFmtId="0" fontId="19" fillId="2" borderId="12" xfId="0" applyFont="1" applyFill="1" applyBorder="1" applyAlignment="1">
      <alignment horizontal="center" vertical="center"/>
    </xf>
    <xf numFmtId="0" fontId="19" fillId="2" borderId="11" xfId="0" applyFont="1" applyFill="1" applyBorder="1" applyAlignment="1">
      <alignment horizontal="center" vertical="center"/>
    </xf>
    <xf numFmtId="0" fontId="6" fillId="16" borderId="57" xfId="0" applyFont="1" applyFill="1" applyBorder="1" applyAlignment="1">
      <alignment horizontal="left"/>
    </xf>
    <xf numFmtId="0" fontId="6" fillId="16" borderId="110" xfId="0" applyFont="1" applyFill="1" applyBorder="1" applyAlignment="1">
      <alignment horizontal="left"/>
    </xf>
    <xf numFmtId="0" fontId="46" fillId="0" borderId="1" xfId="0" applyFont="1" applyBorder="1" applyAlignment="1">
      <alignment vertical="center" wrapText="1"/>
    </xf>
    <xf numFmtId="167" fontId="19" fillId="0" borderId="1" xfId="1" applyNumberFormat="1" applyFont="1" applyBorder="1" applyAlignment="1">
      <alignment horizontal="center" vertical="center"/>
    </xf>
    <xf numFmtId="168" fontId="19" fillId="0" borderId="1" xfId="1" applyNumberFormat="1" applyFont="1" applyBorder="1" applyAlignment="1">
      <alignment horizontal="center" vertical="center"/>
    </xf>
    <xf numFmtId="43" fontId="6" fillId="45" borderId="115" xfId="1" applyFont="1" applyFill="1" applyBorder="1" applyAlignment="1">
      <alignment horizontal="center" vertical="center"/>
    </xf>
    <xf numFmtId="43" fontId="6" fillId="46" borderId="116" xfId="1" applyFont="1" applyFill="1" applyBorder="1" applyAlignment="1">
      <alignment horizontal="center" vertical="center"/>
    </xf>
    <xf numFmtId="0" fontId="37" fillId="14" borderId="0" xfId="0" applyFont="1" applyFill="1"/>
    <xf numFmtId="43" fontId="8" fillId="0" borderId="1" xfId="0" applyNumberFormat="1" applyFont="1" applyBorder="1" applyAlignment="1">
      <alignment horizontal="center"/>
    </xf>
    <xf numFmtId="168" fontId="0" fillId="0" borderId="1" xfId="1" applyNumberFormat="1" applyFont="1" applyBorder="1" applyAlignment="1">
      <alignment vertical="center" wrapText="1"/>
    </xf>
    <xf numFmtId="0" fontId="46" fillId="37" borderId="0" xfId="0" applyFont="1" applyFill="1" applyAlignment="1">
      <alignment wrapText="1"/>
    </xf>
    <xf numFmtId="43" fontId="0" fillId="14" borderId="128" xfId="1" applyFont="1" applyFill="1" applyBorder="1" applyAlignment="1">
      <alignment wrapText="1"/>
    </xf>
    <xf numFmtId="43" fontId="0" fillId="2" borderId="0" xfId="1" applyFont="1" applyFill="1" applyBorder="1" applyAlignment="1">
      <alignment wrapText="1"/>
    </xf>
    <xf numFmtId="168" fontId="0" fillId="2" borderId="0" xfId="1" applyNumberFormat="1" applyFont="1" applyFill="1" applyBorder="1" applyAlignment="1">
      <alignment vertical="center" wrapText="1"/>
    </xf>
    <xf numFmtId="0" fontId="0" fillId="2" borderId="0" xfId="0" applyFill="1" applyAlignment="1">
      <alignment wrapText="1"/>
    </xf>
    <xf numFmtId="0" fontId="0" fillId="2" borderId="124" xfId="0" applyFill="1" applyBorder="1" applyAlignment="1">
      <alignment wrapText="1"/>
    </xf>
    <xf numFmtId="43" fontId="0" fillId="2" borderId="0" xfId="1" applyFont="1" applyFill="1"/>
    <xf numFmtId="43" fontId="0" fillId="2" borderId="0" xfId="1" applyFont="1" applyFill="1" applyAlignment="1"/>
    <xf numFmtId="49" fontId="0" fillId="2" borderId="0" xfId="0" applyNumberFormat="1" applyFill="1" applyAlignment="1">
      <alignment horizontal="center" vertical="center"/>
    </xf>
    <xf numFmtId="43" fontId="47" fillId="2" borderId="102" xfId="1" applyFont="1" applyFill="1" applyBorder="1"/>
    <xf numFmtId="0" fontId="46" fillId="37" borderId="1" xfId="0" applyFont="1" applyFill="1" applyBorder="1" applyAlignment="1">
      <alignment horizontal="center" vertical="center" wrapText="1"/>
    </xf>
    <xf numFmtId="168" fontId="0" fillId="0" borderId="0" xfId="0" applyNumberFormat="1" applyAlignment="1">
      <alignment wrapText="1"/>
    </xf>
    <xf numFmtId="168" fontId="0" fillId="0" borderId="0" xfId="0" applyNumberFormat="1" applyAlignment="1">
      <alignment horizontal="center" wrapText="1"/>
    </xf>
    <xf numFmtId="166" fontId="0" fillId="0" borderId="0" xfId="0" applyNumberFormat="1"/>
    <xf numFmtId="1" fontId="0" fillId="0" borderId="1" xfId="0" applyNumberFormat="1" applyBorder="1" applyAlignment="1">
      <alignment horizontal="center" vertical="center" wrapText="1"/>
    </xf>
    <xf numFmtId="1" fontId="0" fillId="0" borderId="1" xfId="0" applyNumberFormat="1" applyBorder="1" applyAlignment="1">
      <alignment horizontal="center" wrapText="1"/>
    </xf>
    <xf numFmtId="1" fontId="0" fillId="37" borderId="1" xfId="0" applyNumberFormat="1" applyFill="1" applyBorder="1" applyAlignment="1">
      <alignment horizontal="center" wrapText="1"/>
    </xf>
    <xf numFmtId="1" fontId="4" fillId="0" borderId="1" xfId="0" applyNumberFormat="1" applyFont="1" applyBorder="1" applyAlignment="1">
      <alignment horizontal="center" vertical="center" wrapText="1"/>
    </xf>
    <xf numFmtId="1" fontId="0" fillId="0" borderId="0" xfId="0" applyNumberFormat="1"/>
    <xf numFmtId="1" fontId="0" fillId="0" borderId="1" xfId="0" applyNumberFormat="1" applyBorder="1"/>
    <xf numFmtId="1" fontId="0" fillId="0" borderId="1" xfId="0" applyNumberFormat="1" applyBorder="1" applyAlignment="1">
      <alignment horizontal="center"/>
    </xf>
    <xf numFmtId="166" fontId="0" fillId="0" borderId="1" xfId="0" applyNumberFormat="1" applyBorder="1" applyAlignment="1">
      <alignment horizontal="center" vertical="center"/>
    </xf>
    <xf numFmtId="1" fontId="0" fillId="0" borderId="18" xfId="0" applyNumberFormat="1" applyBorder="1" applyAlignment="1">
      <alignment horizontal="center" vertical="center"/>
    </xf>
    <xf numFmtId="1" fontId="0" fillId="0" borderId="1" xfId="0" applyNumberFormat="1" applyBorder="1" applyAlignment="1">
      <alignment horizontal="center" vertical="center"/>
    </xf>
    <xf numFmtId="1" fontId="0" fillId="2" borderId="18" xfId="0" applyNumberFormat="1" applyFill="1" applyBorder="1" applyAlignment="1">
      <alignment horizontal="center" vertical="center"/>
    </xf>
    <xf numFmtId="166" fontId="4" fillId="0" borderId="11" xfId="0" applyNumberFormat="1" applyFont="1" applyBorder="1" applyAlignment="1">
      <alignment horizontal="center"/>
    </xf>
    <xf numFmtId="1" fontId="0" fillId="0" borderId="1" xfId="0" applyNumberFormat="1" applyBorder="1" applyAlignment="1">
      <alignment horizontal="left"/>
    </xf>
    <xf numFmtId="1" fontId="0" fillId="0" borderId="1" xfId="0" applyNumberFormat="1" applyBorder="1" applyAlignment="1">
      <alignment horizontal="left" vertical="center"/>
    </xf>
    <xf numFmtId="1" fontId="4" fillId="0" borderId="11" xfId="0" applyNumberFormat="1" applyFont="1" applyBorder="1" applyAlignment="1">
      <alignment horizontal="center"/>
    </xf>
    <xf numFmtId="1" fontId="0" fillId="5" borderId="75" xfId="0" applyNumberFormat="1" applyFill="1" applyBorder="1" applyAlignment="1">
      <alignment horizontal="center"/>
    </xf>
    <xf numFmtId="1" fontId="0" fillId="5" borderId="77" xfId="0" applyNumberFormat="1" applyFill="1" applyBorder="1" applyAlignment="1">
      <alignment horizontal="center"/>
    </xf>
    <xf numFmtId="1" fontId="0" fillId="0" borderId="12" xfId="0" applyNumberFormat="1" applyBorder="1"/>
    <xf numFmtId="1" fontId="0" fillId="5" borderId="1" xfId="0" applyNumberFormat="1" applyFill="1" applyBorder="1"/>
    <xf numFmtId="166" fontId="0" fillId="36" borderId="82" xfId="0" applyNumberFormat="1" applyFill="1" applyBorder="1"/>
    <xf numFmtId="166" fontId="0" fillId="36" borderId="84" xfId="0" applyNumberFormat="1" applyFill="1" applyBorder="1"/>
    <xf numFmtId="166" fontId="0" fillId="36" borderId="54" xfId="0" applyNumberFormat="1" applyFill="1" applyBorder="1"/>
    <xf numFmtId="166" fontId="0" fillId="2" borderId="1" xfId="0" applyNumberFormat="1" applyFill="1" applyBorder="1" applyAlignment="1">
      <alignment horizontal="center"/>
    </xf>
    <xf numFmtId="166" fontId="0" fillId="36" borderId="102" xfId="0" applyNumberFormat="1" applyFill="1" applyBorder="1"/>
    <xf numFmtId="166" fontId="0" fillId="36" borderId="0" xfId="0" applyNumberFormat="1" applyFill="1"/>
    <xf numFmtId="166" fontId="0" fillId="36" borderId="81" xfId="0" applyNumberFormat="1" applyFill="1" applyBorder="1"/>
    <xf numFmtId="166" fontId="0" fillId="36" borderId="36" xfId="0" applyNumberFormat="1" applyFill="1" applyBorder="1"/>
    <xf numFmtId="166" fontId="0" fillId="36" borderId="90" xfId="0" applyNumberFormat="1" applyFill="1" applyBorder="1"/>
    <xf numFmtId="166" fontId="0" fillId="36" borderId="55" xfId="0" applyNumberFormat="1" applyFill="1" applyBorder="1"/>
    <xf numFmtId="166" fontId="0" fillId="36" borderId="59" xfId="0" applyNumberFormat="1" applyFill="1" applyBorder="1"/>
    <xf numFmtId="166" fontId="0" fillId="36" borderId="34" xfId="0" applyNumberFormat="1" applyFill="1" applyBorder="1"/>
    <xf numFmtId="166" fontId="0" fillId="36" borderId="64" xfId="0" applyNumberFormat="1" applyFill="1" applyBorder="1"/>
    <xf numFmtId="166" fontId="0" fillId="0" borderId="21" xfId="0" applyNumberFormat="1" applyBorder="1" applyAlignment="1">
      <alignment horizontal="center" vertical="center"/>
    </xf>
    <xf numFmtId="166" fontId="0" fillId="0" borderId="21" xfId="0" applyNumberFormat="1" applyBorder="1" applyAlignment="1">
      <alignment horizontal="center"/>
    </xf>
    <xf numFmtId="166" fontId="0" fillId="0" borderId="18" xfId="0" applyNumberFormat="1" applyBorder="1" applyAlignment="1">
      <alignment horizontal="center"/>
    </xf>
    <xf numFmtId="166" fontId="0" fillId="0" borderId="1" xfId="0" applyNumberFormat="1" applyBorder="1" applyAlignment="1">
      <alignment vertical="center"/>
    </xf>
    <xf numFmtId="166" fontId="0" fillId="0" borderId="12" xfId="0" applyNumberFormat="1" applyBorder="1" applyAlignment="1">
      <alignment horizontal="center"/>
    </xf>
    <xf numFmtId="166" fontId="0" fillId="0" borderId="13" xfId="0" applyNumberFormat="1" applyBorder="1" applyAlignment="1">
      <alignment horizontal="left" vertical="center"/>
    </xf>
    <xf numFmtId="166" fontId="4" fillId="2" borderId="0" xfId="0" applyNumberFormat="1" applyFont="1" applyFill="1"/>
    <xf numFmtId="166" fontId="0" fillId="5" borderId="2" xfId="0" applyNumberFormat="1" applyFill="1" applyBorder="1" applyAlignment="1">
      <alignment horizontal="center"/>
    </xf>
    <xf numFmtId="167" fontId="19" fillId="0" borderId="12" xfId="1" applyNumberFormat="1" applyFont="1" applyBorder="1" applyAlignment="1">
      <alignment horizontal="center" vertical="center"/>
    </xf>
    <xf numFmtId="167" fontId="6" fillId="46" borderId="116" xfId="1" applyNumberFormat="1" applyFont="1" applyFill="1" applyBorder="1" applyAlignment="1">
      <alignment horizontal="center" vertical="center"/>
    </xf>
    <xf numFmtId="167" fontId="0" fillId="0" borderId="1" xfId="1" applyNumberFormat="1" applyFont="1" applyBorder="1"/>
    <xf numFmtId="168" fontId="6" fillId="2" borderId="116" xfId="1" applyNumberFormat="1" applyFont="1" applyFill="1" applyBorder="1" applyAlignment="1">
      <alignment horizontal="center" vertical="center"/>
    </xf>
    <xf numFmtId="167" fontId="4" fillId="37" borderId="1" xfId="1" applyNumberFormat="1" applyFont="1" applyFill="1" applyBorder="1" applyAlignment="1">
      <alignment wrapText="1"/>
    </xf>
    <xf numFmtId="0" fontId="50" fillId="0" borderId="0" xfId="0" applyFont="1"/>
    <xf numFmtId="2" fontId="0" fillId="2" borderId="0" xfId="0" applyNumberFormat="1" applyFill="1"/>
    <xf numFmtId="0" fontId="0" fillId="2" borderId="12" xfId="0" applyFill="1" applyBorder="1" applyAlignment="1">
      <alignment horizontal="center" vertical="center" textRotation="90"/>
    </xf>
    <xf numFmtId="0" fontId="0" fillId="2" borderId="23" xfId="0" applyFill="1" applyBorder="1" applyAlignment="1">
      <alignment horizontal="center" vertical="center" textRotation="90"/>
    </xf>
    <xf numFmtId="0" fontId="0" fillId="2" borderId="11" xfId="0" applyFill="1" applyBorder="1" applyAlignment="1">
      <alignment horizontal="center" vertical="center" textRotation="90"/>
    </xf>
    <xf numFmtId="0" fontId="0" fillId="0" borderId="1" xfId="0" applyBorder="1" applyAlignment="1">
      <alignment horizontal="center"/>
    </xf>
    <xf numFmtId="0" fontId="0" fillId="0" borderId="82" xfId="0" applyBorder="1" applyAlignment="1">
      <alignment horizontal="center"/>
    </xf>
    <xf numFmtId="0" fontId="0" fillId="0" borderId="36" xfId="0" applyBorder="1" applyAlignment="1">
      <alignment horizontal="center"/>
    </xf>
    <xf numFmtId="0" fontId="0" fillId="0" borderId="1" xfId="0" applyBorder="1" applyAlignment="1">
      <alignment horizontal="center" vertical="center"/>
    </xf>
    <xf numFmtId="0" fontId="0" fillId="0" borderId="12" xfId="0" applyBorder="1" applyAlignment="1">
      <alignment horizontal="center" vertical="center"/>
    </xf>
    <xf numFmtId="0" fontId="0" fillId="2" borderId="1" xfId="0" applyFill="1" applyBorder="1" applyAlignment="1">
      <alignment horizontal="center" vertical="center" textRotation="90"/>
    </xf>
    <xf numFmtId="0" fontId="4" fillId="0" borderId="1" xfId="0" applyFont="1" applyBorder="1" applyAlignment="1">
      <alignment horizontal="center" vertical="center" textRotation="90"/>
    </xf>
    <xf numFmtId="0" fontId="0" fillId="0" borderId="1" xfId="0" applyBorder="1" applyAlignment="1">
      <alignment horizontal="center" vertical="center" textRotation="90"/>
    </xf>
    <xf numFmtId="0" fontId="0" fillId="0" borderId="12" xfId="0" applyBorder="1" applyAlignment="1">
      <alignment horizontal="center"/>
    </xf>
    <xf numFmtId="0" fontId="0" fillId="2" borderId="1" xfId="0" applyFill="1" applyBorder="1" applyAlignment="1">
      <alignment horizontal="left"/>
    </xf>
    <xf numFmtId="0" fontId="0" fillId="2" borderId="1" xfId="0" applyFill="1" applyBorder="1" applyAlignment="1">
      <alignment horizontal="center" vertical="center"/>
    </xf>
    <xf numFmtId="0" fontId="0" fillId="0" borderId="1" xfId="0" applyBorder="1" applyAlignment="1">
      <alignment horizontal="left"/>
    </xf>
    <xf numFmtId="0" fontId="0" fillId="24" borderId="54" xfId="0" applyFill="1" applyBorder="1" applyAlignment="1">
      <alignment horizontal="center"/>
    </xf>
    <xf numFmtId="0" fontId="0" fillId="24" borderId="81" xfId="0" applyFill="1" applyBorder="1" applyAlignment="1">
      <alignment horizontal="center"/>
    </xf>
    <xf numFmtId="0" fontId="0" fillId="24" borderId="55" xfId="0" applyFill="1" applyBorder="1" applyAlignment="1">
      <alignment horizontal="center"/>
    </xf>
    <xf numFmtId="0" fontId="0" fillId="0" borderId="1" xfId="0" applyBorder="1" applyAlignment="1">
      <alignment vertical="center" wrapText="1"/>
    </xf>
    <xf numFmtId="0" fontId="0" fillId="0" borderId="1" xfId="0" applyBorder="1" applyAlignment="1">
      <alignment horizontal="left" vertical="top" wrapText="1"/>
    </xf>
    <xf numFmtId="0" fontId="4" fillId="0" borderId="12" xfId="0" applyFont="1" applyBorder="1" applyAlignment="1">
      <alignment horizontal="center" vertical="center" textRotation="90"/>
    </xf>
    <xf numFmtId="0" fontId="4" fillId="0" borderId="23" xfId="0" applyFont="1" applyBorder="1" applyAlignment="1">
      <alignment horizontal="center" vertical="center" textRotation="90"/>
    </xf>
    <xf numFmtId="0" fontId="4" fillId="0" borderId="11" xfId="0" applyFont="1" applyBorder="1" applyAlignment="1">
      <alignment horizontal="center" vertical="center" textRotation="90"/>
    </xf>
    <xf numFmtId="0" fontId="0" fillId="0" borderId="13" xfId="0" applyBorder="1" applyAlignment="1">
      <alignment horizontal="center" vertical="center"/>
    </xf>
    <xf numFmtId="0" fontId="4" fillId="0" borderId="1" xfId="0" applyFont="1" applyBorder="1" applyAlignment="1">
      <alignment horizontal="center" vertical="center" textRotation="90" wrapText="1"/>
    </xf>
    <xf numFmtId="0" fontId="7" fillId="0" borderId="12" xfId="0" applyFont="1" applyBorder="1" applyAlignment="1">
      <alignment horizontal="center" vertical="center"/>
    </xf>
    <xf numFmtId="0" fontId="0" fillId="0" borderId="11" xfId="0" applyBorder="1" applyAlignment="1">
      <alignment horizontal="center" vertical="center"/>
    </xf>
    <xf numFmtId="0" fontId="0" fillId="0" borderId="11" xfId="0" applyBorder="1" applyAlignment="1">
      <alignment horizontal="center"/>
    </xf>
    <xf numFmtId="0" fontId="0" fillId="0" borderId="18" xfId="0" applyBorder="1" applyAlignment="1">
      <alignment horizontal="left" vertical="top" wrapText="1"/>
    </xf>
    <xf numFmtId="0" fontId="0" fillId="0" borderId="19" xfId="0" applyBorder="1" applyAlignment="1">
      <alignment horizontal="left" vertical="top" wrapText="1"/>
    </xf>
    <xf numFmtId="0" fontId="0" fillId="0" borderId="13" xfId="0" applyBorder="1" applyAlignment="1">
      <alignment horizontal="left" vertical="top" wrapText="1"/>
    </xf>
    <xf numFmtId="0" fontId="0" fillId="0" borderId="82" xfId="0" applyBorder="1" applyAlignment="1">
      <alignment horizontal="center" vertical="center"/>
    </xf>
    <xf numFmtId="0" fontId="0" fillId="0" borderId="84" xfId="0" applyBorder="1" applyAlignment="1">
      <alignment horizontal="center" vertical="center"/>
    </xf>
    <xf numFmtId="0" fontId="0" fillId="0" borderId="54" xfId="0" applyBorder="1" applyAlignment="1">
      <alignment horizontal="center" vertical="center"/>
    </xf>
    <xf numFmtId="0" fontId="0" fillId="0" borderId="36" xfId="0" applyBorder="1" applyAlignment="1">
      <alignment horizontal="center" vertical="center"/>
    </xf>
    <xf numFmtId="0" fontId="0" fillId="0" borderId="90" xfId="0" applyBorder="1" applyAlignment="1">
      <alignment horizontal="center" vertical="center"/>
    </xf>
    <xf numFmtId="0" fontId="0" fillId="0" borderId="55" xfId="0" applyBorder="1" applyAlignment="1">
      <alignment horizontal="center" vertical="center"/>
    </xf>
    <xf numFmtId="0" fontId="0" fillId="0" borderId="18" xfId="0" applyBorder="1" applyAlignment="1">
      <alignment horizontal="center" vertical="center"/>
    </xf>
    <xf numFmtId="0" fontId="0" fillId="0" borderId="19" xfId="0" applyBorder="1" applyAlignment="1">
      <alignment horizontal="center" vertical="center"/>
    </xf>
    <xf numFmtId="0" fontId="0" fillId="0" borderId="23" xfId="0" applyBorder="1" applyAlignment="1">
      <alignment horizontal="center" vertical="center"/>
    </xf>
    <xf numFmtId="0" fontId="0" fillId="2" borderId="18" xfId="0" applyFill="1" applyBorder="1" applyAlignment="1">
      <alignment horizontal="left"/>
    </xf>
    <xf numFmtId="0" fontId="0" fillId="2" borderId="19" xfId="0" applyFill="1" applyBorder="1" applyAlignment="1">
      <alignment horizontal="left"/>
    </xf>
    <xf numFmtId="0" fontId="0" fillId="2" borderId="13" xfId="0" applyFill="1" applyBorder="1" applyAlignment="1">
      <alignment horizontal="left"/>
    </xf>
    <xf numFmtId="0" fontId="0" fillId="2" borderId="18" xfId="0" applyFill="1" applyBorder="1" applyAlignment="1">
      <alignment horizontal="center"/>
    </xf>
    <xf numFmtId="0" fontId="0" fillId="2" borderId="19" xfId="0" applyFill="1" applyBorder="1" applyAlignment="1">
      <alignment horizontal="center"/>
    </xf>
    <xf numFmtId="0" fontId="0" fillId="2" borderId="13" xfId="0" applyFill="1" applyBorder="1" applyAlignment="1">
      <alignment horizontal="center"/>
    </xf>
    <xf numFmtId="0" fontId="0" fillId="2" borderId="82" xfId="0" applyFill="1" applyBorder="1" applyAlignment="1">
      <alignment horizontal="center" vertical="center"/>
    </xf>
    <xf numFmtId="0" fontId="0" fillId="2" borderId="84" xfId="0" applyFill="1" applyBorder="1" applyAlignment="1">
      <alignment horizontal="center" vertical="center"/>
    </xf>
    <xf numFmtId="0" fontId="0" fillId="2" borderId="54" xfId="0" applyFill="1" applyBorder="1" applyAlignment="1">
      <alignment horizontal="center" vertical="center"/>
    </xf>
    <xf numFmtId="0" fontId="0" fillId="2" borderId="102" xfId="0" applyFill="1" applyBorder="1" applyAlignment="1">
      <alignment horizontal="center" vertical="center"/>
    </xf>
    <xf numFmtId="0" fontId="0" fillId="2" borderId="0" xfId="0" applyFill="1" applyAlignment="1">
      <alignment horizontal="center" vertical="center"/>
    </xf>
    <xf numFmtId="0" fontId="0" fillId="2" borderId="81" xfId="0" applyFill="1" applyBorder="1" applyAlignment="1">
      <alignment horizontal="center" vertical="center"/>
    </xf>
    <xf numFmtId="0" fontId="0" fillId="2" borderId="36" xfId="0" applyFill="1" applyBorder="1" applyAlignment="1">
      <alignment horizontal="center" vertical="center"/>
    </xf>
    <xf numFmtId="0" fontId="0" fillId="2" borderId="90" xfId="0" applyFill="1" applyBorder="1" applyAlignment="1">
      <alignment horizontal="center" vertical="center"/>
    </xf>
    <xf numFmtId="0" fontId="0" fillId="2" borderId="55" xfId="0" applyFill="1" applyBorder="1" applyAlignment="1">
      <alignment horizontal="center" vertical="center"/>
    </xf>
    <xf numFmtId="0" fontId="0" fillId="24" borderId="12" xfId="0" applyFill="1" applyBorder="1" applyAlignment="1">
      <alignment horizontal="center"/>
    </xf>
    <xf numFmtId="0" fontId="0" fillId="24" borderId="23" xfId="0" applyFill="1" applyBorder="1" applyAlignment="1">
      <alignment horizontal="center"/>
    </xf>
    <xf numFmtId="0" fontId="0" fillId="24" borderId="11" xfId="0" applyFill="1" applyBorder="1" applyAlignment="1">
      <alignment horizontal="center"/>
    </xf>
    <xf numFmtId="0" fontId="0" fillId="0" borderId="18" xfId="0" applyBorder="1" applyAlignment="1">
      <alignment horizontal="left"/>
    </xf>
    <xf numFmtId="0" fontId="0" fillId="0" borderId="19" xfId="0" applyBorder="1" applyAlignment="1">
      <alignment horizontal="left"/>
    </xf>
    <xf numFmtId="0" fontId="0" fillId="0" borderId="13" xfId="0" applyBorder="1" applyAlignment="1">
      <alignment horizontal="left"/>
    </xf>
    <xf numFmtId="0" fontId="0" fillId="0" borderId="18" xfId="0" applyBorder="1" applyAlignment="1">
      <alignment horizontal="center"/>
    </xf>
    <xf numFmtId="0" fontId="0" fillId="0" borderId="19" xfId="0" applyBorder="1" applyAlignment="1">
      <alignment horizontal="center"/>
    </xf>
    <xf numFmtId="0" fontId="0" fillId="0" borderId="13" xfId="0" applyBorder="1" applyAlignment="1">
      <alignment horizontal="center"/>
    </xf>
    <xf numFmtId="0" fontId="0" fillId="0" borderId="82" xfId="0" applyBorder="1" applyAlignment="1">
      <alignment vertical="center" wrapText="1"/>
    </xf>
    <xf numFmtId="0" fontId="0" fillId="0" borderId="84" xfId="0" applyBorder="1" applyAlignment="1">
      <alignment vertical="center" wrapText="1"/>
    </xf>
    <xf numFmtId="0" fontId="0" fillId="0" borderId="54" xfId="0" applyBorder="1" applyAlignment="1">
      <alignment vertical="center" wrapText="1"/>
    </xf>
    <xf numFmtId="0" fontId="0" fillId="0" borderId="36" xfId="0" applyBorder="1" applyAlignment="1">
      <alignment vertical="center" wrapText="1"/>
    </xf>
    <xf numFmtId="0" fontId="0" fillId="0" borderId="90" xfId="0" applyBorder="1" applyAlignment="1">
      <alignment vertical="center" wrapText="1"/>
    </xf>
    <xf numFmtId="0" fontId="0" fillId="0" borderId="55" xfId="0" applyBorder="1" applyAlignment="1">
      <alignment vertical="center" wrapText="1"/>
    </xf>
    <xf numFmtId="0" fontId="4" fillId="0" borderId="12" xfId="0" applyFont="1" applyBorder="1" applyAlignment="1">
      <alignment horizontal="center" vertical="center" textRotation="90" wrapText="1"/>
    </xf>
    <xf numFmtId="0" fontId="4" fillId="0" borderId="23" xfId="0" applyFont="1" applyBorder="1" applyAlignment="1">
      <alignment horizontal="center" vertical="center" textRotation="90" wrapText="1"/>
    </xf>
    <xf numFmtId="0" fontId="4" fillId="0" borderId="11" xfId="0" applyFont="1" applyBorder="1" applyAlignment="1">
      <alignment horizontal="center" vertical="center" textRotation="90" wrapText="1"/>
    </xf>
    <xf numFmtId="0" fontId="0" fillId="0" borderId="82" xfId="0" applyBorder="1" applyAlignment="1">
      <alignment horizontal="left" vertical="top" wrapText="1"/>
    </xf>
    <xf numFmtId="0" fontId="0" fillId="0" borderId="84" xfId="0" applyBorder="1" applyAlignment="1">
      <alignment horizontal="left" vertical="top" wrapText="1"/>
    </xf>
    <xf numFmtId="0" fontId="0" fillId="0" borderId="54" xfId="0" applyBorder="1" applyAlignment="1">
      <alignment horizontal="left" vertical="top" wrapText="1"/>
    </xf>
    <xf numFmtId="0" fontId="0" fillId="0" borderId="36" xfId="0" applyBorder="1" applyAlignment="1">
      <alignment horizontal="left" vertical="top" wrapText="1"/>
    </xf>
    <xf numFmtId="0" fontId="0" fillId="0" borderId="90" xfId="0" applyBorder="1" applyAlignment="1">
      <alignment horizontal="left" vertical="top" wrapText="1"/>
    </xf>
    <xf numFmtId="0" fontId="0" fillId="0" borderId="55" xfId="0" applyBorder="1" applyAlignment="1">
      <alignment horizontal="left" vertical="top" wrapText="1"/>
    </xf>
    <xf numFmtId="0" fontId="7" fillId="0" borderId="11" xfId="0" applyFont="1" applyBorder="1" applyAlignment="1">
      <alignment horizontal="center" vertical="center"/>
    </xf>
    <xf numFmtId="0" fontId="30" fillId="25" borderId="82" xfId="0" applyFont="1" applyFill="1" applyBorder="1" applyAlignment="1">
      <alignment horizontal="center" vertical="center"/>
    </xf>
    <xf numFmtId="0" fontId="30" fillId="25" borderId="84" xfId="0" applyFont="1" applyFill="1" applyBorder="1" applyAlignment="1">
      <alignment horizontal="center" vertical="center"/>
    </xf>
    <xf numFmtId="0" fontId="30" fillId="25" borderId="54" xfId="0" applyFont="1" applyFill="1" applyBorder="1" applyAlignment="1">
      <alignment horizontal="center" vertical="center"/>
    </xf>
    <xf numFmtId="0" fontId="30" fillId="25" borderId="102" xfId="0" applyFont="1" applyFill="1" applyBorder="1" applyAlignment="1">
      <alignment horizontal="center" vertical="center"/>
    </xf>
    <xf numFmtId="0" fontId="30" fillId="25" borderId="0" xfId="0" applyFont="1" applyFill="1" applyAlignment="1">
      <alignment horizontal="center" vertical="center"/>
    </xf>
    <xf numFmtId="0" fontId="30" fillId="25" borderId="81" xfId="0" applyFont="1" applyFill="1" applyBorder="1" applyAlignment="1">
      <alignment horizontal="center" vertical="center"/>
    </xf>
    <xf numFmtId="0" fontId="30" fillId="25" borderId="36" xfId="0" applyFont="1" applyFill="1" applyBorder="1" applyAlignment="1">
      <alignment horizontal="center" vertical="center"/>
    </xf>
    <xf numFmtId="0" fontId="30" fillId="25" borderId="90" xfId="0" applyFont="1" applyFill="1" applyBorder="1" applyAlignment="1">
      <alignment horizontal="center" vertical="center"/>
    </xf>
    <xf numFmtId="0" fontId="30" fillId="25" borderId="55" xfId="0" applyFont="1" applyFill="1" applyBorder="1" applyAlignment="1">
      <alignment horizontal="center" vertical="center"/>
    </xf>
    <xf numFmtId="0" fontId="30" fillId="24" borderId="12" xfId="0" applyFont="1" applyFill="1" applyBorder="1" applyAlignment="1">
      <alignment horizontal="center" vertical="center"/>
    </xf>
    <xf numFmtId="0" fontId="30" fillId="24" borderId="23" xfId="0" applyFont="1" applyFill="1" applyBorder="1" applyAlignment="1">
      <alignment horizontal="center" vertical="center"/>
    </xf>
    <xf numFmtId="0" fontId="30" fillId="24" borderId="11" xfId="0" applyFont="1" applyFill="1" applyBorder="1" applyAlignment="1">
      <alignment horizontal="center" vertical="center"/>
    </xf>
    <xf numFmtId="0" fontId="31" fillId="0" borderId="12" xfId="0" applyFont="1" applyBorder="1" applyAlignment="1">
      <alignment horizontal="center" vertical="center"/>
    </xf>
    <xf numFmtId="0" fontId="31" fillId="0" borderId="11" xfId="0" applyFont="1" applyBorder="1" applyAlignment="1">
      <alignment horizontal="center" vertical="center"/>
    </xf>
    <xf numFmtId="0" fontId="0" fillId="0" borderId="102" xfId="0" applyBorder="1" applyAlignment="1">
      <alignment horizontal="left" vertical="top" wrapText="1"/>
    </xf>
    <xf numFmtId="0" fontId="0" fillId="0" borderId="0" xfId="0" applyAlignment="1">
      <alignment horizontal="left" vertical="top" wrapText="1"/>
    </xf>
    <xf numFmtId="0" fontId="0" fillId="0" borderId="81" xfId="0" applyBorder="1" applyAlignment="1">
      <alignment horizontal="left" vertical="top" wrapText="1"/>
    </xf>
    <xf numFmtId="0" fontId="0" fillId="3" borderId="23" xfId="0" applyFill="1" applyBorder="1" applyAlignment="1">
      <alignment horizontal="center" vertical="center"/>
    </xf>
    <xf numFmtId="0" fontId="0" fillId="3" borderId="11" xfId="0" applyFill="1" applyBorder="1" applyAlignment="1">
      <alignment horizontal="center" vertical="center"/>
    </xf>
    <xf numFmtId="0" fontId="0" fillId="0" borderId="82" xfId="0" applyBorder="1" applyAlignment="1">
      <alignment horizontal="left" wrapText="1"/>
    </xf>
    <xf numFmtId="0" fontId="0" fillId="0" borderId="84" xfId="0" applyBorder="1" applyAlignment="1">
      <alignment horizontal="left" wrapText="1"/>
    </xf>
    <xf numFmtId="0" fontId="0" fillId="0" borderId="54" xfId="0" applyBorder="1" applyAlignment="1">
      <alignment horizontal="left" wrapText="1"/>
    </xf>
    <xf numFmtId="0" fontId="0" fillId="0" borderId="36" xfId="0" applyBorder="1" applyAlignment="1">
      <alignment horizontal="left" wrapText="1"/>
    </xf>
    <xf numFmtId="0" fontId="0" fillId="0" borderId="90" xfId="0" applyBorder="1" applyAlignment="1">
      <alignment horizontal="left" wrapText="1"/>
    </xf>
    <xf numFmtId="0" fontId="0" fillId="0" borderId="55" xfId="0" applyBorder="1" applyAlignment="1">
      <alignment horizontal="left" wrapText="1"/>
    </xf>
    <xf numFmtId="0" fontId="0" fillId="0" borderId="82" xfId="0" applyBorder="1" applyAlignment="1">
      <alignment horizontal="left" vertical="top"/>
    </xf>
    <xf numFmtId="0" fontId="0" fillId="0" borderId="84" xfId="0" applyBorder="1" applyAlignment="1">
      <alignment horizontal="left" vertical="top"/>
    </xf>
    <xf numFmtId="0" fontId="0" fillId="0" borderId="54" xfId="0" applyBorder="1" applyAlignment="1">
      <alignment horizontal="left" vertical="top"/>
    </xf>
    <xf numFmtId="0" fontId="0" fillId="0" borderId="36" xfId="0" applyBorder="1" applyAlignment="1">
      <alignment horizontal="left" vertical="top"/>
    </xf>
    <xf numFmtId="0" fontId="0" fillId="0" borderId="90" xfId="0" applyBorder="1" applyAlignment="1">
      <alignment horizontal="left" vertical="top"/>
    </xf>
    <xf numFmtId="0" fontId="0" fillId="0" borderId="55" xfId="0" applyBorder="1" applyAlignment="1">
      <alignment horizontal="left" vertical="top"/>
    </xf>
    <xf numFmtId="0" fontId="0" fillId="0" borderId="84" xfId="0" applyBorder="1" applyAlignment="1">
      <alignment horizontal="center"/>
    </xf>
    <xf numFmtId="0" fontId="0" fillId="0" borderId="54" xfId="0" applyBorder="1" applyAlignment="1">
      <alignment horizontal="center"/>
    </xf>
    <xf numFmtId="0" fontId="0" fillId="0" borderId="90" xfId="0" applyBorder="1" applyAlignment="1">
      <alignment horizontal="center"/>
    </xf>
    <xf numFmtId="0" fontId="0" fillId="0" borderId="55" xfId="0" applyBorder="1" applyAlignment="1">
      <alignment horizontal="center"/>
    </xf>
    <xf numFmtId="0" fontId="0" fillId="2" borderId="12" xfId="0" applyFill="1" applyBorder="1" applyAlignment="1">
      <alignment horizontal="center" vertical="center"/>
    </xf>
    <xf numFmtId="0" fontId="0" fillId="2" borderId="23" xfId="0" applyFill="1" applyBorder="1" applyAlignment="1">
      <alignment horizontal="center" vertical="center"/>
    </xf>
    <xf numFmtId="0" fontId="0" fillId="2" borderId="11" xfId="0" applyFill="1" applyBorder="1" applyAlignment="1">
      <alignment horizontal="center" vertical="center"/>
    </xf>
    <xf numFmtId="0" fontId="0" fillId="2" borderId="5" xfId="0" applyFill="1" applyBorder="1" applyAlignment="1">
      <alignment horizontal="center"/>
    </xf>
    <xf numFmtId="0" fontId="0" fillId="2" borderId="1" xfId="0" applyFill="1" applyBorder="1" applyAlignment="1">
      <alignment horizontal="center"/>
    </xf>
    <xf numFmtId="0" fontId="0" fillId="2" borderId="17" xfId="0" applyFill="1" applyBorder="1" applyAlignment="1">
      <alignment horizontal="center"/>
    </xf>
    <xf numFmtId="0" fontId="0" fillId="2" borderId="32" xfId="0" applyFill="1" applyBorder="1" applyAlignment="1">
      <alignment horizontal="center"/>
    </xf>
    <xf numFmtId="0" fontId="0" fillId="2" borderId="16" xfId="0" applyFill="1" applyBorder="1" applyAlignment="1">
      <alignment horizontal="center" vertical="center"/>
    </xf>
    <xf numFmtId="0" fontId="0" fillId="2" borderId="24" xfId="0" applyFill="1" applyBorder="1" applyAlignment="1">
      <alignment horizontal="center" vertical="center"/>
    </xf>
    <xf numFmtId="0" fontId="0" fillId="2" borderId="25" xfId="0" applyFill="1" applyBorder="1" applyAlignment="1">
      <alignment horizontal="center" vertical="center"/>
    </xf>
    <xf numFmtId="0" fontId="4" fillId="2" borderId="16" xfId="0" applyFont="1" applyFill="1" applyBorder="1" applyAlignment="1">
      <alignment horizontal="center"/>
    </xf>
    <xf numFmtId="0" fontId="4" fillId="2" borderId="24" xfId="0" applyFont="1" applyFill="1" applyBorder="1" applyAlignment="1">
      <alignment horizontal="center"/>
    </xf>
    <xf numFmtId="0" fontId="4" fillId="2" borderId="25" xfId="0" applyFont="1" applyFill="1" applyBorder="1" applyAlignment="1">
      <alignment horizontal="center"/>
    </xf>
    <xf numFmtId="0" fontId="4" fillId="2" borderId="27" xfId="0" applyFont="1" applyFill="1" applyBorder="1" applyAlignment="1">
      <alignment horizontal="center"/>
    </xf>
    <xf numFmtId="0" fontId="4" fillId="2" borderId="28" xfId="0" applyFont="1" applyFill="1" applyBorder="1" applyAlignment="1">
      <alignment horizontal="center"/>
    </xf>
    <xf numFmtId="0" fontId="4" fillId="2" borderId="29" xfId="0" applyFont="1" applyFill="1" applyBorder="1" applyAlignment="1">
      <alignment horizontal="center"/>
    </xf>
    <xf numFmtId="0" fontId="0" fillId="2" borderId="3" xfId="0" applyFill="1" applyBorder="1" applyAlignment="1">
      <alignment horizontal="center"/>
    </xf>
    <xf numFmtId="0" fontId="0" fillId="2" borderId="31" xfId="0" applyFill="1" applyBorder="1" applyAlignment="1">
      <alignment horizontal="center"/>
    </xf>
    <xf numFmtId="0" fontId="0" fillId="2" borderId="20" xfId="0" applyFill="1" applyBorder="1" applyAlignment="1">
      <alignment horizontal="center"/>
    </xf>
    <xf numFmtId="0" fontId="0" fillId="2" borderId="21" xfId="0" applyFill="1" applyBorder="1" applyAlignment="1">
      <alignment horizontal="center"/>
    </xf>
    <xf numFmtId="0" fontId="0" fillId="2" borderId="22" xfId="0" applyFill="1" applyBorder="1" applyAlignment="1">
      <alignment horizontal="center"/>
    </xf>
    <xf numFmtId="164" fontId="0" fillId="0" borderId="8" xfId="0" applyNumberFormat="1" applyBorder="1" applyAlignment="1">
      <alignment horizontal="center" vertical="center"/>
    </xf>
    <xf numFmtId="164" fontId="0" fillId="0" borderId="59" xfId="0" applyNumberFormat="1" applyBorder="1" applyAlignment="1">
      <alignment horizontal="center" vertical="center"/>
    </xf>
    <xf numFmtId="0" fontId="4" fillId="9" borderId="16" xfId="0" applyFont="1" applyFill="1" applyBorder="1" applyAlignment="1">
      <alignment horizontal="center"/>
    </xf>
    <xf numFmtId="0" fontId="4" fillId="9" borderId="24" xfId="0" applyFont="1" applyFill="1" applyBorder="1" applyAlignment="1">
      <alignment horizontal="center"/>
    </xf>
    <xf numFmtId="0" fontId="4" fillId="9" borderId="25" xfId="0" applyFont="1" applyFill="1" applyBorder="1" applyAlignment="1">
      <alignment horizontal="center"/>
    </xf>
    <xf numFmtId="164" fontId="0" fillId="0" borderId="1" xfId="0" applyNumberFormat="1" applyBorder="1" applyAlignment="1">
      <alignment horizontal="center" vertical="center"/>
    </xf>
    <xf numFmtId="164" fontId="0" fillId="0" borderId="18" xfId="0" applyNumberFormat="1" applyBorder="1" applyAlignment="1">
      <alignment horizontal="center" vertical="center"/>
    </xf>
    <xf numFmtId="164" fontId="0" fillId="2" borderId="1" xfId="0" applyNumberFormat="1" applyFill="1" applyBorder="1" applyAlignment="1">
      <alignment horizontal="center" vertical="center"/>
    </xf>
    <xf numFmtId="164" fontId="0" fillId="2" borderId="18" xfId="0" applyNumberFormat="1" applyFill="1" applyBorder="1" applyAlignment="1">
      <alignment horizontal="center" vertical="center"/>
    </xf>
    <xf numFmtId="164" fontId="0" fillId="2" borderId="19" xfId="0" applyNumberFormat="1" applyFill="1" applyBorder="1" applyAlignment="1">
      <alignment horizontal="center" vertical="center"/>
    </xf>
    <xf numFmtId="0" fontId="36" fillId="2" borderId="18" xfId="0" applyFont="1" applyFill="1" applyBorder="1" applyAlignment="1">
      <alignment horizontal="center" vertical="center"/>
    </xf>
    <xf numFmtId="0" fontId="0" fillId="2" borderId="13" xfId="0" applyFill="1" applyBorder="1" applyAlignment="1">
      <alignment horizontal="center" vertical="center"/>
    </xf>
    <xf numFmtId="0" fontId="0" fillId="2" borderId="7" xfId="0" applyFill="1" applyBorder="1" applyAlignment="1">
      <alignment horizontal="center"/>
    </xf>
    <xf numFmtId="0" fontId="0" fillId="2" borderId="8" xfId="0" applyFill="1" applyBorder="1" applyAlignment="1">
      <alignment horizontal="center"/>
    </xf>
    <xf numFmtId="0" fontId="0" fillId="2" borderId="33" xfId="0" applyFill="1" applyBorder="1" applyAlignment="1">
      <alignment horizontal="center"/>
    </xf>
    <xf numFmtId="0" fontId="0" fillId="2" borderId="34" xfId="0" applyFill="1" applyBorder="1" applyAlignment="1">
      <alignment horizontal="center"/>
    </xf>
    <xf numFmtId="0" fontId="0" fillId="2" borderId="35" xfId="0" applyFill="1" applyBorder="1" applyAlignment="1">
      <alignment horizontal="center"/>
    </xf>
    <xf numFmtId="0" fontId="9" fillId="0" borderId="1" xfId="0" applyFont="1" applyBorder="1" applyAlignment="1">
      <alignment horizontal="center" vertical="center"/>
    </xf>
    <xf numFmtId="0" fontId="6" fillId="4" borderId="1" xfId="0" applyFont="1" applyFill="1" applyBorder="1" applyAlignment="1">
      <alignment horizontal="center" vertical="center"/>
    </xf>
    <xf numFmtId="0" fontId="10" fillId="0" borderId="1" xfId="0" applyFont="1" applyBorder="1" applyAlignment="1">
      <alignment horizontal="center"/>
    </xf>
    <xf numFmtId="0" fontId="0" fillId="4" borderId="57" xfId="0" applyFill="1" applyBorder="1" applyAlignment="1">
      <alignment horizontal="center" vertical="center"/>
    </xf>
    <xf numFmtId="0" fontId="0" fillId="4" borderId="116" xfId="0" applyFill="1" applyBorder="1" applyAlignment="1">
      <alignment horizontal="center" vertical="center"/>
    </xf>
    <xf numFmtId="0" fontId="0" fillId="0" borderId="117" xfId="0" applyBorder="1" applyAlignment="1">
      <alignment horizontal="center" vertical="center"/>
    </xf>
    <xf numFmtId="0" fontId="0" fillId="0" borderId="119" xfId="0" applyBorder="1" applyAlignment="1">
      <alignment horizontal="center" vertical="center"/>
    </xf>
    <xf numFmtId="164" fontId="0" fillId="0" borderId="31" xfId="0" applyNumberFormat="1" applyBorder="1" applyAlignment="1">
      <alignment horizontal="center" vertical="center"/>
    </xf>
    <xf numFmtId="164" fontId="0" fillId="0" borderId="38" xfId="0" applyNumberFormat="1" applyBorder="1" applyAlignment="1">
      <alignment horizontal="center" vertical="center"/>
    </xf>
    <xf numFmtId="164" fontId="0" fillId="2" borderId="12" xfId="0" applyNumberFormat="1" applyFill="1" applyBorder="1" applyAlignment="1">
      <alignment horizontal="center" vertical="center"/>
    </xf>
    <xf numFmtId="164" fontId="0" fillId="2" borderId="82" xfId="0" applyNumberFormat="1" applyFill="1" applyBorder="1" applyAlignment="1">
      <alignment horizontal="center" vertical="center"/>
    </xf>
    <xf numFmtId="164" fontId="0" fillId="0" borderId="19" xfId="0" applyNumberFormat="1" applyBorder="1" applyAlignment="1">
      <alignment horizontal="center" vertical="center"/>
    </xf>
    <xf numFmtId="11" fontId="0" fillId="0" borderId="102" xfId="0" applyNumberFormat="1" applyBorder="1" applyAlignment="1">
      <alignment horizontal="center"/>
    </xf>
    <xf numFmtId="11" fontId="0" fillId="0" borderId="36" xfId="0" applyNumberFormat="1" applyBorder="1" applyAlignment="1">
      <alignment horizontal="center"/>
    </xf>
    <xf numFmtId="0" fontId="0" fillId="0" borderId="1" xfId="0" applyBorder="1" applyAlignment="1">
      <alignment horizontal="left" vertical="top"/>
    </xf>
    <xf numFmtId="0" fontId="0" fillId="0" borderId="18" xfId="0" applyBorder="1" applyAlignment="1">
      <alignment horizontal="left" vertical="top"/>
    </xf>
    <xf numFmtId="0" fontId="0" fillId="0" borderId="19" xfId="0" applyBorder="1" applyAlignment="1">
      <alignment horizontal="left" vertical="top"/>
    </xf>
    <xf numFmtId="0" fontId="0" fillId="0" borderId="13" xfId="0" applyBorder="1" applyAlignment="1">
      <alignment horizontal="left" vertical="top"/>
    </xf>
    <xf numFmtId="0" fontId="4" fillId="0" borderId="63" xfId="0" applyFont="1" applyBorder="1" applyAlignment="1">
      <alignment horizontal="center" vertical="center"/>
    </xf>
    <xf numFmtId="0" fontId="4" fillId="0" borderId="50" xfId="0" applyFont="1" applyBorder="1" applyAlignment="1">
      <alignment horizontal="center" vertical="center"/>
    </xf>
    <xf numFmtId="0" fontId="4" fillId="0" borderId="78" xfId="0" applyFont="1" applyBorder="1" applyAlignment="1">
      <alignment horizontal="center" vertical="center"/>
    </xf>
    <xf numFmtId="0" fontId="4" fillId="0" borderId="0" xfId="0" applyFont="1" applyAlignment="1">
      <alignment horizontal="center" vertical="center"/>
    </xf>
    <xf numFmtId="0" fontId="4" fillId="0" borderId="75" xfId="0" applyFont="1" applyBorder="1" applyAlignment="1">
      <alignment horizontal="center" vertical="center"/>
    </xf>
    <xf numFmtId="0" fontId="4" fillId="0" borderId="76" xfId="0" applyFont="1" applyBorder="1" applyAlignment="1">
      <alignment horizontal="center" vertical="center"/>
    </xf>
    <xf numFmtId="0" fontId="0" fillId="0" borderId="47" xfId="0" applyBorder="1" applyAlignment="1">
      <alignment horizontal="left" vertical="center"/>
    </xf>
    <xf numFmtId="0" fontId="0" fillId="0" borderId="51" xfId="0" applyBorder="1" applyAlignment="1">
      <alignment horizontal="left" vertical="center"/>
    </xf>
    <xf numFmtId="0" fontId="0" fillId="0" borderId="89" xfId="0" applyBorder="1" applyAlignment="1">
      <alignment horizontal="left" vertical="center"/>
    </xf>
    <xf numFmtId="0" fontId="0" fillId="0" borderId="47" xfId="0" applyBorder="1" applyAlignment="1">
      <alignment horizontal="left"/>
    </xf>
    <xf numFmtId="0" fontId="0" fillId="0" borderId="51" xfId="0" applyBorder="1" applyAlignment="1">
      <alignment horizontal="left"/>
    </xf>
    <xf numFmtId="0" fontId="0" fillId="0" borderId="89" xfId="0" applyBorder="1" applyAlignment="1">
      <alignment horizontal="left"/>
    </xf>
    <xf numFmtId="0" fontId="2" fillId="5" borderId="1" xfId="0" applyFont="1" applyFill="1" applyBorder="1" applyAlignment="1">
      <alignment horizontal="left"/>
    </xf>
    <xf numFmtId="0" fontId="4" fillId="8" borderId="1" xfId="0" applyFont="1" applyFill="1" applyBorder="1" applyAlignment="1">
      <alignment horizontal="left"/>
    </xf>
    <xf numFmtId="0" fontId="4" fillId="30" borderId="1" xfId="0" applyFont="1" applyFill="1" applyBorder="1" applyAlignment="1">
      <alignment horizontal="center"/>
    </xf>
    <xf numFmtId="0" fontId="4" fillId="2" borderId="36" xfId="0" applyFont="1" applyFill="1" applyBorder="1" applyAlignment="1">
      <alignment horizontal="center"/>
    </xf>
    <xf numFmtId="0" fontId="4" fillId="2" borderId="90" xfId="0" applyFont="1" applyFill="1" applyBorder="1" applyAlignment="1">
      <alignment horizontal="center"/>
    </xf>
    <xf numFmtId="0" fontId="4" fillId="2" borderId="55" xfId="0" applyFont="1" applyFill="1" applyBorder="1" applyAlignment="1">
      <alignment horizontal="center"/>
    </xf>
    <xf numFmtId="0" fontId="4" fillId="4" borderId="1" xfId="0" applyFont="1" applyFill="1" applyBorder="1" applyAlignment="1">
      <alignment horizontal="left"/>
    </xf>
    <xf numFmtId="0" fontId="4" fillId="0" borderId="1" xfId="0" applyFont="1" applyBorder="1" applyAlignment="1">
      <alignment horizontal="center" vertical="center"/>
    </xf>
    <xf numFmtId="0" fontId="4" fillId="0" borderId="58" xfId="0" applyFont="1" applyBorder="1" applyAlignment="1">
      <alignment horizontal="center"/>
    </xf>
    <xf numFmtId="0" fontId="4" fillId="0" borderId="53" xfId="0" applyFont="1" applyBorder="1" applyAlignment="1">
      <alignment horizontal="center"/>
    </xf>
    <xf numFmtId="0" fontId="0" fillId="0" borderId="12" xfId="0" applyBorder="1" applyAlignment="1">
      <alignment horizontal="left"/>
    </xf>
    <xf numFmtId="11" fontId="0" fillId="0" borderId="0" xfId="0" applyNumberFormat="1" applyAlignment="1">
      <alignment horizontal="center"/>
    </xf>
    <xf numFmtId="0" fontId="7" fillId="0" borderId="1" xfId="0" applyFont="1" applyBorder="1" applyAlignment="1">
      <alignment horizontal="left" vertical="center"/>
    </xf>
    <xf numFmtId="0" fontId="0" fillId="0" borderId="0" xfId="0" applyAlignment="1">
      <alignment horizontal="center"/>
    </xf>
    <xf numFmtId="0" fontId="6" fillId="6" borderId="1" xfId="0" applyFont="1" applyFill="1" applyBorder="1" applyAlignment="1">
      <alignment horizontal="left"/>
    </xf>
    <xf numFmtId="0" fontId="6" fillId="6" borderId="18" xfId="0" applyFont="1" applyFill="1" applyBorder="1" applyAlignment="1">
      <alignment horizontal="left"/>
    </xf>
    <xf numFmtId="0" fontId="4" fillId="0" borderId="1" xfId="0" applyFont="1" applyBorder="1" applyAlignment="1">
      <alignment horizontal="left"/>
    </xf>
    <xf numFmtId="0" fontId="4" fillId="0" borderId="18" xfId="0" applyFont="1" applyBorder="1" applyAlignment="1">
      <alignment horizontal="left"/>
    </xf>
    <xf numFmtId="0" fontId="0" fillId="0" borderId="104" xfId="0" applyBorder="1" applyAlignment="1">
      <alignment horizontal="left"/>
    </xf>
    <xf numFmtId="0" fontId="0" fillId="0" borderId="76" xfId="0" applyBorder="1" applyAlignment="1">
      <alignment horizontal="left"/>
    </xf>
    <xf numFmtId="0" fontId="0" fillId="0" borderId="105" xfId="0" applyBorder="1" applyAlignment="1">
      <alignment horizontal="left"/>
    </xf>
    <xf numFmtId="0" fontId="4" fillId="0" borderId="49" xfId="0" applyFont="1" applyBorder="1" applyAlignment="1">
      <alignment horizontal="center" vertical="center"/>
    </xf>
    <xf numFmtId="0" fontId="4" fillId="0" borderId="58" xfId="0" applyFont="1" applyBorder="1" applyAlignment="1">
      <alignment horizontal="center" vertical="center"/>
    </xf>
    <xf numFmtId="0" fontId="4" fillId="0" borderId="53" xfId="0" applyFont="1" applyBorder="1" applyAlignment="1">
      <alignment horizontal="center" vertical="center"/>
    </xf>
    <xf numFmtId="0" fontId="4" fillId="4" borderId="18" xfId="0" applyFont="1" applyFill="1" applyBorder="1" applyAlignment="1">
      <alignment horizontal="left"/>
    </xf>
    <xf numFmtId="0" fontId="4" fillId="4" borderId="19" xfId="0" applyFont="1" applyFill="1" applyBorder="1" applyAlignment="1">
      <alignment horizontal="left"/>
    </xf>
    <xf numFmtId="0" fontId="4" fillId="4" borderId="13" xfId="0" applyFont="1" applyFill="1" applyBorder="1" applyAlignment="1">
      <alignment horizontal="left"/>
    </xf>
    <xf numFmtId="0" fontId="2" fillId="5" borderId="18" xfId="0" applyFont="1" applyFill="1" applyBorder="1" applyAlignment="1">
      <alignment horizontal="left"/>
    </xf>
    <xf numFmtId="0" fontId="2" fillId="5" borderId="19" xfId="0" applyFont="1" applyFill="1" applyBorder="1" applyAlignment="1">
      <alignment horizontal="left"/>
    </xf>
    <xf numFmtId="0" fontId="2" fillId="5" borderId="13" xfId="0" applyFont="1" applyFill="1" applyBorder="1" applyAlignment="1">
      <alignment horizontal="left"/>
    </xf>
    <xf numFmtId="0" fontId="4" fillId="8" borderId="18" xfId="0" applyFont="1" applyFill="1" applyBorder="1" applyAlignment="1">
      <alignment horizontal="left"/>
    </xf>
    <xf numFmtId="0" fontId="4" fillId="8" borderId="19" xfId="0" applyFont="1" applyFill="1" applyBorder="1" applyAlignment="1">
      <alignment horizontal="left"/>
    </xf>
    <xf numFmtId="0" fontId="4" fillId="8" borderId="13" xfId="0" applyFont="1" applyFill="1" applyBorder="1" applyAlignment="1">
      <alignment horizontal="left"/>
    </xf>
    <xf numFmtId="0" fontId="4" fillId="22" borderId="18" xfId="0" applyFont="1" applyFill="1" applyBorder="1" applyAlignment="1">
      <alignment horizontal="center"/>
    </xf>
    <xf numFmtId="0" fontId="4" fillId="22" borderId="19" xfId="0" applyFont="1" applyFill="1" applyBorder="1" applyAlignment="1">
      <alignment horizontal="center"/>
    </xf>
    <xf numFmtId="0" fontId="4" fillId="22" borderId="13" xfId="0" applyFont="1" applyFill="1" applyBorder="1" applyAlignment="1">
      <alignment horizontal="center"/>
    </xf>
    <xf numFmtId="0" fontId="4" fillId="2" borderId="18" xfId="0" applyFont="1" applyFill="1" applyBorder="1" applyAlignment="1">
      <alignment horizontal="center"/>
    </xf>
    <xf numFmtId="0" fontId="4" fillId="2" borderId="19" xfId="0" applyFont="1" applyFill="1" applyBorder="1" applyAlignment="1">
      <alignment horizontal="center"/>
    </xf>
    <xf numFmtId="0" fontId="4" fillId="2" borderId="13" xfId="0" applyFont="1" applyFill="1" applyBorder="1" applyAlignment="1">
      <alignment horizontal="center"/>
    </xf>
    <xf numFmtId="0" fontId="4" fillId="0" borderId="19" xfId="0" applyFont="1" applyBorder="1" applyAlignment="1">
      <alignment horizontal="left"/>
    </xf>
    <xf numFmtId="0" fontId="4" fillId="0" borderId="13" xfId="0" applyFont="1" applyBorder="1" applyAlignment="1">
      <alignment horizontal="left"/>
    </xf>
    <xf numFmtId="0" fontId="11" fillId="0" borderId="12" xfId="0" applyFont="1" applyBorder="1" applyAlignment="1">
      <alignment horizontal="left"/>
    </xf>
    <xf numFmtId="0" fontId="4" fillId="0" borderId="47" xfId="0" applyFont="1" applyBorder="1" applyAlignment="1">
      <alignment horizontal="left"/>
    </xf>
    <xf numFmtId="0" fontId="17" fillId="0" borderId="18" xfId="0" applyFont="1" applyBorder="1" applyAlignment="1">
      <alignment horizontal="center"/>
    </xf>
    <xf numFmtId="0" fontId="6" fillId="31" borderId="18" xfId="0" applyFont="1" applyFill="1" applyBorder="1" applyAlignment="1">
      <alignment horizontal="left"/>
    </xf>
    <xf numFmtId="0" fontId="6" fillId="31" borderId="19" xfId="0" applyFont="1" applyFill="1" applyBorder="1" applyAlignment="1">
      <alignment horizontal="left"/>
    </xf>
    <xf numFmtId="0" fontId="6" fillId="31" borderId="13" xfId="0" applyFont="1" applyFill="1" applyBorder="1" applyAlignment="1">
      <alignment horizontal="left"/>
    </xf>
    <xf numFmtId="0" fontId="39" fillId="32" borderId="18" xfId="0" applyFont="1" applyFill="1" applyBorder="1" applyAlignment="1">
      <alignment horizontal="left"/>
    </xf>
    <xf numFmtId="0" fontId="39" fillId="32" borderId="19" xfId="0" applyFont="1" applyFill="1" applyBorder="1" applyAlignment="1">
      <alignment horizontal="left"/>
    </xf>
    <xf numFmtId="0" fontId="39" fillId="32" borderId="13" xfId="0" applyFont="1" applyFill="1" applyBorder="1" applyAlignment="1">
      <alignment horizontal="left"/>
    </xf>
    <xf numFmtId="0" fontId="6" fillId="33" borderId="18" xfId="0" applyFont="1" applyFill="1" applyBorder="1" applyAlignment="1">
      <alignment horizontal="center"/>
    </xf>
    <xf numFmtId="0" fontId="6" fillId="33" borderId="19" xfId="0" applyFont="1" applyFill="1" applyBorder="1" applyAlignment="1">
      <alignment horizontal="center"/>
    </xf>
    <xf numFmtId="0" fontId="6" fillId="33" borderId="13" xfId="0" applyFont="1" applyFill="1" applyBorder="1" applyAlignment="1">
      <alignment horizontal="center"/>
    </xf>
    <xf numFmtId="0" fontId="6" fillId="16" borderId="18" xfId="0" applyFont="1" applyFill="1" applyBorder="1" applyAlignment="1">
      <alignment horizontal="center"/>
    </xf>
    <xf numFmtId="0" fontId="6" fillId="16" borderId="19" xfId="0" applyFont="1" applyFill="1" applyBorder="1" applyAlignment="1">
      <alignment horizontal="center"/>
    </xf>
    <xf numFmtId="0" fontId="6" fillId="16" borderId="93" xfId="0" applyFont="1" applyFill="1" applyBorder="1" applyAlignment="1">
      <alignment horizontal="center"/>
    </xf>
    <xf numFmtId="0" fontId="19" fillId="16" borderId="18" xfId="0" applyFont="1" applyFill="1" applyBorder="1" applyAlignment="1">
      <alignment horizontal="left"/>
    </xf>
    <xf numFmtId="0" fontId="19" fillId="16" borderId="19" xfId="0" applyFont="1" applyFill="1" applyBorder="1" applyAlignment="1">
      <alignment horizontal="left"/>
    </xf>
    <xf numFmtId="0" fontId="19" fillId="16" borderId="93" xfId="0" applyFont="1" applyFill="1" applyBorder="1" applyAlignment="1">
      <alignment horizontal="left"/>
    </xf>
    <xf numFmtId="0" fontId="19" fillId="0" borderId="18" xfId="0" applyFont="1" applyBorder="1" applyAlignment="1">
      <alignment horizontal="left"/>
    </xf>
    <xf numFmtId="0" fontId="19" fillId="0" borderId="19" xfId="0" applyFont="1" applyBorder="1" applyAlignment="1">
      <alignment horizontal="left"/>
    </xf>
    <xf numFmtId="0" fontId="19" fillId="0" borderId="13" xfId="0" applyFont="1" applyBorder="1" applyAlignment="1">
      <alignment horizontal="left"/>
    </xf>
    <xf numFmtId="0" fontId="19" fillId="0" borderId="18" xfId="0" applyFont="1" applyBorder="1" applyAlignment="1">
      <alignment horizontal="left" vertical="top"/>
    </xf>
    <xf numFmtId="0" fontId="19" fillId="0" borderId="19" xfId="0" applyFont="1" applyBorder="1" applyAlignment="1">
      <alignment horizontal="left" vertical="top"/>
    </xf>
    <xf numFmtId="0" fontId="19" fillId="0" borderId="13" xfId="0" applyFont="1" applyBorder="1" applyAlignment="1">
      <alignment horizontal="left" vertical="top"/>
    </xf>
    <xf numFmtId="0" fontId="20" fillId="0" borderId="18" xfId="0" applyFont="1" applyBorder="1" applyAlignment="1">
      <alignment horizontal="left" vertical="center"/>
    </xf>
    <xf numFmtId="0" fontId="20" fillId="0" borderId="19" xfId="0" applyFont="1" applyBorder="1" applyAlignment="1">
      <alignment horizontal="left" vertical="center"/>
    </xf>
    <xf numFmtId="0" fontId="20" fillId="0" borderId="13" xfId="0" applyFont="1" applyBorder="1" applyAlignment="1">
      <alignment horizontal="left" vertical="center"/>
    </xf>
    <xf numFmtId="0" fontId="6" fillId="20" borderId="18" xfId="0" applyFont="1" applyFill="1" applyBorder="1" applyAlignment="1">
      <alignment horizontal="left"/>
    </xf>
    <xf numFmtId="0" fontId="6" fillId="20" borderId="19" xfId="0" applyFont="1" applyFill="1" applyBorder="1" applyAlignment="1">
      <alignment horizontal="left"/>
    </xf>
    <xf numFmtId="0" fontId="6" fillId="20" borderId="13" xfId="0" applyFont="1" applyFill="1" applyBorder="1" applyAlignment="1">
      <alignment horizontal="left"/>
    </xf>
    <xf numFmtId="0" fontId="6" fillId="33" borderId="83" xfId="0" applyFont="1" applyFill="1" applyBorder="1" applyAlignment="1">
      <alignment horizontal="left"/>
    </xf>
    <xf numFmtId="0" fontId="6" fillId="33" borderId="84" xfId="0" applyFont="1" applyFill="1" applyBorder="1" applyAlignment="1">
      <alignment horizontal="left"/>
    </xf>
    <xf numFmtId="0" fontId="6" fillId="33" borderId="54" xfId="0" applyFont="1" applyFill="1" applyBorder="1" applyAlignment="1">
      <alignment horizontal="left"/>
    </xf>
    <xf numFmtId="0" fontId="6" fillId="0" borderId="49" xfId="0" applyFont="1" applyBorder="1" applyAlignment="1">
      <alignment horizontal="center" vertical="center"/>
    </xf>
    <xf numFmtId="0" fontId="6" fillId="0" borderId="50" xfId="0" applyFont="1" applyBorder="1" applyAlignment="1">
      <alignment horizontal="center" vertical="center"/>
    </xf>
    <xf numFmtId="0" fontId="6" fillId="0" borderId="58" xfId="0" applyFont="1" applyBorder="1" applyAlignment="1">
      <alignment horizontal="center" vertical="center"/>
    </xf>
    <xf numFmtId="0" fontId="6" fillId="0" borderId="53" xfId="0" applyFont="1" applyBorder="1" applyAlignment="1">
      <alignment horizontal="center" vertical="center"/>
    </xf>
    <xf numFmtId="0" fontId="6" fillId="0" borderId="91" xfId="0" applyFont="1" applyBorder="1" applyAlignment="1">
      <alignment horizontal="center" vertical="center"/>
    </xf>
    <xf numFmtId="0" fontId="6" fillId="0" borderId="75" xfId="0" applyFont="1" applyBorder="1" applyAlignment="1">
      <alignment horizontal="center" vertical="center"/>
    </xf>
    <xf numFmtId="0" fontId="6" fillId="0" borderId="76" xfId="0" applyFont="1" applyBorder="1" applyAlignment="1">
      <alignment horizontal="center" vertical="center"/>
    </xf>
    <xf numFmtId="0" fontId="6" fillId="0" borderId="97" xfId="0" applyFont="1" applyBorder="1" applyAlignment="1">
      <alignment horizontal="center" vertical="center"/>
    </xf>
    <xf numFmtId="0" fontId="19" fillId="0" borderId="47" xfId="0" applyFont="1" applyBorder="1" applyAlignment="1">
      <alignment horizontal="left" vertical="center"/>
    </xf>
    <xf numFmtId="0" fontId="19" fillId="0" borderId="51" xfId="0" applyFont="1" applyBorder="1" applyAlignment="1">
      <alignment horizontal="left" vertical="center"/>
    </xf>
    <xf numFmtId="0" fontId="19" fillId="0" borderId="48" xfId="0" applyFont="1" applyBorder="1" applyAlignment="1">
      <alignment horizontal="left" vertical="center"/>
    </xf>
    <xf numFmtId="0" fontId="6" fillId="33" borderId="18" xfId="0" applyFont="1" applyFill="1" applyBorder="1" applyAlignment="1">
      <alignment horizontal="left"/>
    </xf>
    <xf numFmtId="0" fontId="6" fillId="33" borderId="19" xfId="0" applyFont="1" applyFill="1" applyBorder="1" applyAlignment="1">
      <alignment horizontal="left"/>
    </xf>
    <xf numFmtId="0" fontId="6" fillId="33" borderId="13" xfId="0" applyFont="1" applyFill="1" applyBorder="1" applyAlignment="1">
      <alignment horizontal="left"/>
    </xf>
    <xf numFmtId="0" fontId="6" fillId="0" borderId="12" xfId="0" applyFont="1" applyBorder="1" applyAlignment="1">
      <alignment horizontal="center" vertical="center"/>
    </xf>
    <xf numFmtId="0" fontId="6" fillId="0" borderId="11" xfId="0" applyFont="1" applyBorder="1" applyAlignment="1">
      <alignment horizontal="center" vertical="center"/>
    </xf>
    <xf numFmtId="0" fontId="6" fillId="0" borderId="82" xfId="0" applyFont="1" applyBorder="1" applyAlignment="1">
      <alignment horizontal="center" vertical="center"/>
    </xf>
    <xf numFmtId="0" fontId="6" fillId="0" borderId="84" xfId="0" applyFont="1" applyBorder="1" applyAlignment="1">
      <alignment horizontal="center" vertical="center"/>
    </xf>
    <xf numFmtId="0" fontId="6" fillId="0" borderId="54" xfId="0" applyFont="1" applyBorder="1" applyAlignment="1">
      <alignment horizontal="center" vertical="center"/>
    </xf>
    <xf numFmtId="0" fontId="6" fillId="0" borderId="36" xfId="0" applyFont="1" applyBorder="1" applyAlignment="1">
      <alignment horizontal="center" vertical="center"/>
    </xf>
    <xf numFmtId="0" fontId="6" fillId="0" borderId="90" xfId="0" applyFont="1" applyBorder="1" applyAlignment="1">
      <alignment horizontal="center" vertical="center"/>
    </xf>
    <xf numFmtId="0" fontId="6" fillId="0" borderId="55" xfId="0" applyFont="1" applyBorder="1" applyAlignment="1">
      <alignment horizontal="center" vertical="center"/>
    </xf>
    <xf numFmtId="0" fontId="19" fillId="0" borderId="93" xfId="0" applyFont="1" applyBorder="1" applyAlignment="1">
      <alignment horizontal="left"/>
    </xf>
    <xf numFmtId="0" fontId="20" fillId="0" borderId="18" xfId="0" applyFont="1" applyBorder="1" applyAlignment="1">
      <alignment horizontal="center"/>
    </xf>
    <xf numFmtId="0" fontId="20" fillId="0" borderId="19" xfId="0" applyFont="1" applyBorder="1" applyAlignment="1">
      <alignment horizontal="center"/>
    </xf>
    <xf numFmtId="0" fontId="20" fillId="0" borderId="13" xfId="0" applyFont="1" applyBorder="1" applyAlignment="1">
      <alignment horizontal="center"/>
    </xf>
    <xf numFmtId="0" fontId="19" fillId="0" borderId="82" xfId="0" applyFont="1" applyBorder="1" applyAlignment="1">
      <alignment horizontal="left"/>
    </xf>
    <xf numFmtId="0" fontId="19" fillId="0" borderId="84" xfId="0" applyFont="1" applyBorder="1" applyAlignment="1">
      <alignment horizontal="left"/>
    </xf>
    <xf numFmtId="0" fontId="19" fillId="0" borderId="54" xfId="0" applyFont="1" applyBorder="1" applyAlignment="1">
      <alignment horizontal="left"/>
    </xf>
    <xf numFmtId="0" fontId="6" fillId="0" borderId="63" xfId="0" applyFont="1" applyBorder="1" applyAlignment="1">
      <alignment horizontal="left" vertical="top"/>
    </xf>
    <xf numFmtId="0" fontId="6" fillId="0" borderId="122" xfId="0" applyFont="1" applyBorder="1" applyAlignment="1">
      <alignment horizontal="left" vertical="top"/>
    </xf>
    <xf numFmtId="0" fontId="6" fillId="0" borderId="58" xfId="0" applyFont="1" applyBorder="1" applyAlignment="1">
      <alignment horizontal="left" vertical="top"/>
    </xf>
    <xf numFmtId="0" fontId="6" fillId="0" borderId="53" xfId="0" applyFont="1" applyBorder="1" applyAlignment="1">
      <alignment horizontal="left" vertical="top"/>
    </xf>
    <xf numFmtId="0" fontId="6" fillId="0" borderId="52" xfId="0" applyFont="1" applyBorder="1" applyAlignment="1">
      <alignment horizontal="left" vertical="top"/>
    </xf>
    <xf numFmtId="0" fontId="6" fillId="0" borderId="95" xfId="0" applyFont="1" applyBorder="1" applyAlignment="1">
      <alignment horizontal="left" vertical="top"/>
    </xf>
    <xf numFmtId="0" fontId="6" fillId="0" borderId="90" xfId="0" applyFont="1" applyBorder="1" applyAlignment="1">
      <alignment horizontal="left" vertical="top"/>
    </xf>
    <xf numFmtId="0" fontId="6" fillId="0" borderId="96" xfId="0" applyFont="1" applyBorder="1" applyAlignment="1">
      <alignment horizontal="left" vertical="top"/>
    </xf>
    <xf numFmtId="0" fontId="19" fillId="0" borderId="18" xfId="0" applyFont="1" applyBorder="1" applyAlignment="1">
      <alignment horizontal="center" vertical="center"/>
    </xf>
    <xf numFmtId="0" fontId="19" fillId="0" borderId="19" xfId="0" applyFont="1" applyBorder="1" applyAlignment="1">
      <alignment horizontal="center" vertical="center"/>
    </xf>
    <xf numFmtId="0" fontId="19" fillId="0" borderId="13" xfId="0" applyFont="1" applyBorder="1" applyAlignment="1">
      <alignment horizontal="center" vertical="center"/>
    </xf>
    <xf numFmtId="0" fontId="6" fillId="0" borderId="18" xfId="0" applyFont="1" applyBorder="1" applyAlignment="1">
      <alignment horizontal="left"/>
    </xf>
    <xf numFmtId="0" fontId="6" fillId="0" borderId="19" xfId="0" applyFont="1" applyBorder="1" applyAlignment="1">
      <alignment horizontal="left"/>
    </xf>
    <xf numFmtId="0" fontId="6" fillId="0" borderId="13" xfId="0" applyFont="1" applyBorder="1" applyAlignment="1">
      <alignment horizontal="left"/>
    </xf>
    <xf numFmtId="0" fontId="6" fillId="0" borderId="52" xfId="0" applyFont="1" applyBorder="1" applyAlignment="1">
      <alignment horizontal="center" vertical="center"/>
    </xf>
    <xf numFmtId="0" fontId="6" fillId="0" borderId="77" xfId="0" applyFont="1" applyBorder="1" applyAlignment="1">
      <alignment horizontal="center" vertical="center"/>
    </xf>
    <xf numFmtId="0" fontId="19" fillId="0" borderId="47" xfId="0" applyFont="1" applyBorder="1" applyAlignment="1">
      <alignment horizontal="center"/>
    </xf>
    <xf numFmtId="0" fontId="19" fillId="0" borderId="51" xfId="0" applyFont="1" applyBorder="1" applyAlignment="1">
      <alignment horizontal="center"/>
    </xf>
    <xf numFmtId="0" fontId="19" fillId="0" borderId="48" xfId="0" applyFont="1" applyBorder="1" applyAlignment="1">
      <alignment horizontal="center"/>
    </xf>
    <xf numFmtId="0" fontId="6" fillId="0" borderId="58" xfId="0" applyFont="1" applyBorder="1" applyAlignment="1">
      <alignment horizontal="left"/>
    </xf>
    <xf numFmtId="0" fontId="6" fillId="0" borderId="53" xfId="0" applyFont="1" applyBorder="1" applyAlignment="1">
      <alignment horizontal="left"/>
    </xf>
    <xf numFmtId="0" fontId="6" fillId="0" borderId="52" xfId="0" applyFont="1" applyBorder="1" applyAlignment="1">
      <alignment horizontal="left"/>
    </xf>
    <xf numFmtId="0" fontId="6" fillId="0" borderId="85" xfId="0" applyFont="1" applyBorder="1" applyAlignment="1">
      <alignment horizontal="center"/>
    </xf>
    <xf numFmtId="0" fontId="6" fillId="0" borderId="86" xfId="0" applyFont="1" applyBorder="1" applyAlignment="1">
      <alignment horizontal="center"/>
    </xf>
    <xf numFmtId="0" fontId="6" fillId="0" borderId="87" xfId="0" applyFont="1" applyBorder="1" applyAlignment="1">
      <alignment horizontal="center"/>
    </xf>
    <xf numFmtId="0" fontId="20" fillId="0" borderId="18" xfId="0" applyFont="1" applyBorder="1" applyAlignment="1">
      <alignment horizontal="left"/>
    </xf>
    <xf numFmtId="0" fontId="20" fillId="0" borderId="19" xfId="0" applyFont="1" applyBorder="1" applyAlignment="1">
      <alignment horizontal="left"/>
    </xf>
    <xf numFmtId="0" fontId="20" fillId="0" borderId="13" xfId="0" applyFont="1" applyBorder="1" applyAlignment="1">
      <alignment horizontal="left"/>
    </xf>
    <xf numFmtId="0" fontId="19" fillId="0" borderId="120" xfId="0" applyFont="1" applyBorder="1" applyAlignment="1">
      <alignment horizontal="left"/>
    </xf>
    <xf numFmtId="0" fontId="19" fillId="0" borderId="113" xfId="0" applyFont="1" applyBorder="1" applyAlignment="1">
      <alignment horizontal="left"/>
    </xf>
    <xf numFmtId="0" fontId="19" fillId="0" borderId="121" xfId="0" applyFont="1" applyBorder="1" applyAlignment="1">
      <alignment horizontal="left"/>
    </xf>
    <xf numFmtId="0" fontId="4" fillId="0" borderId="52" xfId="0" applyFont="1" applyBorder="1" applyAlignment="1">
      <alignment horizontal="center" vertical="center"/>
    </xf>
    <xf numFmtId="0" fontId="4" fillId="0" borderId="77" xfId="0" applyFont="1" applyBorder="1" applyAlignment="1">
      <alignment horizontal="center" vertical="center"/>
    </xf>
    <xf numFmtId="0" fontId="0" fillId="0" borderId="47" xfId="0" applyBorder="1" applyAlignment="1">
      <alignment horizontal="center"/>
    </xf>
    <xf numFmtId="0" fontId="0" fillId="0" borderId="51" xfId="0" applyBorder="1" applyAlignment="1">
      <alignment horizontal="center"/>
    </xf>
    <xf numFmtId="0" fontId="0" fillId="0" borderId="48" xfId="0" applyBorder="1" applyAlignment="1">
      <alignment horizontal="center"/>
    </xf>
    <xf numFmtId="0" fontId="4" fillId="0" borderId="51" xfId="0" applyFont="1" applyBorder="1" applyAlignment="1">
      <alignment horizontal="left"/>
    </xf>
    <xf numFmtId="0" fontId="4" fillId="0" borderId="53" xfId="0" applyFont="1" applyBorder="1" applyAlignment="1">
      <alignment horizontal="left"/>
    </xf>
    <xf numFmtId="0" fontId="4" fillId="0" borderId="52" xfId="0" applyFont="1" applyBorder="1" applyAlignment="1">
      <alignment horizontal="left"/>
    </xf>
    <xf numFmtId="0" fontId="11" fillId="0" borderId="82" xfId="0" applyFont="1" applyBorder="1" applyAlignment="1">
      <alignment horizontal="left"/>
    </xf>
    <xf numFmtId="0" fontId="4" fillId="0" borderId="49" xfId="0" applyFont="1" applyBorder="1" applyAlignment="1">
      <alignment horizontal="left" vertical="top"/>
    </xf>
    <xf numFmtId="0" fontId="4" fillId="0" borderId="63" xfId="0" applyFont="1" applyBorder="1" applyAlignment="1">
      <alignment horizontal="left" vertical="top"/>
    </xf>
    <xf numFmtId="0" fontId="4" fillId="0" borderId="58" xfId="0" applyFont="1" applyBorder="1" applyAlignment="1">
      <alignment horizontal="left" vertical="top"/>
    </xf>
    <xf numFmtId="0" fontId="4" fillId="0" borderId="53" xfId="0" applyFont="1" applyBorder="1" applyAlignment="1">
      <alignment horizontal="left" vertical="top"/>
    </xf>
    <xf numFmtId="0" fontId="4" fillId="0" borderId="52" xfId="0" applyFont="1" applyBorder="1" applyAlignment="1">
      <alignment horizontal="left" vertical="top"/>
    </xf>
    <xf numFmtId="0" fontId="4" fillId="0" borderId="78" xfId="0" applyFont="1" applyBorder="1" applyAlignment="1">
      <alignment horizontal="left" vertical="top"/>
    </xf>
    <xf numFmtId="0" fontId="4" fillId="0" borderId="0" xfId="0" applyFont="1" applyAlignment="1">
      <alignment horizontal="left" vertical="top"/>
    </xf>
    <xf numFmtId="0" fontId="4" fillId="0" borderId="79" xfId="0" applyFont="1" applyBorder="1" applyAlignment="1">
      <alignment horizontal="left" vertical="top"/>
    </xf>
    <xf numFmtId="0" fontId="6" fillId="6" borderId="19" xfId="0" applyFont="1" applyFill="1" applyBorder="1" applyAlignment="1">
      <alignment horizontal="left"/>
    </xf>
    <xf numFmtId="0" fontId="17" fillId="0" borderId="19" xfId="0" applyFont="1" applyBorder="1" applyAlignment="1">
      <alignment horizontal="center"/>
    </xf>
    <xf numFmtId="0" fontId="4" fillId="22" borderId="1" xfId="0" applyFont="1" applyFill="1" applyBorder="1" applyAlignment="1">
      <alignment horizontal="center"/>
    </xf>
    <xf numFmtId="0" fontId="4" fillId="0" borderId="47" xfId="0" applyFont="1" applyBorder="1" applyAlignment="1">
      <alignment horizontal="center" vertical="center"/>
    </xf>
    <xf numFmtId="0" fontId="4" fillId="0" borderId="51" xfId="0" applyFont="1" applyBorder="1" applyAlignment="1">
      <alignment horizontal="center" vertical="center"/>
    </xf>
    <xf numFmtId="0" fontId="4" fillId="0" borderId="89" xfId="0" applyFont="1" applyBorder="1" applyAlignment="1">
      <alignment horizontal="center" vertical="center"/>
    </xf>
    <xf numFmtId="0" fontId="6" fillId="17" borderId="18" xfId="0" applyFont="1" applyFill="1" applyBorder="1" applyAlignment="1">
      <alignment horizontal="left"/>
    </xf>
    <xf numFmtId="0" fontId="0" fillId="0" borderId="82" xfId="0" applyBorder="1" applyAlignment="1">
      <alignment horizontal="left"/>
    </xf>
    <xf numFmtId="0" fontId="19" fillId="0" borderId="90" xfId="0" applyFont="1" applyBorder="1" applyAlignment="1">
      <alignment horizontal="left" vertical="top"/>
    </xf>
    <xf numFmtId="0" fontId="0" fillId="0" borderId="0" xfId="0"/>
    <xf numFmtId="0" fontId="0" fillId="2" borderId="0" xfId="0" applyFill="1" applyAlignment="1">
      <alignment horizontal="center"/>
    </xf>
    <xf numFmtId="0" fontId="20" fillId="9" borderId="95" xfId="0" applyFont="1" applyFill="1" applyBorder="1" applyAlignment="1">
      <alignment horizontal="center" vertical="center"/>
    </xf>
    <xf numFmtId="0" fontId="6" fillId="20" borderId="18" xfId="0" applyFont="1" applyFill="1" applyBorder="1" applyAlignment="1">
      <alignment horizontal="center"/>
    </xf>
    <xf numFmtId="0" fontId="6" fillId="17" borderId="83" xfId="0" applyFont="1" applyFill="1" applyBorder="1" applyAlignment="1">
      <alignment horizontal="center"/>
    </xf>
    <xf numFmtId="0" fontId="19" fillId="0" borderId="47" xfId="0" applyFont="1" applyBorder="1" applyAlignment="1">
      <alignment horizontal="left"/>
    </xf>
    <xf numFmtId="0" fontId="0" fillId="0" borderId="74" xfId="0" applyBorder="1" applyAlignment="1">
      <alignment horizontal="left"/>
    </xf>
    <xf numFmtId="0" fontId="0" fillId="0" borderId="66" xfId="0" applyBorder="1" applyAlignment="1">
      <alignment horizontal="left"/>
    </xf>
    <xf numFmtId="0" fontId="0" fillId="0" borderId="68" xfId="0" applyBorder="1" applyAlignment="1">
      <alignment horizontal="left"/>
    </xf>
    <xf numFmtId="0" fontId="4" fillId="0" borderId="0" xfId="0" applyFont="1" applyAlignment="1">
      <alignment horizontal="center"/>
    </xf>
    <xf numFmtId="0" fontId="0" fillId="0" borderId="62" xfId="0" applyBorder="1" applyAlignment="1">
      <alignment horizontal="left"/>
    </xf>
    <xf numFmtId="0" fontId="4" fillId="2" borderId="1" xfId="0" applyFont="1" applyFill="1" applyBorder="1" applyAlignment="1">
      <alignment horizontal="center"/>
    </xf>
    <xf numFmtId="0" fontId="0" fillId="0" borderId="58" xfId="0" applyBorder="1" applyAlignment="1">
      <alignment horizontal="center"/>
    </xf>
    <xf numFmtId="0" fontId="0" fillId="0" borderId="47" xfId="0" applyBorder="1" applyAlignment="1">
      <alignment horizontal="left" vertical="top"/>
    </xf>
    <xf numFmtId="0" fontId="4" fillId="0" borderId="85" xfId="0" applyFont="1" applyBorder="1" applyAlignment="1">
      <alignment horizontal="center"/>
    </xf>
    <xf numFmtId="0" fontId="0" fillId="2" borderId="0" xfId="0" applyFill="1"/>
    <xf numFmtId="0" fontId="4" fillId="30" borderId="18" xfId="0" applyFont="1" applyFill="1" applyBorder="1" applyAlignment="1">
      <alignment horizontal="center"/>
    </xf>
    <xf numFmtId="0" fontId="4" fillId="30" borderId="19" xfId="0" applyFont="1" applyFill="1" applyBorder="1" applyAlignment="1">
      <alignment horizontal="center"/>
    </xf>
    <xf numFmtId="0" fontId="4" fillId="30" borderId="13" xfId="0" applyFont="1" applyFill="1" applyBorder="1" applyAlignment="1">
      <alignment horizontal="center"/>
    </xf>
    <xf numFmtId="0" fontId="6" fillId="9" borderId="95" xfId="0" applyFont="1" applyFill="1" applyBorder="1" applyAlignment="1">
      <alignment horizontal="left"/>
    </xf>
    <xf numFmtId="0" fontId="6" fillId="9" borderId="90" xfId="0" applyFont="1" applyFill="1" applyBorder="1" applyAlignment="1">
      <alignment horizontal="left"/>
    </xf>
    <xf numFmtId="0" fontId="6" fillId="9" borderId="55" xfId="0" applyFont="1" applyFill="1" applyBorder="1" applyAlignment="1">
      <alignment horizontal="left"/>
    </xf>
    <xf numFmtId="0" fontId="7" fillId="0" borderId="11" xfId="0" applyFont="1" applyBorder="1" applyAlignment="1">
      <alignment horizontal="left" vertical="center"/>
    </xf>
    <xf numFmtId="0" fontId="0" fillId="0" borderId="58" xfId="0" applyBorder="1" applyAlignment="1">
      <alignment horizontal="left" vertical="center"/>
    </xf>
    <xf numFmtId="0" fontId="0" fillId="0" borderId="53" xfId="0" applyBorder="1" applyAlignment="1">
      <alignment horizontal="left" vertical="center"/>
    </xf>
    <xf numFmtId="0" fontId="0" fillId="0" borderId="91" xfId="0" applyBorder="1" applyAlignment="1">
      <alignment horizontal="left" vertical="center"/>
    </xf>
    <xf numFmtId="0" fontId="0" fillId="0" borderId="12" xfId="0" applyBorder="1" applyAlignment="1">
      <alignment horizontal="left" vertical="center"/>
    </xf>
    <xf numFmtId="0" fontId="16" fillId="0" borderId="18" xfId="0" applyFont="1" applyBorder="1" applyAlignment="1">
      <alignment horizontal="left"/>
    </xf>
    <xf numFmtId="0" fontId="16" fillId="0" borderId="19" xfId="0" applyFont="1" applyBorder="1" applyAlignment="1">
      <alignment horizontal="left"/>
    </xf>
    <xf numFmtId="0" fontId="16" fillId="0" borderId="13" xfId="0" applyFont="1" applyBorder="1" applyAlignment="1">
      <alignment horizontal="left"/>
    </xf>
    <xf numFmtId="0" fontId="6" fillId="30" borderId="83" xfId="0" applyFont="1" applyFill="1" applyBorder="1" applyAlignment="1">
      <alignment horizontal="left"/>
    </xf>
    <xf numFmtId="0" fontId="6" fillId="30" borderId="84" xfId="0" applyFont="1" applyFill="1" applyBorder="1" applyAlignment="1">
      <alignment horizontal="left"/>
    </xf>
    <xf numFmtId="0" fontId="6" fillId="30" borderId="54" xfId="0" applyFont="1" applyFill="1" applyBorder="1" applyAlignment="1">
      <alignment horizontal="left"/>
    </xf>
    <xf numFmtId="0" fontId="6" fillId="30" borderId="18" xfId="0" applyFont="1" applyFill="1" applyBorder="1" applyAlignment="1">
      <alignment horizontal="left"/>
    </xf>
    <xf numFmtId="0" fontId="6" fillId="30" borderId="19" xfId="0" applyFont="1" applyFill="1" applyBorder="1" applyAlignment="1">
      <alignment horizontal="left"/>
    </xf>
    <xf numFmtId="0" fontId="4" fillId="34" borderId="0" xfId="0" applyFont="1" applyFill="1" applyAlignment="1">
      <alignment horizontal="center"/>
    </xf>
    <xf numFmtId="0" fontId="6" fillId="30" borderId="1" xfId="0" applyFont="1" applyFill="1" applyBorder="1" applyAlignment="1">
      <alignment horizontal="left"/>
    </xf>
    <xf numFmtId="0" fontId="4" fillId="0" borderId="18" xfId="0" applyFont="1" applyBorder="1" applyAlignment="1">
      <alignment horizontal="center" vertical="center"/>
    </xf>
    <xf numFmtId="0" fontId="4" fillId="0" borderId="19" xfId="0" applyFont="1" applyBorder="1" applyAlignment="1">
      <alignment horizontal="center" vertical="center"/>
    </xf>
    <xf numFmtId="0" fontId="4" fillId="0" borderId="13" xfId="0" applyFont="1" applyBorder="1" applyAlignment="1">
      <alignment horizontal="center" vertical="center"/>
    </xf>
    <xf numFmtId="0" fontId="0" fillId="2" borderId="81" xfId="0" applyFill="1" applyBorder="1" applyAlignment="1">
      <alignment horizontal="center"/>
    </xf>
    <xf numFmtId="0" fontId="0" fillId="0" borderId="23" xfId="0" applyBorder="1" applyAlignment="1">
      <alignment horizontal="center"/>
    </xf>
    <xf numFmtId="0" fontId="4" fillId="0" borderId="1" xfId="0" applyFont="1" applyBorder="1" applyAlignment="1">
      <alignment horizontal="left" vertical="top"/>
    </xf>
    <xf numFmtId="0" fontId="0" fillId="0" borderId="71" xfId="0" applyBorder="1" applyAlignment="1">
      <alignment horizontal="left"/>
    </xf>
    <xf numFmtId="0" fontId="0" fillId="0" borderId="72" xfId="0" applyBorder="1" applyAlignment="1">
      <alignment horizontal="left"/>
    </xf>
    <xf numFmtId="0" fontId="8" fillId="0" borderId="68" xfId="0" applyFont="1" applyBorder="1" applyAlignment="1">
      <alignment horizontal="left"/>
    </xf>
    <xf numFmtId="0" fontId="0" fillId="0" borderId="69" xfId="0" applyBorder="1" applyAlignment="1">
      <alignment horizontal="left"/>
    </xf>
    <xf numFmtId="0" fontId="0" fillId="0" borderId="70" xfId="0" applyBorder="1" applyAlignment="1">
      <alignment horizontal="left"/>
    </xf>
    <xf numFmtId="0" fontId="4" fillId="0" borderId="50" xfId="0" applyFont="1" applyBorder="1" applyAlignment="1">
      <alignment horizontal="left" vertical="top"/>
    </xf>
    <xf numFmtId="0" fontId="4" fillId="0" borderId="75" xfId="0" applyFont="1" applyBorder="1" applyAlignment="1">
      <alignment horizontal="left" vertical="top"/>
    </xf>
    <xf numFmtId="0" fontId="4" fillId="0" borderId="76" xfId="0" applyFont="1" applyBorder="1" applyAlignment="1">
      <alignment horizontal="left" vertical="top"/>
    </xf>
    <xf numFmtId="0" fontId="4" fillId="0" borderId="77" xfId="0" applyFont="1" applyBorder="1" applyAlignment="1">
      <alignment horizontal="left" vertical="top"/>
    </xf>
    <xf numFmtId="0" fontId="4" fillId="0" borderId="58" xfId="0" applyFont="1" applyBorder="1" applyAlignment="1">
      <alignment horizontal="left"/>
    </xf>
    <xf numFmtId="0" fontId="11" fillId="0" borderId="12" xfId="0" applyFont="1" applyBorder="1" applyAlignment="1">
      <alignment horizontal="center"/>
    </xf>
    <xf numFmtId="0" fontId="11" fillId="0" borderId="82" xfId="0" applyFont="1" applyBorder="1" applyAlignment="1">
      <alignment horizontal="center"/>
    </xf>
    <xf numFmtId="0" fontId="6" fillId="6" borderId="82" xfId="0" applyFont="1" applyFill="1" applyBorder="1" applyAlignment="1">
      <alignment horizontal="left"/>
    </xf>
    <xf numFmtId="0" fontId="4" fillId="0" borderId="12" xfId="0" applyFont="1" applyBorder="1" applyAlignment="1">
      <alignment horizontal="center"/>
    </xf>
    <xf numFmtId="0" fontId="4" fillId="0" borderId="23" xfId="0" applyFont="1" applyBorder="1" applyAlignment="1">
      <alignment horizontal="center"/>
    </xf>
    <xf numFmtId="0" fontId="6" fillId="0" borderId="1" xfId="0" applyFont="1" applyBorder="1" applyAlignment="1">
      <alignment horizontal="left"/>
    </xf>
    <xf numFmtId="0" fontId="6" fillId="6" borderId="83" xfId="0" applyFont="1" applyFill="1" applyBorder="1" applyAlignment="1">
      <alignment horizontal="left"/>
    </xf>
    <xf numFmtId="0" fontId="6" fillId="6" borderId="84" xfId="0" applyFont="1" applyFill="1" applyBorder="1" applyAlignment="1">
      <alignment horizontal="left"/>
    </xf>
    <xf numFmtId="0" fontId="0" fillId="0" borderId="49" xfId="0" applyBorder="1" applyAlignment="1">
      <alignment horizontal="center" vertical="top"/>
    </xf>
    <xf numFmtId="0" fontId="0" fillId="0" borderId="50" xfId="0" applyBorder="1" applyAlignment="1">
      <alignment horizontal="center" vertical="top"/>
    </xf>
    <xf numFmtId="0" fontId="0" fillId="0" borderId="51" xfId="0" applyBorder="1" applyAlignment="1">
      <alignment horizontal="left" vertical="top"/>
    </xf>
    <xf numFmtId="0" fontId="0" fillId="0" borderId="89" xfId="0" applyBorder="1" applyAlignment="1">
      <alignment horizontal="left" vertical="top"/>
    </xf>
    <xf numFmtId="0" fontId="0" fillId="0" borderId="58" xfId="0" applyBorder="1" applyAlignment="1">
      <alignment horizontal="left"/>
    </xf>
    <xf numFmtId="0" fontId="0" fillId="0" borderId="53" xfId="0" applyBorder="1" applyAlignment="1">
      <alignment horizontal="left"/>
    </xf>
    <xf numFmtId="0" fontId="16" fillId="8" borderId="1" xfId="0" applyFont="1" applyFill="1" applyBorder="1" applyAlignment="1">
      <alignment horizontal="left"/>
    </xf>
    <xf numFmtId="0" fontId="6" fillId="11" borderId="95" xfId="0" applyFont="1" applyFill="1" applyBorder="1" applyAlignment="1">
      <alignment horizontal="left"/>
    </xf>
    <xf numFmtId="0" fontId="6" fillId="11" borderId="90" xfId="0" applyFont="1" applyFill="1" applyBorder="1" applyAlignment="1">
      <alignment horizontal="left"/>
    </xf>
    <xf numFmtId="0" fontId="6" fillId="11" borderId="55" xfId="0" applyFont="1" applyFill="1" applyBorder="1" applyAlignment="1">
      <alignment horizontal="left"/>
    </xf>
    <xf numFmtId="0" fontId="22" fillId="11" borderId="98" xfId="0" applyFont="1" applyFill="1" applyBorder="1"/>
    <xf numFmtId="0" fontId="22" fillId="11" borderId="76" xfId="0" applyFont="1" applyFill="1" applyBorder="1"/>
    <xf numFmtId="0" fontId="22" fillId="11" borderId="97" xfId="0" applyFont="1" applyFill="1" applyBorder="1"/>
    <xf numFmtId="0" fontId="0" fillId="0" borderId="78" xfId="0" applyBorder="1" applyAlignment="1">
      <alignment horizontal="left"/>
    </xf>
    <xf numFmtId="0" fontId="0" fillId="0" borderId="0" xfId="0" applyAlignment="1">
      <alignment horizontal="left"/>
    </xf>
    <xf numFmtId="0" fontId="0" fillId="0" borderId="81" xfId="0" applyBorder="1" applyAlignment="1">
      <alignment horizontal="left"/>
    </xf>
    <xf numFmtId="0" fontId="6" fillId="9" borderId="85" xfId="0" applyFont="1" applyFill="1" applyBorder="1" applyAlignment="1">
      <alignment horizontal="left"/>
    </xf>
    <xf numFmtId="0" fontId="6" fillId="9" borderId="86" xfId="0" applyFont="1" applyFill="1" applyBorder="1" applyAlignment="1">
      <alignment horizontal="left"/>
    </xf>
    <xf numFmtId="0" fontId="6" fillId="9" borderId="87" xfId="0" applyFont="1" applyFill="1" applyBorder="1" applyAlignment="1">
      <alignment horizontal="left"/>
    </xf>
    <xf numFmtId="0" fontId="0" fillId="0" borderId="58" xfId="0" applyBorder="1" applyAlignment="1">
      <alignment horizontal="left" vertical="top"/>
    </xf>
    <xf numFmtId="0" fontId="0" fillId="0" borderId="53" xfId="0" applyBorder="1" applyAlignment="1">
      <alignment horizontal="left" vertical="top"/>
    </xf>
    <xf numFmtId="0" fontId="0" fillId="0" borderId="91" xfId="0" applyBorder="1" applyAlignment="1">
      <alignment horizontal="left" vertical="top"/>
    </xf>
    <xf numFmtId="0" fontId="6" fillId="0" borderId="11" xfId="0" applyFont="1" applyBorder="1" applyAlignment="1">
      <alignment horizontal="left"/>
    </xf>
    <xf numFmtId="0" fontId="0" fillId="0" borderId="53" xfId="0" applyBorder="1" applyAlignment="1">
      <alignment horizontal="center"/>
    </xf>
    <xf numFmtId="0" fontId="0" fillId="0" borderId="52" xfId="0" applyBorder="1" applyAlignment="1">
      <alignment horizontal="center"/>
    </xf>
    <xf numFmtId="0" fontId="4" fillId="0" borderId="76" xfId="0" applyFont="1" applyBorder="1" applyAlignment="1">
      <alignment horizontal="left"/>
    </xf>
    <xf numFmtId="0" fontId="11" fillId="0" borderId="102" xfId="0" applyFont="1" applyBorder="1" applyAlignment="1">
      <alignment horizontal="left"/>
    </xf>
    <xf numFmtId="0" fontId="0" fillId="0" borderId="18" xfId="0" applyBorder="1" applyAlignment="1">
      <alignment horizontal="left" vertical="center"/>
    </xf>
    <xf numFmtId="0" fontId="0" fillId="0" borderId="19" xfId="0" applyBorder="1" applyAlignment="1">
      <alignment horizontal="left" vertical="center"/>
    </xf>
    <xf numFmtId="0" fontId="0" fillId="0" borderId="13" xfId="0" applyBorder="1" applyAlignment="1">
      <alignment horizontal="left" vertical="center"/>
    </xf>
    <xf numFmtId="0" fontId="0" fillId="0" borderId="112" xfId="0" applyBorder="1" applyAlignment="1">
      <alignment horizontal="left"/>
    </xf>
    <xf numFmtId="0" fontId="0" fillId="0" borderId="113" xfId="0" applyBorder="1" applyAlignment="1">
      <alignment horizontal="left"/>
    </xf>
    <xf numFmtId="0" fontId="0" fillId="0" borderId="114" xfId="0" applyBorder="1" applyAlignment="1">
      <alignment horizontal="left"/>
    </xf>
    <xf numFmtId="0" fontId="6" fillId="30" borderId="82" xfId="0" applyFont="1" applyFill="1" applyBorder="1" applyAlignment="1">
      <alignment horizontal="left"/>
    </xf>
    <xf numFmtId="0" fontId="6" fillId="30" borderId="13" xfId="0" applyFont="1" applyFill="1" applyBorder="1" applyAlignment="1">
      <alignment horizontal="left"/>
    </xf>
    <xf numFmtId="0" fontId="0" fillId="2" borderId="12" xfId="0" applyFill="1" applyBorder="1" applyAlignment="1">
      <alignment horizontal="center"/>
    </xf>
    <xf numFmtId="0" fontId="0" fillId="2" borderId="23" xfId="0" applyFill="1" applyBorder="1" applyAlignment="1">
      <alignment horizontal="center"/>
    </xf>
    <xf numFmtId="0" fontId="0" fillId="2" borderId="11" xfId="0" applyFill="1" applyBorder="1" applyAlignment="1">
      <alignment horizontal="center"/>
    </xf>
    <xf numFmtId="0" fontId="4" fillId="0" borderId="1" xfId="0" applyFont="1" applyBorder="1" applyAlignment="1">
      <alignment horizontal="center"/>
    </xf>
    <xf numFmtId="0" fontId="8" fillId="0" borderId="1" xfId="0" applyFont="1" applyBorder="1" applyAlignment="1">
      <alignment horizontal="left"/>
    </xf>
    <xf numFmtId="0" fontId="0" fillId="0" borderId="75" xfId="0" applyBorder="1" applyAlignment="1">
      <alignment horizontal="center"/>
    </xf>
    <xf numFmtId="0" fontId="0" fillId="0" borderId="76" xfId="0" applyBorder="1" applyAlignment="1">
      <alignment horizontal="center"/>
    </xf>
    <xf numFmtId="0" fontId="0" fillId="0" borderId="77" xfId="0" applyBorder="1" applyAlignment="1">
      <alignment horizontal="center"/>
    </xf>
    <xf numFmtId="0" fontId="6" fillId="0" borderId="78" xfId="0" applyFont="1" applyBorder="1" applyAlignment="1">
      <alignment horizontal="left"/>
    </xf>
    <xf numFmtId="0" fontId="35" fillId="0" borderId="66" xfId="0" applyFont="1" applyBorder="1" applyAlignment="1">
      <alignment horizontal="left"/>
    </xf>
    <xf numFmtId="0" fontId="35" fillId="0" borderId="67" xfId="0" applyFont="1" applyBorder="1" applyAlignment="1">
      <alignment horizontal="left"/>
    </xf>
    <xf numFmtId="0" fontId="35" fillId="0" borderId="45" xfId="0" applyFont="1" applyBorder="1" applyAlignment="1">
      <alignment horizontal="left"/>
    </xf>
    <xf numFmtId="0" fontId="0" fillId="0" borderId="67" xfId="0" applyBorder="1" applyAlignment="1">
      <alignment horizontal="left"/>
    </xf>
    <xf numFmtId="0" fontId="0" fillId="0" borderId="45" xfId="0" applyBorder="1" applyAlignment="1">
      <alignment horizontal="left"/>
    </xf>
    <xf numFmtId="0" fontId="6" fillId="6" borderId="13" xfId="0" applyFont="1" applyFill="1" applyBorder="1" applyAlignment="1">
      <alignment horizontal="left"/>
    </xf>
    <xf numFmtId="0" fontId="0" fillId="0" borderId="1" xfId="0" applyBorder="1" applyAlignment="1">
      <alignment horizontal="center" vertical="center" wrapText="1"/>
    </xf>
    <xf numFmtId="0" fontId="0" fillId="0" borderId="1" xfId="0" applyBorder="1" applyAlignment="1">
      <alignment horizontal="left" vertical="center"/>
    </xf>
    <xf numFmtId="0" fontId="7" fillId="0" borderId="1" xfId="0" applyFont="1" applyBorder="1" applyAlignment="1">
      <alignment horizontal="center" vertical="center"/>
    </xf>
    <xf numFmtId="0" fontId="4" fillId="0" borderId="11" xfId="0" applyFont="1" applyBorder="1" applyAlignment="1">
      <alignment horizontal="center"/>
    </xf>
    <xf numFmtId="0" fontId="4" fillId="0" borderId="1" xfId="0" applyFont="1" applyBorder="1" applyAlignment="1">
      <alignment horizontal="center" vertical="center" wrapText="1"/>
    </xf>
    <xf numFmtId="49" fontId="0" fillId="0" borderId="102" xfId="0" applyNumberFormat="1" applyBorder="1" applyAlignment="1">
      <alignment horizontal="center"/>
    </xf>
    <xf numFmtId="49" fontId="0" fillId="0" borderId="0" xfId="0" applyNumberFormat="1" applyAlignment="1">
      <alignment horizontal="center"/>
    </xf>
    <xf numFmtId="0" fontId="0" fillId="0" borderId="28" xfId="0" applyBorder="1" applyAlignment="1">
      <alignment horizontal="center"/>
    </xf>
    <xf numFmtId="0" fontId="6" fillId="0" borderId="108" xfId="0" applyFont="1" applyBorder="1" applyAlignment="1">
      <alignment horizontal="center" vertical="center" wrapText="1"/>
    </xf>
    <xf numFmtId="0" fontId="19" fillId="0" borderId="11" xfId="0" applyFont="1" applyBorder="1" applyAlignment="1">
      <alignment horizontal="center" vertical="center" wrapText="1"/>
    </xf>
    <xf numFmtId="0" fontId="6" fillId="2" borderId="108" xfId="0" applyFont="1" applyFill="1" applyBorder="1" applyAlignment="1">
      <alignment horizontal="center" vertical="center" wrapText="1"/>
    </xf>
    <xf numFmtId="0" fontId="19" fillId="2" borderId="11" xfId="0" applyFont="1" applyFill="1" applyBorder="1" applyAlignment="1">
      <alignment horizontal="center" vertical="center" wrapText="1"/>
    </xf>
    <xf numFmtId="0" fontId="19" fillId="0" borderId="12" xfId="0" applyFont="1" applyBorder="1" applyAlignment="1">
      <alignment horizontal="center" vertical="center"/>
    </xf>
    <xf numFmtId="0" fontId="21" fillId="0" borderId="11" xfId="0" applyFont="1" applyBorder="1" applyAlignment="1">
      <alignment horizontal="center" vertical="center"/>
    </xf>
    <xf numFmtId="0" fontId="19" fillId="2" borderId="12" xfId="0" applyFont="1" applyFill="1" applyBorder="1" applyAlignment="1">
      <alignment horizontal="center" vertical="center"/>
    </xf>
    <xf numFmtId="0" fontId="19" fillId="2" borderId="11" xfId="0" applyFont="1" applyFill="1" applyBorder="1" applyAlignment="1">
      <alignment horizontal="center" vertical="center"/>
    </xf>
    <xf numFmtId="0" fontId="19" fillId="0" borderId="27" xfId="0" applyFont="1" applyBorder="1" applyAlignment="1">
      <alignment horizontal="center" vertical="center"/>
    </xf>
    <xf numFmtId="0" fontId="19" fillId="0" borderId="28" xfId="0" applyFont="1" applyBorder="1" applyAlignment="1">
      <alignment horizontal="center" vertical="center"/>
    </xf>
    <xf numFmtId="0" fontId="19" fillId="0" borderId="107" xfId="0" applyFont="1" applyBorder="1" applyAlignment="1">
      <alignment horizontal="center" vertical="center"/>
    </xf>
    <xf numFmtId="0" fontId="19" fillId="0" borderId="37" xfId="0" applyFont="1" applyBorder="1" applyAlignment="1">
      <alignment horizontal="center" vertical="center"/>
    </xf>
    <xf numFmtId="0" fontId="19" fillId="0" borderId="0" xfId="0" applyFont="1" applyAlignment="1">
      <alignment horizontal="center" vertical="center"/>
    </xf>
    <xf numFmtId="0" fontId="19" fillId="0" borderId="81" xfId="0" applyFont="1" applyBorder="1" applyAlignment="1">
      <alignment horizontal="center" vertical="center"/>
    </xf>
    <xf numFmtId="0" fontId="19" fillId="0" borderId="109" xfId="0" applyFont="1" applyBorder="1" applyAlignment="1">
      <alignment horizontal="center" vertical="center"/>
    </xf>
    <xf numFmtId="0" fontId="19" fillId="0" borderId="90" xfId="0" applyFont="1" applyBorder="1" applyAlignment="1">
      <alignment horizontal="center" vertical="center"/>
    </xf>
    <xf numFmtId="0" fontId="19" fillId="0" borderId="55" xfId="0" applyFont="1" applyBorder="1" applyAlignment="1">
      <alignment horizontal="center" vertical="center"/>
    </xf>
    <xf numFmtId="0" fontId="19" fillId="0" borderId="11" xfId="0" applyFont="1" applyBorder="1" applyAlignment="1">
      <alignment horizontal="center" vertical="center"/>
    </xf>
    <xf numFmtId="0" fontId="4" fillId="0" borderId="119" xfId="0" applyFont="1" applyBorder="1" applyAlignment="1">
      <alignment horizontal="center" wrapText="1"/>
    </xf>
    <xf numFmtId="0" fontId="4" fillId="0" borderId="36" xfId="0" applyFont="1" applyBorder="1" applyAlignment="1">
      <alignment horizontal="center" wrapText="1"/>
    </xf>
    <xf numFmtId="0" fontId="6" fillId="16" borderId="57" xfId="0" applyFont="1" applyFill="1" applyBorder="1" applyAlignment="1">
      <alignment horizontal="left"/>
    </xf>
    <xf numFmtId="0" fontId="6" fillId="16" borderId="110" xfId="0" applyFont="1" applyFill="1" applyBorder="1" applyAlignment="1">
      <alignment horizontal="left"/>
    </xf>
    <xf numFmtId="14" fontId="19" fillId="0" borderId="17" xfId="0" applyNumberFormat="1" applyFont="1" applyBorder="1" applyAlignment="1">
      <alignment horizontal="left" vertical="center"/>
    </xf>
    <xf numFmtId="0" fontId="19" fillId="0" borderId="19" xfId="0" applyFont="1" applyBorder="1" applyAlignment="1">
      <alignment horizontal="left" vertical="center"/>
    </xf>
    <xf numFmtId="0" fontId="19" fillId="0" borderId="13" xfId="0" applyFont="1" applyBorder="1" applyAlignment="1">
      <alignment horizontal="left" vertical="center"/>
    </xf>
    <xf numFmtId="166" fontId="4" fillId="6" borderId="57" xfId="0" applyNumberFormat="1" applyFont="1" applyFill="1" applyBorder="1" applyAlignment="1">
      <alignment horizontal="center" vertical="center"/>
    </xf>
    <xf numFmtId="166" fontId="4" fillId="6" borderId="117" xfId="0" applyNumberFormat="1" applyFont="1" applyFill="1" applyBorder="1" applyAlignment="1">
      <alignment horizontal="center" vertical="center"/>
    </xf>
    <xf numFmtId="166" fontId="4" fillId="6" borderId="61" xfId="0" applyNumberFormat="1" applyFont="1" applyFill="1" applyBorder="1" applyAlignment="1">
      <alignment horizontal="center" vertical="center"/>
    </xf>
    <xf numFmtId="166" fontId="0" fillId="0" borderId="1" xfId="0" applyNumberFormat="1" applyBorder="1" applyAlignment="1">
      <alignment horizontal="left" vertical="center"/>
    </xf>
    <xf numFmtId="166" fontId="0" fillId="0" borderId="12" xfId="0" applyNumberFormat="1" applyBorder="1" applyAlignment="1">
      <alignment horizontal="left" vertical="center"/>
    </xf>
    <xf numFmtId="166" fontId="0" fillId="0" borderId="38" xfId="0" applyNumberFormat="1" applyBorder="1" applyAlignment="1">
      <alignment horizontal="left" vertical="center"/>
    </xf>
    <xf numFmtId="166" fontId="0" fillId="0" borderId="21" xfId="0" applyNumberFormat="1" applyBorder="1" applyAlignment="1">
      <alignment horizontal="left" vertical="center"/>
    </xf>
    <xf numFmtId="166" fontId="0" fillId="0" borderId="1" xfId="0" applyNumberFormat="1" applyBorder="1" applyAlignment="1">
      <alignment horizontal="center" vertical="center"/>
    </xf>
    <xf numFmtId="0" fontId="4" fillId="13" borderId="57" xfId="0" applyFont="1" applyFill="1" applyBorder="1" applyAlignment="1">
      <alignment horizontal="center" vertical="center"/>
    </xf>
    <xf numFmtId="0" fontId="0" fillId="0" borderId="38" xfId="0" applyBorder="1" applyAlignment="1">
      <alignment horizontal="center" vertical="center"/>
    </xf>
    <xf numFmtId="0" fontId="0" fillId="0" borderId="21" xfId="0" applyBorder="1" applyAlignment="1">
      <alignment horizontal="center" vertical="center"/>
    </xf>
    <xf numFmtId="0" fontId="0" fillId="0" borderId="60" xfId="0" applyBorder="1" applyAlignment="1">
      <alignment horizontal="center" vertical="center"/>
    </xf>
    <xf numFmtId="166" fontId="0" fillId="0" borderId="36" xfId="0" applyNumberFormat="1" applyBorder="1" applyAlignment="1">
      <alignment horizontal="left" vertical="center"/>
    </xf>
    <xf numFmtId="166" fontId="0" fillId="0" borderId="90" xfId="0" applyNumberFormat="1" applyBorder="1" applyAlignment="1">
      <alignment horizontal="left" vertical="center"/>
    </xf>
    <xf numFmtId="166" fontId="0" fillId="0" borderId="55" xfId="0" applyNumberFormat="1" applyBorder="1" applyAlignment="1">
      <alignment horizontal="left" vertical="center"/>
    </xf>
    <xf numFmtId="166" fontId="0" fillId="0" borderId="18" xfId="0" applyNumberFormat="1" applyBorder="1" applyAlignment="1">
      <alignment horizontal="left" vertical="center"/>
    </xf>
    <xf numFmtId="166" fontId="0" fillId="0" borderId="19" xfId="0" applyNumberFormat="1" applyBorder="1" applyAlignment="1">
      <alignment horizontal="left" vertical="center"/>
    </xf>
    <xf numFmtId="0" fontId="7" fillId="0" borderId="102" xfId="0" applyFont="1" applyBorder="1" applyAlignment="1">
      <alignment horizontal="center"/>
    </xf>
    <xf numFmtId="0" fontId="7" fillId="0" borderId="0" xfId="0" applyFont="1" applyAlignment="1">
      <alignment horizontal="center"/>
    </xf>
    <xf numFmtId="0" fontId="3" fillId="2" borderId="0" xfId="0" applyFont="1" applyFill="1" applyAlignment="1">
      <alignment horizontal="left" vertical="center" shrinkToFit="1"/>
    </xf>
    <xf numFmtId="0" fontId="3" fillId="2" borderId="81" xfId="0" applyFont="1" applyFill="1" applyBorder="1" applyAlignment="1">
      <alignment horizontal="left" vertical="center" shrinkToFit="1"/>
    </xf>
    <xf numFmtId="0" fontId="1" fillId="2" borderId="1" xfId="0" applyFont="1" applyFill="1" applyBorder="1" applyAlignment="1">
      <alignment horizontal="left"/>
    </xf>
    <xf numFmtId="0" fontId="1" fillId="2" borderId="0" xfId="0" applyFont="1" applyFill="1" applyAlignment="1">
      <alignment horizontal="left"/>
    </xf>
    <xf numFmtId="0" fontId="0" fillId="4" borderId="17" xfId="0" applyFill="1" applyBorder="1" applyAlignment="1">
      <alignment horizontal="center" vertical="center"/>
    </xf>
    <xf numFmtId="0" fontId="0" fillId="4" borderId="19" xfId="0" applyFill="1" applyBorder="1" applyAlignment="1">
      <alignment horizontal="center" vertical="center"/>
    </xf>
    <xf numFmtId="0" fontId="0" fillId="4" borderId="32" xfId="0" applyFill="1" applyBorder="1" applyAlignment="1">
      <alignment horizontal="center" vertical="center"/>
    </xf>
    <xf numFmtId="164" fontId="0" fillId="0" borderId="18" xfId="0" applyNumberFormat="1" applyBorder="1" applyAlignment="1">
      <alignment horizontal="center"/>
    </xf>
    <xf numFmtId="164" fontId="0" fillId="0" borderId="19" xfId="0" applyNumberFormat="1" applyBorder="1" applyAlignment="1">
      <alignment horizontal="center"/>
    </xf>
    <xf numFmtId="164" fontId="0" fillId="0" borderId="13" xfId="0" applyNumberFormat="1" applyBorder="1" applyAlignment="1">
      <alignment horizontal="center"/>
    </xf>
    <xf numFmtId="0" fontId="0" fillId="0" borderId="102" xfId="0" applyBorder="1" applyAlignment="1">
      <alignment horizontal="center" vertical="center"/>
    </xf>
    <xf numFmtId="0" fontId="0" fillId="0" borderId="0" xfId="0" applyAlignment="1">
      <alignment horizontal="center" vertical="center"/>
    </xf>
    <xf numFmtId="0" fontId="0" fillId="0" borderId="81" xfId="0" applyBorder="1" applyAlignment="1">
      <alignment horizontal="center" vertical="center"/>
    </xf>
    <xf numFmtId="0" fontId="8" fillId="0" borderId="1" xfId="0" applyFont="1" applyBorder="1" applyAlignment="1">
      <alignment horizontal="center"/>
    </xf>
    <xf numFmtId="0" fontId="0" fillId="29" borderId="0" xfId="0" applyFill="1" applyAlignment="1">
      <alignment horizontal="center"/>
    </xf>
    <xf numFmtId="0" fontId="4" fillId="0" borderId="18" xfId="0" applyFont="1" applyBorder="1" applyAlignment="1">
      <alignment horizontal="center"/>
    </xf>
    <xf numFmtId="0" fontId="0" fillId="4" borderId="20" xfId="0" applyFill="1" applyBorder="1" applyAlignment="1">
      <alignment horizontal="center" vertical="center"/>
    </xf>
    <xf numFmtId="0" fontId="0" fillId="4" borderId="21" xfId="0" applyFill="1" applyBorder="1" applyAlignment="1">
      <alignment horizontal="center" vertical="center"/>
    </xf>
    <xf numFmtId="0" fontId="0" fillId="4" borderId="22" xfId="0" applyFill="1" applyBorder="1" applyAlignment="1">
      <alignment horizontal="center" vertical="center"/>
    </xf>
    <xf numFmtId="0" fontId="0" fillId="0" borderId="125" xfId="0" applyBorder="1" applyAlignment="1">
      <alignment horizontal="center" vertical="center" wrapText="1"/>
    </xf>
    <xf numFmtId="0" fontId="0" fillId="0" borderId="126" xfId="0" applyBorder="1" applyAlignment="1">
      <alignment horizontal="center" vertical="center" wrapText="1"/>
    </xf>
    <xf numFmtId="0" fontId="0" fillId="0" borderId="127" xfId="0" applyBorder="1" applyAlignment="1">
      <alignment horizontal="center" vertical="center" wrapText="1"/>
    </xf>
    <xf numFmtId="0" fontId="0" fillId="0" borderId="0" xfId="0" applyAlignment="1">
      <alignment horizontal="center" vertical="center" wrapText="1"/>
    </xf>
    <xf numFmtId="0" fontId="4" fillId="37" borderId="1" xfId="0" applyFont="1" applyFill="1" applyBorder="1" applyAlignment="1">
      <alignment horizontal="center" vertical="center" wrapText="1"/>
    </xf>
    <xf numFmtId="1" fontId="0" fillId="0" borderId="1" xfId="0" applyNumberFormat="1" applyBorder="1" applyAlignment="1">
      <alignment horizontal="center" vertical="center" wrapText="1"/>
    </xf>
    <xf numFmtId="1" fontId="0" fillId="37" borderId="1" xfId="0" applyNumberFormat="1" applyFill="1" applyBorder="1" applyAlignment="1">
      <alignment horizontal="center" vertical="center" wrapText="1"/>
    </xf>
    <xf numFmtId="0" fontId="4" fillId="37" borderId="128" xfId="0" applyFont="1" applyFill="1" applyBorder="1" applyAlignment="1">
      <alignment wrapText="1"/>
    </xf>
    <xf numFmtId="0" fontId="4" fillId="37" borderId="123" xfId="0" applyFont="1" applyFill="1" applyBorder="1" applyAlignment="1">
      <alignment wrapText="1"/>
    </xf>
    <xf numFmtId="0" fontId="19" fillId="0" borderId="1" xfId="0" applyFont="1" applyBorder="1" applyAlignment="1">
      <alignment horizontal="center" vertical="center"/>
    </xf>
    <xf numFmtId="1" fontId="0" fillId="0" borderId="18" xfId="0" applyNumberFormat="1" applyBorder="1" applyAlignment="1">
      <alignment horizontal="center" vertical="center"/>
    </xf>
    <xf numFmtId="1" fontId="0" fillId="0" borderId="13" xfId="0" applyNumberFormat="1" applyBorder="1" applyAlignment="1">
      <alignment horizontal="center" vertical="center"/>
    </xf>
    <xf numFmtId="0" fontId="0" fillId="0" borderId="1" xfId="0" applyBorder="1" applyAlignment="1">
      <alignment vertical="center"/>
    </xf>
    <xf numFmtId="0" fontId="4" fillId="0" borderId="82" xfId="0" applyFont="1" applyBorder="1" applyAlignment="1">
      <alignment horizontal="center" vertical="center"/>
    </xf>
    <xf numFmtId="0" fontId="4" fillId="0" borderId="54" xfId="0" applyFont="1" applyBorder="1" applyAlignment="1">
      <alignment horizontal="center" vertical="center"/>
    </xf>
    <xf numFmtId="0" fontId="4" fillId="0" borderId="36" xfId="0" applyFont="1" applyBorder="1" applyAlignment="1">
      <alignment horizontal="center" vertical="center"/>
    </xf>
    <xf numFmtId="0" fontId="4" fillId="0" borderId="55" xfId="0" applyFont="1" applyBorder="1" applyAlignment="1">
      <alignment horizontal="center" vertical="center"/>
    </xf>
    <xf numFmtId="1" fontId="19" fillId="0" borderId="18" xfId="0" applyNumberFormat="1" applyFont="1" applyBorder="1" applyAlignment="1">
      <alignment horizontal="center" vertical="center"/>
    </xf>
    <xf numFmtId="1" fontId="19" fillId="0" borderId="13" xfId="0" applyNumberFormat="1" applyFont="1" applyBorder="1" applyAlignment="1">
      <alignment horizontal="center" vertical="center"/>
    </xf>
    <xf numFmtId="1" fontId="0" fillId="2" borderId="1" xfId="0" applyNumberFormat="1" applyFill="1" applyBorder="1" applyAlignment="1">
      <alignment horizontal="center" vertical="center"/>
    </xf>
    <xf numFmtId="0" fontId="4" fillId="0" borderId="12" xfId="0" applyFont="1" applyBorder="1" applyAlignment="1">
      <alignment horizontal="center" vertical="center"/>
    </xf>
    <xf numFmtId="0" fontId="4" fillId="0" borderId="11" xfId="0" applyFont="1" applyBorder="1" applyAlignment="1">
      <alignment horizontal="center" vertical="center"/>
    </xf>
    <xf numFmtId="0" fontId="4" fillId="2" borderId="82" xfId="0" applyFont="1" applyFill="1" applyBorder="1" applyAlignment="1">
      <alignment horizontal="center" vertical="center"/>
    </xf>
    <xf numFmtId="0" fontId="4" fillId="2" borderId="54" xfId="0" applyFont="1" applyFill="1" applyBorder="1" applyAlignment="1">
      <alignment horizontal="center" vertical="center"/>
    </xf>
    <xf numFmtId="0" fontId="4" fillId="2" borderId="36" xfId="0" applyFont="1" applyFill="1" applyBorder="1" applyAlignment="1">
      <alignment horizontal="center" vertical="center"/>
    </xf>
    <xf numFmtId="0" fontId="4" fillId="2" borderId="55" xfId="0" applyFont="1" applyFill="1" applyBorder="1" applyAlignment="1">
      <alignment horizontal="center" vertical="center"/>
    </xf>
    <xf numFmtId="1" fontId="4" fillId="14" borderId="18" xfId="0" applyNumberFormat="1" applyFont="1" applyFill="1" applyBorder="1" applyAlignment="1">
      <alignment horizontal="center"/>
    </xf>
    <xf numFmtId="1" fontId="4" fillId="14" borderId="19" xfId="0" applyNumberFormat="1" applyFont="1" applyFill="1" applyBorder="1" applyAlignment="1">
      <alignment horizontal="center"/>
    </xf>
    <xf numFmtId="0" fontId="4" fillId="14" borderId="18" xfId="0" applyFont="1" applyFill="1" applyBorder="1" applyAlignment="1">
      <alignment horizontal="center"/>
    </xf>
    <xf numFmtId="0" fontId="4" fillId="14" borderId="13" xfId="0" applyFont="1" applyFill="1" applyBorder="1" applyAlignment="1">
      <alignment horizontal="center"/>
    </xf>
    <xf numFmtId="1" fontId="0" fillId="2" borderId="18" xfId="0" applyNumberFormat="1" applyFill="1" applyBorder="1" applyAlignment="1">
      <alignment horizontal="center"/>
    </xf>
    <xf numFmtId="1" fontId="0" fillId="2" borderId="13" xfId="0" applyNumberFormat="1" applyFill="1" applyBorder="1" applyAlignment="1">
      <alignment horizontal="center"/>
    </xf>
    <xf numFmtId="43" fontId="0" fillId="0" borderId="28" xfId="1" applyFont="1" applyBorder="1" applyAlignment="1">
      <alignment horizontal="center"/>
    </xf>
    <xf numFmtId="0" fontId="46" fillId="0" borderId="0" xfId="0" applyFont="1" applyAlignment="1">
      <alignment horizontal="center" vertical="center" wrapText="1"/>
    </xf>
    <xf numFmtId="0" fontId="46" fillId="0" borderId="90" xfId="0" applyFont="1" applyBorder="1" applyAlignment="1">
      <alignment horizontal="center" vertical="center" wrapText="1"/>
    </xf>
    <xf numFmtId="43" fontId="0" fillId="0" borderId="126" xfId="1" applyFont="1" applyBorder="1" applyAlignment="1">
      <alignment horizontal="center"/>
    </xf>
    <xf numFmtId="0" fontId="46" fillId="37" borderId="82" xfId="0" applyFont="1" applyFill="1" applyBorder="1" applyAlignment="1">
      <alignment horizontal="center" wrapText="1"/>
    </xf>
    <xf numFmtId="0" fontId="46" fillId="37" borderId="54" xfId="0" applyFont="1" applyFill="1" applyBorder="1" applyAlignment="1">
      <alignment horizontal="center" wrapText="1"/>
    </xf>
    <xf numFmtId="0" fontId="46" fillId="37" borderId="0" xfId="0" applyFont="1" applyFill="1" applyAlignment="1">
      <alignment horizontal="center" vertical="center" wrapText="1"/>
    </xf>
    <xf numFmtId="0" fontId="46" fillId="37" borderId="90" xfId="0" applyFont="1" applyFill="1" applyBorder="1" applyAlignment="1">
      <alignment horizontal="center" vertical="center" wrapText="1"/>
    </xf>
    <xf numFmtId="168" fontId="0" fillId="37" borderId="1" xfId="1" applyNumberFormat="1" applyFont="1" applyFill="1" applyBorder="1" applyAlignment="1">
      <alignment horizontal="center" vertical="center" wrapText="1"/>
    </xf>
    <xf numFmtId="168" fontId="0" fillId="37" borderId="12" xfId="1" applyNumberFormat="1" applyFont="1" applyFill="1" applyBorder="1" applyAlignment="1">
      <alignment horizontal="center" vertical="center" wrapText="1"/>
    </xf>
    <xf numFmtId="168" fontId="0" fillId="0" borderId="18" xfId="1" applyNumberFormat="1" applyFont="1" applyBorder="1" applyAlignment="1">
      <alignment horizontal="center" vertical="center" wrapText="1"/>
    </xf>
    <xf numFmtId="168" fontId="0" fillId="0" borderId="19" xfId="1" applyNumberFormat="1" applyFont="1" applyBorder="1" applyAlignment="1">
      <alignment horizontal="center" vertical="center" wrapText="1"/>
    </xf>
    <xf numFmtId="0" fontId="0" fillId="2" borderId="59" xfId="0" applyFill="1" applyBorder="1" applyAlignment="1">
      <alignment horizontal="left"/>
    </xf>
    <xf numFmtId="0" fontId="0" fillId="2" borderId="34" xfId="0" applyFill="1" applyBorder="1" applyAlignment="1">
      <alignment horizontal="left"/>
    </xf>
    <xf numFmtId="0" fontId="0" fillId="2" borderId="64" xfId="0" applyFill="1" applyBorder="1" applyAlignment="1">
      <alignment horizontal="left"/>
    </xf>
    <xf numFmtId="0" fontId="6" fillId="0" borderId="11" xfId="0" applyFont="1" applyBorder="1" applyAlignment="1">
      <alignment horizontal="center" vertical="center" wrapText="1"/>
    </xf>
    <xf numFmtId="14" fontId="19" fillId="0" borderId="19" xfId="0" applyNumberFormat="1" applyFont="1" applyBorder="1" applyAlignment="1">
      <alignment horizontal="left" vertical="center"/>
    </xf>
    <xf numFmtId="14" fontId="19" fillId="0" borderId="13" xfId="0" applyNumberFormat="1" applyFont="1" applyBorder="1" applyAlignment="1">
      <alignment horizontal="left" vertical="center"/>
    </xf>
    <xf numFmtId="0" fontId="46" fillId="37" borderId="0" xfId="0" applyFont="1" applyFill="1" applyAlignment="1">
      <alignment horizontal="center" vertical="top" wrapText="1"/>
    </xf>
    <xf numFmtId="0" fontId="46" fillId="37" borderId="90" xfId="0" applyFont="1" applyFill="1" applyBorder="1" applyAlignment="1">
      <alignment horizontal="center" vertical="top" wrapText="1"/>
    </xf>
    <xf numFmtId="0" fontId="0" fillId="0" borderId="126" xfId="0" applyBorder="1" applyAlignment="1">
      <alignment horizontal="center"/>
    </xf>
    <xf numFmtId="0" fontId="46" fillId="0" borderId="18" xfId="0" applyFont="1" applyBorder="1" applyAlignment="1">
      <alignment horizontal="center" vertical="center" wrapText="1"/>
    </xf>
    <xf numFmtId="0" fontId="46" fillId="0" borderId="19" xfId="0" applyFont="1" applyBorder="1" applyAlignment="1">
      <alignment horizontal="center" vertical="center" wrapText="1"/>
    </xf>
    <xf numFmtId="0" fontId="46" fillId="0" borderId="12" xfId="0" applyFont="1" applyBorder="1" applyAlignment="1">
      <alignment horizontal="center" vertical="center" wrapText="1"/>
    </xf>
    <xf numFmtId="168" fontId="0" fillId="0" borderId="1" xfId="1" applyNumberFormat="1" applyFont="1" applyBorder="1" applyAlignment="1">
      <alignment horizontal="center" vertical="center" wrapText="1"/>
    </xf>
    <xf numFmtId="0" fontId="0" fillId="0" borderId="0" xfId="0" applyAlignment="1">
      <alignment wrapText="1"/>
    </xf>
    <xf numFmtId="49" fontId="0" fillId="0" borderId="1" xfId="0" applyNumberFormat="1" applyBorder="1" applyAlignment="1">
      <alignment horizontal="center"/>
    </xf>
    <xf numFmtId="0" fontId="6" fillId="2" borderId="11" xfId="0" applyFont="1" applyFill="1" applyBorder="1" applyAlignment="1">
      <alignment horizontal="center" vertical="center" wrapText="1"/>
    </xf>
    <xf numFmtId="0" fontId="4" fillId="0" borderId="108" xfId="0" applyFont="1" applyBorder="1" applyAlignment="1">
      <alignment horizontal="center" wrapText="1"/>
    </xf>
    <xf numFmtId="0" fontId="4" fillId="0" borderId="11" xfId="0" applyFont="1" applyBorder="1" applyAlignment="1">
      <alignment horizontal="center" wrapText="1"/>
    </xf>
    <xf numFmtId="0" fontId="4" fillId="0" borderId="12" xfId="0" applyFont="1" applyBorder="1" applyAlignment="1">
      <alignment horizontal="center" vertical="center" wrapText="1"/>
    </xf>
    <xf numFmtId="0" fontId="4" fillId="0" borderId="11" xfId="0" applyFont="1" applyBorder="1" applyAlignment="1">
      <alignment horizontal="center" vertical="center" wrapText="1"/>
    </xf>
    <xf numFmtId="43" fontId="0" fillId="40" borderId="132" xfId="1" applyFont="1" applyFill="1" applyBorder="1" applyAlignment="1">
      <alignment horizontal="center" wrapText="1"/>
    </xf>
    <xf numFmtId="43" fontId="0" fillId="40" borderId="133" xfId="1" applyFont="1" applyFill="1" applyBorder="1" applyAlignment="1">
      <alignment horizontal="center" wrapText="1"/>
    </xf>
    <xf numFmtId="43" fontId="37" fillId="40" borderId="59" xfId="1" applyFont="1" applyFill="1" applyBorder="1" applyAlignment="1">
      <alignment horizontal="center"/>
    </xf>
    <xf numFmtId="43" fontId="37" fillId="40" borderId="64" xfId="1" applyFont="1" applyFill="1" applyBorder="1" applyAlignment="1">
      <alignment horizontal="center"/>
    </xf>
    <xf numFmtId="0" fontId="49" fillId="0" borderId="0" xfId="0" applyFont="1" applyAlignment="1">
      <alignment horizontal="center" wrapText="1"/>
    </xf>
    <xf numFmtId="0" fontId="0" fillId="0" borderId="0" xfId="0" applyAlignment="1">
      <alignment horizontal="center" wrapText="1"/>
    </xf>
    <xf numFmtId="43" fontId="0" fillId="2" borderId="0" xfId="1" applyFont="1" applyFill="1" applyBorder="1" applyAlignment="1">
      <alignment horizontal="center"/>
    </xf>
    <xf numFmtId="0" fontId="4" fillId="0" borderId="129" xfId="0" applyFont="1" applyBorder="1" applyAlignment="1">
      <alignment horizontal="center" wrapText="1"/>
    </xf>
    <xf numFmtId="0" fontId="4" fillId="0" borderId="130" xfId="0" applyFont="1" applyBorder="1" applyAlignment="1">
      <alignment horizontal="center" wrapText="1"/>
    </xf>
    <xf numFmtId="0" fontId="4" fillId="0" borderId="131" xfId="0" applyFont="1" applyBorder="1" applyAlignment="1">
      <alignment horizontal="center" wrapText="1"/>
    </xf>
    <xf numFmtId="0" fontId="0" fillId="41" borderId="0" xfId="0" applyFill="1" applyAlignment="1">
      <alignment horizontal="center" wrapText="1"/>
    </xf>
    <xf numFmtId="0" fontId="0" fillId="39" borderId="0" xfId="0" applyFill="1" applyAlignment="1">
      <alignment horizontal="center" wrapText="1"/>
    </xf>
    <xf numFmtId="0" fontId="0" fillId="37" borderId="0" xfId="0" applyFill="1" applyAlignment="1">
      <alignment horizontal="center" wrapText="1"/>
    </xf>
    <xf numFmtId="0" fontId="0" fillId="37" borderId="0" xfId="0" applyFill="1" applyAlignment="1">
      <alignment wrapText="1"/>
    </xf>
    <xf numFmtId="0" fontId="4" fillId="37" borderId="0" xfId="0" applyFont="1" applyFill="1" applyAlignment="1">
      <alignment horizontal="center" wrapText="1"/>
    </xf>
    <xf numFmtId="0" fontId="4" fillId="0" borderId="0" xfId="0" applyFont="1" applyAlignment="1">
      <alignment horizontal="center" wrapText="1"/>
    </xf>
  </cellXfs>
  <cellStyles count="2">
    <cellStyle name="Milliers" xfId="1" builtinId="3"/>
    <cellStyle name="Normal" xfId="0" builtinId="0"/>
  </cellStyles>
  <dxfs count="0"/>
  <tableStyles count="0" defaultTableStyle="TableStyleMedium9" defaultPivotStyle="PivotStyleMedium4"/>
  <colors>
    <mruColors>
      <color rgb="FF5FA6FF"/>
      <color rgb="FFCFE6FF"/>
      <color rgb="FFFABF8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microsoft.com/office/2022/10/relationships/richValueRel" Target="richData/richValueRel.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eetMetadata" Target="metadata.xml"/><Relationship Id="rId33"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microsoft.com/office/2017/06/relationships/rdRichValueTypes" Target="richData/rdRichValueTyp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32"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28" Type="http://schemas.microsoft.com/office/2017/06/relationships/rdRichValueStructure" Target="richData/rdrichvaluestructure.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 Id="rId27" Type="http://schemas.microsoft.com/office/2017/06/relationships/rdRichValue" Target="richData/rdrichvalue.xml"/><Relationship Id="rId30" Type="http://schemas.microsoft.com/office/2017/10/relationships/person" Target="persons/person.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5" Type="http://schemas.openxmlformats.org/officeDocument/2006/relationships/image" Target="../media/image6.png"/><Relationship Id="rId4" Type="http://schemas.openxmlformats.org/officeDocument/2006/relationships/image" Target="../media/image5.png"/></Relationships>
</file>

<file path=xl/drawings/_rels/drawing2.xml.rels><?xml version="1.0" encoding="UTF-8" standalone="yes"?>
<Relationships xmlns="http://schemas.openxmlformats.org/package/2006/relationships"><Relationship Id="rId8" Type="http://schemas.openxmlformats.org/officeDocument/2006/relationships/customXml" Target="../ink/ink2.xml"/><Relationship Id="rId13" Type="http://schemas.openxmlformats.org/officeDocument/2006/relationships/image" Target="../media/image110.png"/><Relationship Id="rId18" Type="http://schemas.openxmlformats.org/officeDocument/2006/relationships/image" Target="../media/image13.png"/><Relationship Id="rId26" Type="http://schemas.openxmlformats.org/officeDocument/2006/relationships/image" Target="../media/image18.png"/><Relationship Id="rId3" Type="http://schemas.openxmlformats.org/officeDocument/2006/relationships/image" Target="../media/image9.png"/><Relationship Id="rId21" Type="http://schemas.openxmlformats.org/officeDocument/2006/relationships/image" Target="../media/image16.png"/><Relationship Id="rId7" Type="http://schemas.openxmlformats.org/officeDocument/2006/relationships/image" Target="../media/image80.png"/><Relationship Id="rId12" Type="http://schemas.openxmlformats.org/officeDocument/2006/relationships/customXml" Target="../ink/ink4.xml"/><Relationship Id="rId17" Type="http://schemas.openxmlformats.org/officeDocument/2006/relationships/image" Target="../media/image129.png"/><Relationship Id="rId25" Type="http://schemas.openxmlformats.org/officeDocument/2006/relationships/image" Target="../media/image142.png"/><Relationship Id="rId2" Type="http://schemas.openxmlformats.org/officeDocument/2006/relationships/image" Target="../media/image8.png"/><Relationship Id="rId16" Type="http://schemas.openxmlformats.org/officeDocument/2006/relationships/customXml" Target="../ink/ink6.xml"/><Relationship Id="rId20" Type="http://schemas.openxmlformats.org/officeDocument/2006/relationships/image" Target="../media/image15.png"/><Relationship Id="rId1" Type="http://schemas.openxmlformats.org/officeDocument/2006/relationships/image" Target="../media/image7.png"/><Relationship Id="rId6" Type="http://schemas.openxmlformats.org/officeDocument/2006/relationships/customXml" Target="../ink/ink1.xml"/><Relationship Id="rId11" Type="http://schemas.openxmlformats.org/officeDocument/2006/relationships/image" Target="../media/image100.png"/><Relationship Id="rId24" Type="http://schemas.openxmlformats.org/officeDocument/2006/relationships/customXml" Target="../ink/ink8.xml"/><Relationship Id="rId5" Type="http://schemas.openxmlformats.org/officeDocument/2006/relationships/image" Target="../media/image11.png"/><Relationship Id="rId15" Type="http://schemas.openxmlformats.org/officeDocument/2006/relationships/image" Target="../media/image12.png"/><Relationship Id="rId23" Type="http://schemas.openxmlformats.org/officeDocument/2006/relationships/image" Target="../media/image17.png"/><Relationship Id="rId10" Type="http://schemas.openxmlformats.org/officeDocument/2006/relationships/customXml" Target="../ink/ink3.xml"/><Relationship Id="rId19" Type="http://schemas.openxmlformats.org/officeDocument/2006/relationships/image" Target="../media/image14.png"/><Relationship Id="rId4" Type="http://schemas.openxmlformats.org/officeDocument/2006/relationships/image" Target="../media/image10.png"/><Relationship Id="rId9" Type="http://schemas.openxmlformats.org/officeDocument/2006/relationships/image" Target="../media/image90.png"/><Relationship Id="rId14" Type="http://schemas.openxmlformats.org/officeDocument/2006/relationships/customXml" Target="../ink/ink5.xml"/><Relationship Id="rId22" Type="http://schemas.openxmlformats.org/officeDocument/2006/relationships/customXml" Target="../ink/ink7.xml"/></Relationships>
</file>

<file path=xl/drawings/_rels/drawing3.xml.rels><?xml version="1.0" encoding="UTF-8" standalone="yes"?>
<Relationships xmlns="http://schemas.openxmlformats.org/package/2006/relationships"><Relationship Id="rId3" Type="http://schemas.openxmlformats.org/officeDocument/2006/relationships/image" Target="../media/image21.png"/><Relationship Id="rId2" Type="http://schemas.openxmlformats.org/officeDocument/2006/relationships/image" Target="../media/image20.png"/><Relationship Id="rId1" Type="http://schemas.openxmlformats.org/officeDocument/2006/relationships/image" Target="../media/image19.png"/></Relationships>
</file>

<file path=xl/drawings/_rels/drawing4.xml.rels><?xml version="1.0" encoding="UTF-8" standalone="yes"?>
<Relationships xmlns="http://schemas.openxmlformats.org/package/2006/relationships"><Relationship Id="rId1" Type="http://schemas.openxmlformats.org/officeDocument/2006/relationships/image" Target="../media/image22.png"/></Relationships>
</file>

<file path=xl/drawings/_rels/drawing5.xml.rels><?xml version="1.0" encoding="UTF-8" standalone="yes"?>
<Relationships xmlns="http://schemas.openxmlformats.org/package/2006/relationships"><Relationship Id="rId2" Type="http://schemas.openxmlformats.org/officeDocument/2006/relationships/image" Target="../media/image24.png"/><Relationship Id="rId1" Type="http://schemas.openxmlformats.org/officeDocument/2006/relationships/image" Target="../media/image23.png"/></Relationships>
</file>

<file path=xl/drawings/_rels/drawing6.xml.rels><?xml version="1.0" encoding="UTF-8" standalone="yes"?>
<Relationships xmlns="http://schemas.openxmlformats.org/package/2006/relationships"><Relationship Id="rId3" Type="http://schemas.openxmlformats.org/officeDocument/2006/relationships/image" Target="../media/image27.png"/><Relationship Id="rId2" Type="http://schemas.openxmlformats.org/officeDocument/2006/relationships/image" Target="../media/image26.png"/><Relationship Id="rId1" Type="http://schemas.openxmlformats.org/officeDocument/2006/relationships/image" Target="../media/image25.png"/><Relationship Id="rId4" Type="http://schemas.openxmlformats.org/officeDocument/2006/relationships/image" Target="../media/image28.png"/></Relationships>
</file>

<file path=xl/drawings/_rels/drawing7.xml.rels><?xml version="1.0" encoding="UTF-8" standalone="yes"?>
<Relationships xmlns="http://schemas.openxmlformats.org/package/2006/relationships"><Relationship Id="rId8" Type="http://schemas.openxmlformats.org/officeDocument/2006/relationships/image" Target="../media/image36.png"/><Relationship Id="rId13" Type="http://schemas.openxmlformats.org/officeDocument/2006/relationships/customXml" Target="../ink/ink10.xml"/><Relationship Id="rId18" Type="http://schemas.openxmlformats.org/officeDocument/2006/relationships/image" Target="../media/image350.png"/><Relationship Id="rId3" Type="http://schemas.openxmlformats.org/officeDocument/2006/relationships/image" Target="../media/image31.png"/><Relationship Id="rId7" Type="http://schemas.openxmlformats.org/officeDocument/2006/relationships/image" Target="../media/image35.png"/><Relationship Id="rId12" Type="http://schemas.openxmlformats.org/officeDocument/2006/relationships/image" Target="../media/image320.png"/><Relationship Id="rId17" Type="http://schemas.openxmlformats.org/officeDocument/2006/relationships/customXml" Target="../ink/ink12.xml"/><Relationship Id="rId2" Type="http://schemas.openxmlformats.org/officeDocument/2006/relationships/image" Target="../media/image30.png"/><Relationship Id="rId16" Type="http://schemas.openxmlformats.org/officeDocument/2006/relationships/image" Target="../media/image340.png"/><Relationship Id="rId20" Type="http://schemas.openxmlformats.org/officeDocument/2006/relationships/image" Target="../media/image360.png"/><Relationship Id="rId1" Type="http://schemas.openxmlformats.org/officeDocument/2006/relationships/image" Target="../media/image29.png"/><Relationship Id="rId6" Type="http://schemas.openxmlformats.org/officeDocument/2006/relationships/image" Target="../media/image34.png"/><Relationship Id="rId11" Type="http://schemas.openxmlformats.org/officeDocument/2006/relationships/customXml" Target="../ink/ink9.xml"/><Relationship Id="rId5" Type="http://schemas.openxmlformats.org/officeDocument/2006/relationships/image" Target="../media/image33.png"/><Relationship Id="rId15" Type="http://schemas.openxmlformats.org/officeDocument/2006/relationships/customXml" Target="../ink/ink11.xml"/><Relationship Id="rId10" Type="http://schemas.openxmlformats.org/officeDocument/2006/relationships/image" Target="../media/image38.png"/><Relationship Id="rId19" Type="http://schemas.openxmlformats.org/officeDocument/2006/relationships/customXml" Target="../ink/ink13.xml"/><Relationship Id="rId4" Type="http://schemas.openxmlformats.org/officeDocument/2006/relationships/image" Target="../media/image32.png"/><Relationship Id="rId9" Type="http://schemas.openxmlformats.org/officeDocument/2006/relationships/image" Target="../media/image37.png"/><Relationship Id="rId14" Type="http://schemas.openxmlformats.org/officeDocument/2006/relationships/image" Target="../media/image330.png"/></Relationships>
</file>

<file path=xl/drawings/_rels/drawing8.xml.rels><?xml version="1.0" encoding="UTF-8" standalone="yes"?>
<Relationships xmlns="http://schemas.openxmlformats.org/package/2006/relationships"><Relationship Id="rId1" Type="http://schemas.openxmlformats.org/officeDocument/2006/relationships/image" Target="../media/image39.png"/></Relationships>
</file>

<file path=xl/drawings/_rels/drawing9.xml.rels><?xml version="1.0" encoding="UTF-8" standalone="yes"?>
<Relationships xmlns="http://schemas.openxmlformats.org/package/2006/relationships"><Relationship Id="rId13" Type="http://schemas.openxmlformats.org/officeDocument/2006/relationships/image" Target="../media/image44.png"/><Relationship Id="rId18" Type="http://schemas.openxmlformats.org/officeDocument/2006/relationships/customXml" Target="../ink/ink20.xml"/><Relationship Id="rId26" Type="http://schemas.openxmlformats.org/officeDocument/2006/relationships/customXml" Target="../ink/ink23.xml"/><Relationship Id="rId3" Type="http://schemas.openxmlformats.org/officeDocument/2006/relationships/customXml" Target="../ink/ink14.xml"/><Relationship Id="rId34" Type="http://schemas.openxmlformats.org/officeDocument/2006/relationships/image" Target="../media/image48.png"/><Relationship Id="rId7" Type="http://schemas.openxmlformats.org/officeDocument/2006/relationships/image" Target="../media/image42.png"/><Relationship Id="rId12" Type="http://schemas.openxmlformats.org/officeDocument/2006/relationships/image" Target="../media/image182.png"/><Relationship Id="rId17" Type="http://schemas.openxmlformats.org/officeDocument/2006/relationships/image" Target="../media/image46.png"/><Relationship Id="rId25" Type="http://schemas.openxmlformats.org/officeDocument/2006/relationships/image" Target="../media/image50.png"/><Relationship Id="rId33" Type="http://schemas.openxmlformats.org/officeDocument/2006/relationships/image" Target="../media/image1136.png"/><Relationship Id="rId38" Type="http://schemas.openxmlformats.org/officeDocument/2006/relationships/image" Target="../media/image54.png"/><Relationship Id="rId2" Type="http://schemas.openxmlformats.org/officeDocument/2006/relationships/image" Target="../media/image41.png"/><Relationship Id="rId16" Type="http://schemas.openxmlformats.org/officeDocument/2006/relationships/customXml" Target="../ink/ink19.xml"/><Relationship Id="rId20" Type="http://schemas.openxmlformats.org/officeDocument/2006/relationships/customXml" Target="../ink/ink21.xml"/><Relationship Id="rId29" Type="http://schemas.openxmlformats.org/officeDocument/2006/relationships/image" Target="../media/image1134.png"/><Relationship Id="rId1" Type="http://schemas.openxmlformats.org/officeDocument/2006/relationships/image" Target="../media/image40.png"/><Relationship Id="rId6" Type="http://schemas.openxmlformats.org/officeDocument/2006/relationships/image" Target="../media/image410.png"/><Relationship Id="rId11" Type="http://schemas.openxmlformats.org/officeDocument/2006/relationships/customXml" Target="../ink/ink17.xml"/><Relationship Id="rId24" Type="http://schemas.openxmlformats.org/officeDocument/2006/relationships/customXml" Target="../ink/ink22.xml"/><Relationship Id="rId32" Type="http://schemas.openxmlformats.org/officeDocument/2006/relationships/customXml" Target="../ink/ink26.xml"/><Relationship Id="rId37" Type="http://schemas.openxmlformats.org/officeDocument/2006/relationships/customXml" Target="../ink/ink27.xml"/><Relationship Id="rId5" Type="http://schemas.openxmlformats.org/officeDocument/2006/relationships/customXml" Target="../ink/ink15.xml"/><Relationship Id="rId15" Type="http://schemas.openxmlformats.org/officeDocument/2006/relationships/image" Target="../media/image45.png"/><Relationship Id="rId23" Type="http://schemas.openxmlformats.org/officeDocument/2006/relationships/image" Target="../media/image49.png"/><Relationship Id="rId28" Type="http://schemas.openxmlformats.org/officeDocument/2006/relationships/customXml" Target="../ink/ink24.xml"/><Relationship Id="rId36" Type="http://schemas.openxmlformats.org/officeDocument/2006/relationships/image" Target="../media/image53.png"/><Relationship Id="rId10" Type="http://schemas.openxmlformats.org/officeDocument/2006/relationships/image" Target="../media/image179.png"/><Relationship Id="rId19" Type="http://schemas.openxmlformats.org/officeDocument/2006/relationships/image" Target="../media/image47.png"/><Relationship Id="rId31" Type="http://schemas.openxmlformats.org/officeDocument/2006/relationships/image" Target="../media/image1135.png"/><Relationship Id="rId4" Type="http://schemas.openxmlformats.org/officeDocument/2006/relationships/image" Target="../media/image400.png"/><Relationship Id="rId9" Type="http://schemas.openxmlformats.org/officeDocument/2006/relationships/customXml" Target="../ink/ink16.xml"/><Relationship Id="rId14" Type="http://schemas.openxmlformats.org/officeDocument/2006/relationships/customXml" Target="../ink/ink18.xml"/><Relationship Id="rId27" Type="http://schemas.openxmlformats.org/officeDocument/2006/relationships/image" Target="../media/image51.png"/><Relationship Id="rId30" Type="http://schemas.openxmlformats.org/officeDocument/2006/relationships/customXml" Target="../ink/ink25.xml"/><Relationship Id="rId35" Type="http://schemas.openxmlformats.org/officeDocument/2006/relationships/image" Target="../media/image52.png"/><Relationship Id="rId8" Type="http://schemas.openxmlformats.org/officeDocument/2006/relationships/image" Target="../media/image43.png"/></Relationships>
</file>

<file path=xl/drawings/_rels/drawing10.xml.rels><?xml version="1.0" encoding="UTF-8" standalone="yes"?>
<Relationships xmlns="http://schemas.openxmlformats.org/package/2006/relationships"><Relationship Id="rId2" Type="http://schemas.openxmlformats.org/officeDocument/2006/relationships/image" Target="../media/image56.png"/><Relationship Id="rId1" Type="http://schemas.openxmlformats.org/officeDocument/2006/relationships/image" Target="../media/image55.png"/></Relationships>
</file>

<file path=xl/drawings/_rels/drawing11.xml.rels><?xml version="1.0" encoding="UTF-8" standalone="yes"?>
<Relationships xmlns="http://schemas.openxmlformats.org/package/2006/relationships"><Relationship Id="rId3" Type="http://schemas.openxmlformats.org/officeDocument/2006/relationships/image" Target="../media/image59.png"/><Relationship Id="rId2" Type="http://schemas.openxmlformats.org/officeDocument/2006/relationships/image" Target="../media/image58.png"/><Relationship Id="rId1" Type="http://schemas.openxmlformats.org/officeDocument/2006/relationships/image" Target="../media/image57.png"/></Relationships>
</file>

<file path=xl/drawings/_rels/drawing12.xml.rels><?xml version="1.0" encoding="UTF-8" standalone="yes"?>
<Relationships xmlns="http://schemas.openxmlformats.org/package/2006/relationships"><Relationship Id="rId8" Type="http://schemas.openxmlformats.org/officeDocument/2006/relationships/image" Target="../media/image153.png"/><Relationship Id="rId13" Type="http://schemas.openxmlformats.org/officeDocument/2006/relationships/image" Target="../media/image65.png"/><Relationship Id="rId3" Type="http://schemas.openxmlformats.org/officeDocument/2006/relationships/image" Target="../media/image61.png"/><Relationship Id="rId7" Type="http://schemas.openxmlformats.org/officeDocument/2006/relationships/customXml" Target="../ink/ink28.xml"/><Relationship Id="rId12" Type="http://schemas.openxmlformats.org/officeDocument/2006/relationships/image" Target="../media/image160.png"/><Relationship Id="rId2" Type="http://schemas.openxmlformats.org/officeDocument/2006/relationships/image" Target="../media/image60.png"/><Relationship Id="rId1" Type="http://schemas.openxmlformats.org/officeDocument/2006/relationships/image" Target="../media/image2.png"/><Relationship Id="rId6" Type="http://schemas.openxmlformats.org/officeDocument/2006/relationships/image" Target="../media/image64.png"/><Relationship Id="rId11" Type="http://schemas.openxmlformats.org/officeDocument/2006/relationships/customXml" Target="../ink/ink30.xml"/><Relationship Id="rId5" Type="http://schemas.openxmlformats.org/officeDocument/2006/relationships/image" Target="../media/image63.png"/><Relationship Id="rId10" Type="http://schemas.openxmlformats.org/officeDocument/2006/relationships/image" Target="../media/image154.png"/><Relationship Id="rId4" Type="http://schemas.openxmlformats.org/officeDocument/2006/relationships/image" Target="../media/image62.png"/><Relationship Id="rId9" Type="http://schemas.openxmlformats.org/officeDocument/2006/relationships/customXml" Target="../ink/ink29.xml"/></Relationships>
</file>

<file path=xl/drawings/drawing1.xml><?xml version="1.0" encoding="utf-8"?>
<xdr:wsDr xmlns:xdr="http://schemas.openxmlformats.org/drawingml/2006/spreadsheetDrawing" xmlns:a="http://schemas.openxmlformats.org/drawingml/2006/main">
  <xdr:twoCellAnchor editAs="oneCell">
    <xdr:from>
      <xdr:col>8</xdr:col>
      <xdr:colOff>1578370</xdr:colOff>
      <xdr:row>40</xdr:row>
      <xdr:rowOff>119431</xdr:rowOff>
    </xdr:from>
    <xdr:to>
      <xdr:col>10</xdr:col>
      <xdr:colOff>1925382</xdr:colOff>
      <xdr:row>54</xdr:row>
      <xdr:rowOff>128236</xdr:rowOff>
    </xdr:to>
    <xdr:pic>
      <xdr:nvPicPr>
        <xdr:cNvPr id="2" name="Image 1">
          <a:extLst>
            <a:ext uri="{FF2B5EF4-FFF2-40B4-BE49-F238E27FC236}">
              <a16:creationId xmlns:a16="http://schemas.microsoft.com/office/drawing/2014/main" id="{CB62083B-80BA-059E-DCE2-D18AF85EC275}"/>
            </a:ext>
          </a:extLst>
        </xdr:cNvPr>
        <xdr:cNvPicPr>
          <a:picLocks noChangeAspect="1"/>
        </xdr:cNvPicPr>
      </xdr:nvPicPr>
      <xdr:blipFill>
        <a:blip xmlns:r="http://schemas.openxmlformats.org/officeDocument/2006/relationships" r:embed="rId1"/>
        <a:stretch>
          <a:fillRect/>
        </a:stretch>
      </xdr:blipFill>
      <xdr:spPr>
        <a:xfrm>
          <a:off x="16749876" y="8467184"/>
          <a:ext cx="4576112" cy="2904405"/>
        </a:xfrm>
        <a:prstGeom prst="rect">
          <a:avLst/>
        </a:prstGeom>
      </xdr:spPr>
    </xdr:pic>
    <xdr:clientData/>
  </xdr:twoCellAnchor>
  <xdr:twoCellAnchor editAs="oneCell">
    <xdr:from>
      <xdr:col>11</xdr:col>
      <xdr:colOff>1111897</xdr:colOff>
      <xdr:row>8</xdr:row>
      <xdr:rowOff>93305</xdr:rowOff>
    </xdr:from>
    <xdr:to>
      <xdr:col>13</xdr:col>
      <xdr:colOff>1341008</xdr:colOff>
      <xdr:row>45</xdr:row>
      <xdr:rowOff>103932</xdr:rowOff>
    </xdr:to>
    <xdr:pic>
      <xdr:nvPicPr>
        <xdr:cNvPr id="5" name="Image 2">
          <a:extLst>
            <a:ext uri="{FF2B5EF4-FFF2-40B4-BE49-F238E27FC236}">
              <a16:creationId xmlns:a16="http://schemas.microsoft.com/office/drawing/2014/main" id="{2E4534D2-6514-0571-7D2A-9F1FCF295FC3}"/>
            </a:ext>
          </a:extLst>
        </xdr:cNvPr>
        <xdr:cNvPicPr>
          <a:picLocks noChangeAspect="1"/>
        </xdr:cNvPicPr>
      </xdr:nvPicPr>
      <xdr:blipFill>
        <a:blip xmlns:r="http://schemas.openxmlformats.org/officeDocument/2006/relationships" r:embed="rId2"/>
        <a:stretch>
          <a:fillRect/>
        </a:stretch>
      </xdr:blipFill>
      <xdr:spPr>
        <a:xfrm>
          <a:off x="23419836" y="1710611"/>
          <a:ext cx="3658111" cy="7897327"/>
        </a:xfrm>
        <a:prstGeom prst="rect">
          <a:avLst/>
        </a:prstGeom>
      </xdr:spPr>
    </xdr:pic>
    <xdr:clientData/>
  </xdr:twoCellAnchor>
  <xdr:twoCellAnchor editAs="oneCell">
    <xdr:from>
      <xdr:col>11</xdr:col>
      <xdr:colOff>1010816</xdr:colOff>
      <xdr:row>46</xdr:row>
      <xdr:rowOff>31102</xdr:rowOff>
    </xdr:from>
    <xdr:to>
      <xdr:col>17</xdr:col>
      <xdr:colOff>1829679</xdr:colOff>
      <xdr:row>57</xdr:row>
      <xdr:rowOff>166680</xdr:rowOff>
    </xdr:to>
    <xdr:pic>
      <xdr:nvPicPr>
        <xdr:cNvPr id="7" name="Image 3">
          <a:extLst>
            <a:ext uri="{FF2B5EF4-FFF2-40B4-BE49-F238E27FC236}">
              <a16:creationId xmlns:a16="http://schemas.microsoft.com/office/drawing/2014/main" id="{B69352CC-7174-5EB6-7C6B-8ABAC2555B85}"/>
            </a:ext>
          </a:extLst>
        </xdr:cNvPr>
        <xdr:cNvPicPr>
          <a:picLocks noChangeAspect="1"/>
        </xdr:cNvPicPr>
      </xdr:nvPicPr>
      <xdr:blipFill>
        <a:blip xmlns:r="http://schemas.openxmlformats.org/officeDocument/2006/relationships" r:embed="rId3"/>
        <a:stretch>
          <a:fillRect/>
        </a:stretch>
      </xdr:blipFill>
      <xdr:spPr>
        <a:xfrm>
          <a:off x="23318755" y="9898225"/>
          <a:ext cx="11593543" cy="2314898"/>
        </a:xfrm>
        <a:prstGeom prst="rect">
          <a:avLst/>
        </a:prstGeom>
      </xdr:spPr>
    </xdr:pic>
    <xdr:clientData/>
  </xdr:twoCellAnchor>
  <xdr:twoCellAnchor editAs="oneCell">
    <xdr:from>
      <xdr:col>15</xdr:col>
      <xdr:colOff>1118263</xdr:colOff>
      <xdr:row>58</xdr:row>
      <xdr:rowOff>39585</xdr:rowOff>
    </xdr:from>
    <xdr:to>
      <xdr:col>20</xdr:col>
      <xdr:colOff>405070</xdr:colOff>
      <xdr:row>77</xdr:row>
      <xdr:rowOff>158240</xdr:rowOff>
    </xdr:to>
    <xdr:pic>
      <xdr:nvPicPr>
        <xdr:cNvPr id="13" name="Image 4">
          <a:extLst>
            <a:ext uri="{FF2B5EF4-FFF2-40B4-BE49-F238E27FC236}">
              <a16:creationId xmlns:a16="http://schemas.microsoft.com/office/drawing/2014/main" id="{3049FBAF-5367-66DE-7F12-6A1C509F8252}"/>
            </a:ext>
          </a:extLst>
        </xdr:cNvPr>
        <xdr:cNvPicPr>
          <a:picLocks noChangeAspect="1"/>
        </xdr:cNvPicPr>
      </xdr:nvPicPr>
      <xdr:blipFill>
        <a:blip xmlns:r="http://schemas.openxmlformats.org/officeDocument/2006/relationships" r:embed="rId4"/>
        <a:stretch>
          <a:fillRect/>
        </a:stretch>
      </xdr:blipFill>
      <xdr:spPr>
        <a:xfrm>
          <a:off x="30539379" y="12211792"/>
          <a:ext cx="8468907" cy="3905795"/>
        </a:xfrm>
        <a:prstGeom prst="rect">
          <a:avLst/>
        </a:prstGeom>
      </xdr:spPr>
    </xdr:pic>
    <xdr:clientData/>
  </xdr:twoCellAnchor>
  <xdr:twoCellAnchor editAs="oneCell">
    <xdr:from>
      <xdr:col>11</xdr:col>
      <xdr:colOff>663041</xdr:colOff>
      <xdr:row>57</xdr:row>
      <xdr:rowOff>188027</xdr:rowOff>
    </xdr:from>
    <xdr:to>
      <xdr:col>15</xdr:col>
      <xdr:colOff>1106054</xdr:colOff>
      <xdr:row>82</xdr:row>
      <xdr:rowOff>70595</xdr:rowOff>
    </xdr:to>
    <xdr:pic>
      <xdr:nvPicPr>
        <xdr:cNvPr id="12" name="Image 5">
          <a:extLst>
            <a:ext uri="{FF2B5EF4-FFF2-40B4-BE49-F238E27FC236}">
              <a16:creationId xmlns:a16="http://schemas.microsoft.com/office/drawing/2014/main" id="{EC9C3830-5975-B592-F157-9906DBE776EA}"/>
            </a:ext>
          </a:extLst>
        </xdr:cNvPr>
        <xdr:cNvPicPr>
          <a:picLocks noChangeAspect="1"/>
        </xdr:cNvPicPr>
      </xdr:nvPicPr>
      <xdr:blipFill>
        <a:blip xmlns:r="http://schemas.openxmlformats.org/officeDocument/2006/relationships" r:embed="rId5"/>
        <a:stretch>
          <a:fillRect/>
        </a:stretch>
      </xdr:blipFill>
      <xdr:spPr>
        <a:xfrm>
          <a:off x="22968859" y="12162312"/>
          <a:ext cx="7544853" cy="485842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19</xdr:col>
      <xdr:colOff>637082</xdr:colOff>
      <xdr:row>0</xdr:row>
      <xdr:rowOff>18737</xdr:rowOff>
    </xdr:from>
    <xdr:to>
      <xdr:col>22</xdr:col>
      <xdr:colOff>734853</xdr:colOff>
      <xdr:row>6</xdr:row>
      <xdr:rowOff>170825</xdr:rowOff>
    </xdr:to>
    <xdr:pic>
      <xdr:nvPicPr>
        <xdr:cNvPr id="4" name="Image 2">
          <a:extLst>
            <a:ext uri="{FF2B5EF4-FFF2-40B4-BE49-F238E27FC236}">
              <a16:creationId xmlns:a16="http://schemas.microsoft.com/office/drawing/2014/main" id="{FB1D38D7-E87D-727F-5437-598B6AC8CFC3}"/>
            </a:ext>
          </a:extLst>
        </xdr:cNvPr>
        <xdr:cNvPicPr>
          <a:picLocks noChangeAspect="1"/>
        </xdr:cNvPicPr>
      </xdr:nvPicPr>
      <xdr:blipFill>
        <a:blip xmlns:r="http://schemas.openxmlformats.org/officeDocument/2006/relationships" r:embed="rId1"/>
        <a:stretch>
          <a:fillRect/>
        </a:stretch>
      </xdr:blipFill>
      <xdr:spPr>
        <a:xfrm>
          <a:off x="16456202" y="18737"/>
          <a:ext cx="2383771" cy="1371288"/>
        </a:xfrm>
        <a:prstGeom prst="rect">
          <a:avLst/>
        </a:prstGeom>
      </xdr:spPr>
    </xdr:pic>
    <xdr:clientData/>
  </xdr:twoCellAnchor>
  <xdr:twoCellAnchor editAs="oneCell">
    <xdr:from>
      <xdr:col>10</xdr:col>
      <xdr:colOff>0</xdr:colOff>
      <xdr:row>74</xdr:row>
      <xdr:rowOff>0</xdr:rowOff>
    </xdr:from>
    <xdr:to>
      <xdr:col>10</xdr:col>
      <xdr:colOff>304800</xdr:colOff>
      <xdr:row>75</xdr:row>
      <xdr:rowOff>106135</xdr:rowOff>
    </xdr:to>
    <xdr:sp macro="" textlink="">
      <xdr:nvSpPr>
        <xdr:cNvPr id="5123" name="AutoShape 3">
          <a:extLst>
            <a:ext uri="{FF2B5EF4-FFF2-40B4-BE49-F238E27FC236}">
              <a16:creationId xmlns:a16="http://schemas.microsoft.com/office/drawing/2014/main" id="{891737F2-71A3-7E16-BD1A-CDC3EA9D1C44}"/>
            </a:ext>
          </a:extLst>
        </xdr:cNvPr>
        <xdr:cNvSpPr>
          <a:spLocks noChangeAspect="1" noChangeArrowheads="1"/>
        </xdr:cNvSpPr>
      </xdr:nvSpPr>
      <xdr:spPr bwMode="auto">
        <a:xfrm>
          <a:off x="4581525" y="152876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11</xdr:col>
      <xdr:colOff>0</xdr:colOff>
      <xdr:row>74</xdr:row>
      <xdr:rowOff>0</xdr:rowOff>
    </xdr:from>
    <xdr:to>
      <xdr:col>11</xdr:col>
      <xdr:colOff>304800</xdr:colOff>
      <xdr:row>75</xdr:row>
      <xdr:rowOff>106135</xdr:rowOff>
    </xdr:to>
    <xdr:sp macro="" textlink="">
      <xdr:nvSpPr>
        <xdr:cNvPr id="5124" name="AutoShape 4">
          <a:extLst>
            <a:ext uri="{FF2B5EF4-FFF2-40B4-BE49-F238E27FC236}">
              <a16:creationId xmlns:a16="http://schemas.microsoft.com/office/drawing/2014/main" id="{24E5662C-F853-B149-27A7-A1C04ECC8037}"/>
            </a:ext>
          </a:extLst>
        </xdr:cNvPr>
        <xdr:cNvSpPr>
          <a:spLocks noChangeAspect="1" noChangeArrowheads="1"/>
        </xdr:cNvSpPr>
      </xdr:nvSpPr>
      <xdr:spPr bwMode="auto">
        <a:xfrm>
          <a:off x="5162550" y="152876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11</xdr:col>
      <xdr:colOff>0</xdr:colOff>
      <xdr:row>74</xdr:row>
      <xdr:rowOff>0</xdr:rowOff>
    </xdr:from>
    <xdr:to>
      <xdr:col>11</xdr:col>
      <xdr:colOff>304800</xdr:colOff>
      <xdr:row>75</xdr:row>
      <xdr:rowOff>106135</xdr:rowOff>
    </xdr:to>
    <xdr:sp macro="" textlink="">
      <xdr:nvSpPr>
        <xdr:cNvPr id="5125" name="AutoShape 5">
          <a:extLst>
            <a:ext uri="{FF2B5EF4-FFF2-40B4-BE49-F238E27FC236}">
              <a16:creationId xmlns:a16="http://schemas.microsoft.com/office/drawing/2014/main" id="{474186A0-E6D2-35FF-7B63-B4B736196688}"/>
            </a:ext>
          </a:extLst>
        </xdr:cNvPr>
        <xdr:cNvSpPr>
          <a:spLocks noChangeAspect="1" noChangeArrowheads="1"/>
        </xdr:cNvSpPr>
      </xdr:nvSpPr>
      <xdr:spPr bwMode="auto">
        <a:xfrm>
          <a:off x="5162550" y="152876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75</xdr:row>
      <xdr:rowOff>0</xdr:rowOff>
    </xdr:from>
    <xdr:to>
      <xdr:col>16</xdr:col>
      <xdr:colOff>382287</xdr:colOff>
      <xdr:row>81</xdr:row>
      <xdr:rowOff>152589</xdr:rowOff>
    </xdr:to>
    <xdr:pic>
      <xdr:nvPicPr>
        <xdr:cNvPr id="2" name="Image 1">
          <a:extLst>
            <a:ext uri="{FF2B5EF4-FFF2-40B4-BE49-F238E27FC236}">
              <a16:creationId xmlns:a16="http://schemas.microsoft.com/office/drawing/2014/main" id="{25281749-6D88-0ECB-BB85-113B30E0BEF0}"/>
            </a:ext>
          </a:extLst>
        </xdr:cNvPr>
        <xdr:cNvPicPr>
          <a:picLocks noChangeAspect="1"/>
        </xdr:cNvPicPr>
      </xdr:nvPicPr>
      <xdr:blipFill>
        <a:blip xmlns:r="http://schemas.openxmlformats.org/officeDocument/2006/relationships" r:embed="rId2"/>
        <a:stretch>
          <a:fillRect/>
        </a:stretch>
      </xdr:blipFill>
      <xdr:spPr>
        <a:xfrm>
          <a:off x="1838325" y="15487650"/>
          <a:ext cx="9221487" cy="1352739"/>
        </a:xfrm>
        <a:prstGeom prst="rect">
          <a:avLst/>
        </a:prstGeom>
      </xdr:spPr>
    </xdr:pic>
    <xdr:clientData/>
  </xdr:twoCellAnchor>
  <xdr:twoCellAnchor editAs="oneCell">
    <xdr:from>
      <xdr:col>34</xdr:col>
      <xdr:colOff>0</xdr:colOff>
      <xdr:row>16</xdr:row>
      <xdr:rowOff>0</xdr:rowOff>
    </xdr:from>
    <xdr:to>
      <xdr:col>40</xdr:col>
      <xdr:colOff>551736</xdr:colOff>
      <xdr:row>22</xdr:row>
      <xdr:rowOff>114489</xdr:rowOff>
    </xdr:to>
    <xdr:pic>
      <xdr:nvPicPr>
        <xdr:cNvPr id="3" name="Image 2">
          <a:extLst>
            <a:ext uri="{FF2B5EF4-FFF2-40B4-BE49-F238E27FC236}">
              <a16:creationId xmlns:a16="http://schemas.microsoft.com/office/drawing/2014/main" id="{ABB6DADF-9755-9F70-CFF6-906926AFE7C6}"/>
            </a:ext>
          </a:extLst>
        </xdr:cNvPr>
        <xdr:cNvPicPr>
          <a:picLocks noChangeAspect="1"/>
        </xdr:cNvPicPr>
      </xdr:nvPicPr>
      <xdr:blipFill>
        <a:blip xmlns:r="http://schemas.openxmlformats.org/officeDocument/2006/relationships" r:embed="rId3"/>
        <a:stretch>
          <a:fillRect/>
        </a:stretch>
      </xdr:blipFill>
      <xdr:spPr>
        <a:xfrm>
          <a:off x="31068818" y="3273136"/>
          <a:ext cx="6411220" cy="1352739"/>
        </a:xfrm>
        <a:prstGeom prst="rect">
          <a:avLst/>
        </a:prstGeom>
      </xdr:spPr>
    </xdr:pic>
    <xdr:clientData/>
  </xdr:twoCellAnchor>
  <xdr:twoCellAnchor editAs="oneCell">
    <xdr:from>
      <xdr:col>34</xdr:col>
      <xdr:colOff>0</xdr:colOff>
      <xdr:row>25</xdr:row>
      <xdr:rowOff>0</xdr:rowOff>
    </xdr:from>
    <xdr:to>
      <xdr:col>47</xdr:col>
      <xdr:colOff>540646</xdr:colOff>
      <xdr:row>50</xdr:row>
      <xdr:rowOff>163039</xdr:rowOff>
    </xdr:to>
    <xdr:pic>
      <xdr:nvPicPr>
        <xdr:cNvPr id="5" name="Image 4">
          <a:extLst>
            <a:ext uri="{FF2B5EF4-FFF2-40B4-BE49-F238E27FC236}">
              <a16:creationId xmlns:a16="http://schemas.microsoft.com/office/drawing/2014/main" id="{6EFCA6F0-5AAF-5380-4EFD-6DF399AE0147}"/>
            </a:ext>
          </a:extLst>
        </xdr:cNvPr>
        <xdr:cNvPicPr>
          <a:picLocks noChangeAspect="1"/>
        </xdr:cNvPicPr>
      </xdr:nvPicPr>
      <xdr:blipFill>
        <a:blip xmlns:r="http://schemas.openxmlformats.org/officeDocument/2006/relationships" r:embed="rId4"/>
        <a:stretch>
          <a:fillRect/>
        </a:stretch>
      </xdr:blipFill>
      <xdr:spPr>
        <a:xfrm>
          <a:off x="31068818" y="5134841"/>
          <a:ext cx="12041280" cy="5325218"/>
        </a:xfrm>
        <a:prstGeom prst="rect">
          <a:avLst/>
        </a:prstGeom>
      </xdr:spPr>
    </xdr:pic>
    <xdr:clientData/>
  </xdr:twoCellAnchor>
  <xdr:twoCellAnchor editAs="oneCell">
    <xdr:from>
      <xdr:col>42</xdr:col>
      <xdr:colOff>0</xdr:colOff>
      <xdr:row>7</xdr:row>
      <xdr:rowOff>0</xdr:rowOff>
    </xdr:from>
    <xdr:to>
      <xdr:col>54</xdr:col>
      <xdr:colOff>285518</xdr:colOff>
      <xdr:row>26</xdr:row>
      <xdr:rowOff>120580</xdr:rowOff>
    </xdr:to>
    <xdr:pic>
      <xdr:nvPicPr>
        <xdr:cNvPr id="16" name="Image 9">
          <a:extLst>
            <a:ext uri="{FF2B5EF4-FFF2-40B4-BE49-F238E27FC236}">
              <a16:creationId xmlns:a16="http://schemas.microsoft.com/office/drawing/2014/main" id="{C5347D36-FC85-5798-8B1A-7384EE60CD4B}"/>
            </a:ext>
          </a:extLst>
        </xdr:cNvPr>
        <xdr:cNvPicPr>
          <a:picLocks noChangeAspect="1"/>
        </xdr:cNvPicPr>
      </xdr:nvPicPr>
      <xdr:blipFill>
        <a:blip xmlns:r="http://schemas.openxmlformats.org/officeDocument/2006/relationships" r:embed="rId5"/>
        <a:stretch>
          <a:fillRect/>
        </a:stretch>
      </xdr:blipFill>
      <xdr:spPr>
        <a:xfrm>
          <a:off x="39079714" y="1426029"/>
          <a:ext cx="10001018" cy="4054405"/>
        </a:xfrm>
        <a:prstGeom prst="rect">
          <a:avLst/>
        </a:prstGeom>
      </xdr:spPr>
    </xdr:pic>
    <xdr:clientData/>
  </xdr:twoCellAnchor>
  <xdr:twoCellAnchor editAs="oneCell">
    <xdr:from>
      <xdr:col>39</xdr:col>
      <xdr:colOff>302569</xdr:colOff>
      <xdr:row>18</xdr:row>
      <xdr:rowOff>97237</xdr:rowOff>
    </xdr:from>
    <xdr:to>
      <xdr:col>39</xdr:col>
      <xdr:colOff>778648</xdr:colOff>
      <xdr:row>18</xdr:row>
      <xdr:rowOff>169078</xdr:rowOff>
    </xdr:to>
    <mc:AlternateContent xmlns:mc="http://schemas.openxmlformats.org/markup-compatibility/2006" xmlns:xdr14="http://schemas.microsoft.com/office/excel/2010/spreadsheetDrawing">
      <mc:Choice Requires="xdr14">
        <xdr:contentPart xmlns:r="http://schemas.openxmlformats.org/officeDocument/2006/relationships" r:id="rId6">
          <xdr14:nvContentPartPr>
            <xdr14:cNvPr id="11" name="Encre 10">
              <a:extLst>
                <a:ext uri="{FF2B5EF4-FFF2-40B4-BE49-F238E27FC236}">
                  <a16:creationId xmlns:a16="http://schemas.microsoft.com/office/drawing/2014/main" id="{6BCF555B-3212-D654-C5BE-078A74E426EC}"/>
                </a:ext>
              </a:extLst>
            </xdr14:cNvPr>
            <xdr14:cNvContentPartPr/>
          </xdr14:nvContentPartPr>
          <xdr14:nvPr macro=""/>
          <xdr14:xfrm>
            <a:off x="37005569" y="3721622"/>
            <a:ext cx="478800" cy="69120"/>
          </xdr14:xfrm>
        </xdr:contentPart>
      </mc:Choice>
      <mc:Fallback xmlns="">
        <xdr:pic>
          <xdr:nvPicPr>
            <xdr:cNvPr id="11" name="Encre 10">
              <a:extLst>
                <a:ext uri="{FF2B5EF4-FFF2-40B4-BE49-F238E27FC236}">
                  <a16:creationId xmlns:a16="http://schemas.microsoft.com/office/drawing/2014/main" id="{6BCF555B-3212-D654-C5BE-078A74E426EC}"/>
                </a:ext>
              </a:extLst>
            </xdr:cNvPr>
            <xdr:cNvPicPr/>
          </xdr:nvPicPr>
          <xdr:blipFill>
            <a:blip xmlns:r="http://schemas.openxmlformats.org/officeDocument/2006/relationships" r:embed="rId7"/>
            <a:stretch>
              <a:fillRect/>
            </a:stretch>
          </xdr:blipFill>
          <xdr:spPr>
            <a:xfrm>
              <a:off x="36999449" y="3715502"/>
              <a:ext cx="491040" cy="81360"/>
            </a:xfrm>
            <a:prstGeom prst="rect">
              <a:avLst/>
            </a:prstGeom>
          </xdr:spPr>
        </xdr:pic>
      </mc:Fallback>
    </mc:AlternateContent>
    <xdr:clientData/>
  </xdr:twoCellAnchor>
  <xdr:twoCellAnchor editAs="oneCell">
    <xdr:from>
      <xdr:col>37</xdr:col>
      <xdr:colOff>107341</xdr:colOff>
      <xdr:row>17</xdr:row>
      <xdr:rowOff>107582</xdr:rowOff>
    </xdr:from>
    <xdr:to>
      <xdr:col>38</xdr:col>
      <xdr:colOff>449093</xdr:colOff>
      <xdr:row>21</xdr:row>
      <xdr:rowOff>86655</xdr:rowOff>
    </xdr:to>
    <mc:AlternateContent xmlns:mc="http://schemas.openxmlformats.org/markup-compatibility/2006" xmlns:xdr14="http://schemas.microsoft.com/office/excel/2010/spreadsheetDrawing">
      <mc:Choice Requires="xdr14">
        <xdr:contentPart xmlns:r="http://schemas.openxmlformats.org/officeDocument/2006/relationships" r:id="rId8">
          <xdr14:nvContentPartPr>
            <xdr14:cNvPr id="17" name="Encre 16">
              <a:extLst>
                <a:ext uri="{FF2B5EF4-FFF2-40B4-BE49-F238E27FC236}">
                  <a16:creationId xmlns:a16="http://schemas.microsoft.com/office/drawing/2014/main" id="{DAE10510-98E9-AE58-1054-D4BFD9D5BDBE}"/>
                </a:ext>
              </a:extLst>
            </xdr14:cNvPr>
            <xdr14:cNvContentPartPr/>
          </xdr14:nvContentPartPr>
          <xdr14:nvPr macro=""/>
          <xdr14:xfrm>
            <a:off x="35188649" y="3536582"/>
            <a:ext cx="1156680" cy="791280"/>
          </xdr14:xfrm>
        </xdr:contentPart>
      </mc:Choice>
      <mc:Fallback xmlns="">
        <xdr:pic>
          <xdr:nvPicPr>
            <xdr:cNvPr id="17" name="Encre 16">
              <a:extLst>
                <a:ext uri="{FF2B5EF4-FFF2-40B4-BE49-F238E27FC236}">
                  <a16:creationId xmlns:a16="http://schemas.microsoft.com/office/drawing/2014/main" id="{DAE10510-98E9-AE58-1054-D4BFD9D5BDBE}"/>
                </a:ext>
              </a:extLst>
            </xdr:cNvPr>
            <xdr:cNvPicPr/>
          </xdr:nvPicPr>
          <xdr:blipFill>
            <a:blip xmlns:r="http://schemas.openxmlformats.org/officeDocument/2006/relationships" r:embed="rId9"/>
            <a:stretch>
              <a:fillRect/>
            </a:stretch>
          </xdr:blipFill>
          <xdr:spPr>
            <a:xfrm>
              <a:off x="35182531" y="3530462"/>
              <a:ext cx="1168916" cy="803520"/>
            </a:xfrm>
            <a:prstGeom prst="rect">
              <a:avLst/>
            </a:prstGeom>
          </xdr:spPr>
        </xdr:pic>
      </mc:Fallback>
    </mc:AlternateContent>
    <xdr:clientData/>
  </xdr:twoCellAnchor>
  <xdr:twoCellAnchor editAs="oneCell">
    <xdr:from>
      <xdr:col>39</xdr:col>
      <xdr:colOff>234169</xdr:colOff>
      <xdr:row>17</xdr:row>
      <xdr:rowOff>185342</xdr:rowOff>
    </xdr:from>
    <xdr:to>
      <xdr:col>40</xdr:col>
      <xdr:colOff>94522</xdr:colOff>
      <xdr:row>19</xdr:row>
      <xdr:rowOff>96765</xdr:rowOff>
    </xdr:to>
    <mc:AlternateContent xmlns:mc="http://schemas.openxmlformats.org/markup-compatibility/2006" xmlns:xdr14="http://schemas.microsoft.com/office/excel/2010/spreadsheetDrawing">
      <mc:Choice Requires="xdr14">
        <xdr:contentPart xmlns:r="http://schemas.openxmlformats.org/officeDocument/2006/relationships" r:id="rId10">
          <xdr14:nvContentPartPr>
            <xdr14:cNvPr id="18" name="Encre 17">
              <a:extLst>
                <a:ext uri="{FF2B5EF4-FFF2-40B4-BE49-F238E27FC236}">
                  <a16:creationId xmlns:a16="http://schemas.microsoft.com/office/drawing/2014/main" id="{A9052E15-8FC2-F915-B2B4-8BD9E1107B3F}"/>
                </a:ext>
              </a:extLst>
            </xdr14:cNvPr>
            <xdr14:cNvContentPartPr/>
          </xdr14:nvContentPartPr>
          <xdr14:nvPr macro=""/>
          <xdr14:xfrm>
            <a:off x="36937169" y="3614342"/>
            <a:ext cx="673920" cy="309240"/>
          </xdr14:xfrm>
        </xdr:contentPart>
      </mc:Choice>
      <mc:Fallback xmlns="">
        <xdr:pic>
          <xdr:nvPicPr>
            <xdr:cNvPr id="18" name="Encre 17">
              <a:extLst>
                <a:ext uri="{FF2B5EF4-FFF2-40B4-BE49-F238E27FC236}">
                  <a16:creationId xmlns:a16="http://schemas.microsoft.com/office/drawing/2014/main" id="{A9052E15-8FC2-F915-B2B4-8BD9E1107B3F}"/>
                </a:ext>
              </a:extLst>
            </xdr:cNvPr>
            <xdr:cNvPicPr/>
          </xdr:nvPicPr>
          <xdr:blipFill>
            <a:blip xmlns:r="http://schemas.openxmlformats.org/officeDocument/2006/relationships" r:embed="rId11"/>
            <a:stretch>
              <a:fillRect/>
            </a:stretch>
          </xdr:blipFill>
          <xdr:spPr>
            <a:xfrm>
              <a:off x="36931049" y="3608222"/>
              <a:ext cx="686160" cy="321480"/>
            </a:xfrm>
            <a:prstGeom prst="rect">
              <a:avLst/>
            </a:prstGeom>
          </xdr:spPr>
        </xdr:pic>
      </mc:Fallback>
    </mc:AlternateContent>
    <xdr:clientData/>
  </xdr:twoCellAnchor>
  <xdr:twoCellAnchor editAs="oneCell">
    <xdr:from>
      <xdr:col>36</xdr:col>
      <xdr:colOff>800827</xdr:colOff>
      <xdr:row>19</xdr:row>
      <xdr:rowOff>202536</xdr:rowOff>
    </xdr:from>
    <xdr:to>
      <xdr:col>37</xdr:col>
      <xdr:colOff>446699</xdr:colOff>
      <xdr:row>21</xdr:row>
      <xdr:rowOff>106386</xdr:rowOff>
    </xdr:to>
    <mc:AlternateContent xmlns:mc="http://schemas.openxmlformats.org/markup-compatibility/2006" xmlns:xdr14="http://schemas.microsoft.com/office/excel/2010/spreadsheetDrawing">
      <mc:Choice Requires="xdr14">
        <xdr:contentPart xmlns:r="http://schemas.openxmlformats.org/officeDocument/2006/relationships" r:id="rId12">
          <xdr14:nvContentPartPr>
            <xdr14:cNvPr id="21" name="Encre 20">
              <a:extLst>
                <a:ext uri="{FF2B5EF4-FFF2-40B4-BE49-F238E27FC236}">
                  <a16:creationId xmlns:a16="http://schemas.microsoft.com/office/drawing/2014/main" id="{63BD6FA0-C6B1-8A44-A654-9ECE68026EE9}"/>
                </a:ext>
              </a:extLst>
            </xdr14:cNvPr>
            <xdr14:cNvContentPartPr/>
          </xdr14:nvContentPartPr>
          <xdr14:nvPr macro=""/>
          <xdr14:xfrm>
            <a:off x="35071289" y="4032074"/>
            <a:ext cx="460800" cy="318240"/>
          </xdr14:xfrm>
        </xdr:contentPart>
      </mc:Choice>
      <mc:Fallback xmlns="">
        <xdr:pic>
          <xdr:nvPicPr>
            <xdr:cNvPr id="21" name="Encre 20">
              <a:extLst>
                <a:ext uri="{FF2B5EF4-FFF2-40B4-BE49-F238E27FC236}">
                  <a16:creationId xmlns:a16="http://schemas.microsoft.com/office/drawing/2014/main" id="{63BD6FA0-C6B1-8A44-A654-9ECE68026EE9}"/>
                </a:ext>
              </a:extLst>
            </xdr:cNvPr>
            <xdr:cNvPicPr/>
          </xdr:nvPicPr>
          <xdr:blipFill>
            <a:blip xmlns:r="http://schemas.openxmlformats.org/officeDocument/2006/relationships" r:embed="rId13"/>
            <a:stretch>
              <a:fillRect/>
            </a:stretch>
          </xdr:blipFill>
          <xdr:spPr>
            <a:xfrm>
              <a:off x="35065169" y="4025961"/>
              <a:ext cx="473040" cy="330466"/>
            </a:xfrm>
            <a:prstGeom prst="rect">
              <a:avLst/>
            </a:prstGeom>
          </xdr:spPr>
        </xdr:pic>
      </mc:Fallback>
    </mc:AlternateContent>
    <xdr:clientData/>
  </xdr:twoCellAnchor>
  <xdr:twoCellAnchor editAs="oneCell">
    <xdr:from>
      <xdr:col>36</xdr:col>
      <xdr:colOff>117187</xdr:colOff>
      <xdr:row>17</xdr:row>
      <xdr:rowOff>190514</xdr:rowOff>
    </xdr:from>
    <xdr:to>
      <xdr:col>36</xdr:col>
      <xdr:colOff>783028</xdr:colOff>
      <xdr:row>19</xdr:row>
      <xdr:rowOff>121658</xdr:rowOff>
    </xdr:to>
    <mc:AlternateContent xmlns:mc="http://schemas.openxmlformats.org/markup-compatibility/2006" xmlns:xdr14="http://schemas.microsoft.com/office/excel/2010/spreadsheetDrawing">
      <mc:Choice Requires="xdr14">
        <xdr:contentPart xmlns:r="http://schemas.openxmlformats.org/officeDocument/2006/relationships" r:id="rId14">
          <xdr14:nvContentPartPr>
            <xdr14:cNvPr id="24" name="Encre 23">
              <a:extLst>
                <a:ext uri="{FF2B5EF4-FFF2-40B4-BE49-F238E27FC236}">
                  <a16:creationId xmlns:a16="http://schemas.microsoft.com/office/drawing/2014/main" id="{EF46F010-3387-5ADC-9903-D1BDB3DC70CC}"/>
                </a:ext>
              </a:extLst>
            </xdr14:cNvPr>
            <xdr14:cNvContentPartPr/>
          </xdr14:nvContentPartPr>
          <xdr14:nvPr macro=""/>
          <xdr14:xfrm>
            <a:off x="34387649" y="3619514"/>
            <a:ext cx="663120" cy="327600"/>
          </xdr14:xfrm>
        </xdr:contentPart>
      </mc:Choice>
      <mc:Fallback xmlns="">
        <xdr:pic>
          <xdr:nvPicPr>
            <xdr:cNvPr id="24" name="Encre 23">
              <a:extLst>
                <a:ext uri="{FF2B5EF4-FFF2-40B4-BE49-F238E27FC236}">
                  <a16:creationId xmlns:a16="http://schemas.microsoft.com/office/drawing/2014/main" id="{EF46F010-3387-5ADC-9903-D1BDB3DC70CC}"/>
                </a:ext>
              </a:extLst>
            </xdr:cNvPr>
            <xdr:cNvPicPr/>
          </xdr:nvPicPr>
          <xdr:blipFill>
            <a:blip xmlns:r="http://schemas.openxmlformats.org/officeDocument/2006/relationships" r:embed="rId15"/>
            <a:stretch>
              <a:fillRect/>
            </a:stretch>
          </xdr:blipFill>
          <xdr:spPr>
            <a:xfrm>
              <a:off x="34381529" y="3613394"/>
              <a:ext cx="675360" cy="339840"/>
            </a:xfrm>
            <a:prstGeom prst="rect">
              <a:avLst/>
            </a:prstGeom>
          </xdr:spPr>
        </xdr:pic>
      </mc:Fallback>
    </mc:AlternateContent>
    <xdr:clientData/>
  </xdr:twoCellAnchor>
  <xdr:twoCellAnchor editAs="oneCell">
    <xdr:from>
      <xdr:col>42</xdr:col>
      <xdr:colOff>460231</xdr:colOff>
      <xdr:row>14</xdr:row>
      <xdr:rowOff>58616</xdr:rowOff>
    </xdr:from>
    <xdr:to>
      <xdr:col>49</xdr:col>
      <xdr:colOff>371056</xdr:colOff>
      <xdr:row>16</xdr:row>
      <xdr:rowOff>29836</xdr:rowOff>
    </xdr:to>
    <mc:AlternateContent xmlns:mc="http://schemas.openxmlformats.org/markup-compatibility/2006" xmlns:xdr14="http://schemas.microsoft.com/office/excel/2010/spreadsheetDrawing">
      <mc:Choice Requires="xdr14">
        <xdr:contentPart xmlns:r="http://schemas.openxmlformats.org/officeDocument/2006/relationships" r:id="rId16">
          <xdr14:nvContentPartPr>
            <xdr14:cNvPr id="26" name="Encre 25">
              <a:extLst>
                <a:ext uri="{FF2B5EF4-FFF2-40B4-BE49-F238E27FC236}">
                  <a16:creationId xmlns:a16="http://schemas.microsoft.com/office/drawing/2014/main" id="{3994591F-6678-467B-FA70-FA00F9D616BE}"/>
                </a:ext>
              </a:extLst>
            </xdr14:cNvPr>
            <xdr14:cNvContentPartPr/>
          </xdr14:nvContentPartPr>
          <xdr14:nvPr macro=""/>
          <xdr14:xfrm>
            <a:off x="39595769" y="2872154"/>
            <a:ext cx="5578200" cy="391680"/>
          </xdr14:xfrm>
        </xdr:contentPart>
      </mc:Choice>
      <mc:Fallback xmlns="">
        <xdr:pic>
          <xdr:nvPicPr>
            <xdr:cNvPr id="26" name="Encre 25">
              <a:extLst>
                <a:ext uri="{FF2B5EF4-FFF2-40B4-BE49-F238E27FC236}">
                  <a16:creationId xmlns:a16="http://schemas.microsoft.com/office/drawing/2014/main" id="{3994591F-6678-467B-FA70-FA00F9D616BE}"/>
                </a:ext>
              </a:extLst>
            </xdr:cNvPr>
            <xdr:cNvPicPr/>
          </xdr:nvPicPr>
          <xdr:blipFill>
            <a:blip xmlns:r="http://schemas.openxmlformats.org/officeDocument/2006/relationships" r:embed="rId17"/>
            <a:stretch>
              <a:fillRect/>
            </a:stretch>
          </xdr:blipFill>
          <xdr:spPr>
            <a:xfrm>
              <a:off x="39589649" y="2866034"/>
              <a:ext cx="5590440" cy="403920"/>
            </a:xfrm>
            <a:prstGeom prst="rect">
              <a:avLst/>
            </a:prstGeom>
          </xdr:spPr>
        </xdr:pic>
      </mc:Fallback>
    </mc:AlternateContent>
    <xdr:clientData/>
  </xdr:twoCellAnchor>
  <xdr:twoCellAnchor editAs="oneCell">
    <xdr:from>
      <xdr:col>22</xdr:col>
      <xdr:colOff>0</xdr:colOff>
      <xdr:row>36</xdr:row>
      <xdr:rowOff>0</xdr:rowOff>
    </xdr:from>
    <xdr:to>
      <xdr:col>28</xdr:col>
      <xdr:colOff>1038286</xdr:colOff>
      <xdr:row>45</xdr:row>
      <xdr:rowOff>27228</xdr:rowOff>
    </xdr:to>
    <xdr:pic>
      <xdr:nvPicPr>
        <xdr:cNvPr id="6" name="Image 5">
          <a:extLst>
            <a:ext uri="{FF2B5EF4-FFF2-40B4-BE49-F238E27FC236}">
              <a16:creationId xmlns:a16="http://schemas.microsoft.com/office/drawing/2014/main" id="{776F4296-E307-9AB9-5782-4CECD24CAB87}"/>
            </a:ext>
          </a:extLst>
        </xdr:cNvPr>
        <xdr:cNvPicPr>
          <a:picLocks noChangeAspect="1"/>
        </xdr:cNvPicPr>
      </xdr:nvPicPr>
      <xdr:blipFill>
        <a:blip xmlns:r="http://schemas.openxmlformats.org/officeDocument/2006/relationships" r:embed="rId18"/>
        <a:stretch>
          <a:fillRect/>
        </a:stretch>
      </xdr:blipFill>
      <xdr:spPr>
        <a:xfrm>
          <a:off x="18022661" y="7293429"/>
          <a:ext cx="8277286" cy="1857389"/>
        </a:xfrm>
        <a:prstGeom prst="rect">
          <a:avLst/>
        </a:prstGeom>
      </xdr:spPr>
    </xdr:pic>
    <xdr:clientData/>
  </xdr:twoCellAnchor>
  <xdr:twoCellAnchor editAs="oneCell">
    <xdr:from>
      <xdr:col>48</xdr:col>
      <xdr:colOff>450761</xdr:colOff>
      <xdr:row>28</xdr:row>
      <xdr:rowOff>42930</xdr:rowOff>
    </xdr:from>
    <xdr:to>
      <xdr:col>57</xdr:col>
      <xdr:colOff>713143</xdr:colOff>
      <xdr:row>54</xdr:row>
      <xdr:rowOff>35477</xdr:rowOff>
    </xdr:to>
    <xdr:pic>
      <xdr:nvPicPr>
        <xdr:cNvPr id="7" name="Image 6">
          <a:extLst>
            <a:ext uri="{FF2B5EF4-FFF2-40B4-BE49-F238E27FC236}">
              <a16:creationId xmlns:a16="http://schemas.microsoft.com/office/drawing/2014/main" id="{11D7C550-9E76-5A99-CCE4-F037FB7FD5A1}"/>
            </a:ext>
          </a:extLst>
        </xdr:cNvPr>
        <xdr:cNvPicPr>
          <a:picLocks noChangeAspect="1"/>
        </xdr:cNvPicPr>
      </xdr:nvPicPr>
      <xdr:blipFill>
        <a:blip xmlns:r="http://schemas.openxmlformats.org/officeDocument/2006/relationships" r:embed="rId19"/>
        <a:stretch>
          <a:fillRect/>
        </a:stretch>
      </xdr:blipFill>
      <xdr:spPr>
        <a:xfrm>
          <a:off x="44324789" y="5677437"/>
          <a:ext cx="7506748" cy="5229955"/>
        </a:xfrm>
        <a:prstGeom prst="rect">
          <a:avLst/>
        </a:prstGeom>
      </xdr:spPr>
    </xdr:pic>
    <xdr:clientData/>
  </xdr:twoCellAnchor>
  <xdr:twoCellAnchor editAs="oneCell">
    <xdr:from>
      <xdr:col>34</xdr:col>
      <xdr:colOff>0</xdr:colOff>
      <xdr:row>54</xdr:row>
      <xdr:rowOff>190499</xdr:rowOff>
    </xdr:from>
    <xdr:to>
      <xdr:col>41</xdr:col>
      <xdr:colOff>404380</xdr:colOff>
      <xdr:row>80</xdr:row>
      <xdr:rowOff>153148</xdr:rowOff>
    </xdr:to>
    <xdr:pic>
      <xdr:nvPicPr>
        <xdr:cNvPr id="12" name="Image 8">
          <a:extLst>
            <a:ext uri="{FF2B5EF4-FFF2-40B4-BE49-F238E27FC236}">
              <a16:creationId xmlns:a16="http://schemas.microsoft.com/office/drawing/2014/main" id="{A999B6C9-EB5B-52FF-9DDA-513FBA95D6C1}"/>
            </a:ext>
          </a:extLst>
        </xdr:cNvPr>
        <xdr:cNvPicPr>
          <a:picLocks noChangeAspect="1"/>
        </xdr:cNvPicPr>
      </xdr:nvPicPr>
      <xdr:blipFill>
        <a:blip xmlns:r="http://schemas.openxmlformats.org/officeDocument/2006/relationships" r:embed="rId20"/>
        <a:stretch>
          <a:fillRect/>
        </a:stretch>
      </xdr:blipFill>
      <xdr:spPr>
        <a:xfrm>
          <a:off x="31623000" y="11187544"/>
          <a:ext cx="7100455" cy="5277599"/>
        </a:xfrm>
        <a:prstGeom prst="rect">
          <a:avLst/>
        </a:prstGeom>
      </xdr:spPr>
    </xdr:pic>
    <xdr:clientData/>
  </xdr:twoCellAnchor>
  <xdr:twoCellAnchor editAs="oneCell">
    <xdr:from>
      <xdr:col>38</xdr:col>
      <xdr:colOff>502229</xdr:colOff>
      <xdr:row>3</xdr:row>
      <xdr:rowOff>86591</xdr:rowOff>
    </xdr:from>
    <xdr:to>
      <xdr:col>40</xdr:col>
      <xdr:colOff>779320</xdr:colOff>
      <xdr:row>12</xdr:row>
      <xdr:rowOff>113301</xdr:rowOff>
    </xdr:to>
    <xdr:pic>
      <xdr:nvPicPr>
        <xdr:cNvPr id="19" name="Image 18">
          <a:extLst>
            <a:ext uri="{FF2B5EF4-FFF2-40B4-BE49-F238E27FC236}">
              <a16:creationId xmlns:a16="http://schemas.microsoft.com/office/drawing/2014/main" id="{A47A1AAC-54FB-58AC-3BBE-290968D5351C}"/>
            </a:ext>
          </a:extLst>
        </xdr:cNvPr>
        <xdr:cNvPicPr>
          <a:picLocks noChangeAspect="1" noChangeArrowheads="1"/>
        </xdr:cNvPicPr>
      </xdr:nvPicPr>
      <xdr:blipFill>
        <a:blip xmlns:r="http://schemas.openxmlformats.org/officeDocument/2006/relationships" r:embed="rId21" cstate="print">
          <a:extLst>
            <a:ext uri="{28A0092B-C50C-407E-A947-70E740481C1C}">
              <a14:useLocalDpi xmlns:a14="http://schemas.microsoft.com/office/drawing/2010/main" val="0"/>
            </a:ext>
          </a:extLst>
        </a:blip>
        <a:srcRect/>
        <a:stretch>
          <a:fillRect/>
        </a:stretch>
      </xdr:blipFill>
      <xdr:spPr bwMode="auto">
        <a:xfrm>
          <a:off x="36420138" y="710046"/>
          <a:ext cx="1905000" cy="189707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37</xdr:col>
      <xdr:colOff>475950</xdr:colOff>
      <xdr:row>7</xdr:row>
      <xdr:rowOff>176723</xdr:rowOff>
    </xdr:from>
    <xdr:to>
      <xdr:col>37</xdr:col>
      <xdr:colOff>601950</xdr:colOff>
      <xdr:row>7</xdr:row>
      <xdr:rowOff>183923</xdr:rowOff>
    </xdr:to>
    <mc:AlternateContent xmlns:mc="http://schemas.openxmlformats.org/markup-compatibility/2006" xmlns:xdr14="http://schemas.microsoft.com/office/excel/2010/spreadsheetDrawing">
      <mc:Choice Requires="xdr14">
        <xdr:contentPart xmlns:r="http://schemas.openxmlformats.org/officeDocument/2006/relationships" r:id="rId22">
          <xdr14:nvContentPartPr>
            <xdr14:cNvPr id="20" name="Encre 19">
              <a:extLst>
                <a:ext uri="{FF2B5EF4-FFF2-40B4-BE49-F238E27FC236}">
                  <a16:creationId xmlns:a16="http://schemas.microsoft.com/office/drawing/2014/main" id="{4B62F02E-2315-590E-2D5E-64192D13D096}"/>
                </a:ext>
              </a:extLst>
            </xdr14:cNvPr>
            <xdr14:cNvContentPartPr/>
          </xdr14:nvContentPartPr>
          <xdr14:nvPr macro=""/>
          <xdr14:xfrm>
            <a:off x="35555164" y="1632687"/>
            <a:ext cx="126000" cy="7200"/>
          </xdr14:xfrm>
        </xdr:contentPart>
      </mc:Choice>
      <mc:Fallback xmlns="">
        <xdr:pic>
          <xdr:nvPicPr>
            <xdr:cNvPr id="20" name="Encre 19">
              <a:extLst>
                <a:ext uri="{FF2B5EF4-FFF2-40B4-BE49-F238E27FC236}">
                  <a16:creationId xmlns:a16="http://schemas.microsoft.com/office/drawing/2014/main" id="{4B62F02E-2315-590E-2D5E-64192D13D096}"/>
                </a:ext>
              </a:extLst>
            </xdr:cNvPr>
            <xdr:cNvPicPr/>
          </xdr:nvPicPr>
          <xdr:blipFill>
            <a:blip xmlns:r="http://schemas.openxmlformats.org/officeDocument/2006/relationships" r:embed="rId23"/>
            <a:stretch>
              <a:fillRect/>
            </a:stretch>
          </xdr:blipFill>
          <xdr:spPr>
            <a:xfrm>
              <a:off x="35537524" y="1615047"/>
              <a:ext cx="161640" cy="42840"/>
            </a:xfrm>
            <a:prstGeom prst="rect">
              <a:avLst/>
            </a:prstGeom>
          </xdr:spPr>
        </xdr:pic>
      </mc:Fallback>
    </mc:AlternateContent>
    <xdr:clientData/>
  </xdr:twoCellAnchor>
  <xdr:twoCellAnchor editAs="oneCell">
    <xdr:from>
      <xdr:col>39</xdr:col>
      <xdr:colOff>632580</xdr:colOff>
      <xdr:row>7</xdr:row>
      <xdr:rowOff>20123</xdr:rowOff>
    </xdr:from>
    <xdr:to>
      <xdr:col>40</xdr:col>
      <xdr:colOff>171900</xdr:colOff>
      <xdr:row>7</xdr:row>
      <xdr:rowOff>23723</xdr:rowOff>
    </xdr:to>
    <mc:AlternateContent xmlns:mc="http://schemas.openxmlformats.org/markup-compatibility/2006" xmlns:xdr14="http://schemas.microsoft.com/office/excel/2010/spreadsheetDrawing">
      <mc:Choice Requires="xdr14">
        <xdr:contentPart xmlns:r="http://schemas.openxmlformats.org/officeDocument/2006/relationships" r:id="rId24">
          <xdr14:nvContentPartPr>
            <xdr14:cNvPr id="22" name="Encre 21">
              <a:extLst>
                <a:ext uri="{FF2B5EF4-FFF2-40B4-BE49-F238E27FC236}">
                  <a16:creationId xmlns:a16="http://schemas.microsoft.com/office/drawing/2014/main" id="{39498C7F-A906-B8C7-E999-6A48FBCF941B}"/>
                </a:ext>
              </a:extLst>
            </xdr14:cNvPr>
            <xdr14:cNvContentPartPr/>
          </xdr14:nvContentPartPr>
          <xdr14:nvPr macro=""/>
          <xdr14:xfrm>
            <a:off x="37331044" y="1476087"/>
            <a:ext cx="347040" cy="3600"/>
          </xdr14:xfrm>
        </xdr:contentPart>
      </mc:Choice>
      <mc:Fallback xmlns="">
        <xdr:pic>
          <xdr:nvPicPr>
            <xdr:cNvPr id="22" name="Encre 21">
              <a:extLst>
                <a:ext uri="{FF2B5EF4-FFF2-40B4-BE49-F238E27FC236}">
                  <a16:creationId xmlns:a16="http://schemas.microsoft.com/office/drawing/2014/main" id="{39498C7F-A906-B8C7-E999-6A48FBCF941B}"/>
                </a:ext>
              </a:extLst>
            </xdr:cNvPr>
            <xdr:cNvPicPr/>
          </xdr:nvPicPr>
          <xdr:blipFill>
            <a:blip xmlns:r="http://schemas.openxmlformats.org/officeDocument/2006/relationships" r:embed="rId25"/>
            <a:stretch>
              <a:fillRect/>
            </a:stretch>
          </xdr:blipFill>
          <xdr:spPr>
            <a:xfrm>
              <a:off x="37313404" y="1458447"/>
              <a:ext cx="382680" cy="39240"/>
            </a:xfrm>
            <a:prstGeom prst="rect">
              <a:avLst/>
            </a:prstGeom>
          </xdr:spPr>
        </xdr:pic>
      </mc:Fallback>
    </mc:AlternateContent>
    <xdr:clientData/>
  </xdr:twoCellAnchor>
  <xdr:twoCellAnchor editAs="oneCell">
    <xdr:from>
      <xdr:col>42</xdr:col>
      <xdr:colOff>152400</xdr:colOff>
      <xdr:row>58</xdr:row>
      <xdr:rowOff>152400</xdr:rowOff>
    </xdr:from>
    <xdr:to>
      <xdr:col>51</xdr:col>
      <xdr:colOff>35724</xdr:colOff>
      <xdr:row>80</xdr:row>
      <xdr:rowOff>67733</xdr:rowOff>
    </xdr:to>
    <xdr:pic>
      <xdr:nvPicPr>
        <xdr:cNvPr id="8" name="Image 7">
          <a:extLst>
            <a:ext uri="{FF2B5EF4-FFF2-40B4-BE49-F238E27FC236}">
              <a16:creationId xmlns:a16="http://schemas.microsoft.com/office/drawing/2014/main" id="{C7C0425D-E114-AFD0-BB86-7CB00E74B588}"/>
            </a:ext>
          </a:extLst>
        </xdr:cNvPr>
        <xdr:cNvPicPr>
          <a:picLocks noChangeAspect="1"/>
        </xdr:cNvPicPr>
      </xdr:nvPicPr>
      <xdr:blipFill>
        <a:blip xmlns:r="http://schemas.openxmlformats.org/officeDocument/2006/relationships" r:embed="rId26"/>
        <a:stretch>
          <a:fillRect/>
        </a:stretch>
      </xdr:blipFill>
      <xdr:spPr>
        <a:xfrm>
          <a:off x="39319200" y="11938000"/>
          <a:ext cx="7198524" cy="4385733"/>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12</xdr:col>
      <xdr:colOff>199159</xdr:colOff>
      <xdr:row>111</xdr:row>
      <xdr:rowOff>129886</xdr:rowOff>
    </xdr:from>
    <xdr:to>
      <xdr:col>21</xdr:col>
      <xdr:colOff>34113</xdr:colOff>
      <xdr:row>141</xdr:row>
      <xdr:rowOff>8699</xdr:rowOff>
    </xdr:to>
    <xdr:pic>
      <xdr:nvPicPr>
        <xdr:cNvPr id="3" name="Image 1">
          <a:extLst>
            <a:ext uri="{FF2B5EF4-FFF2-40B4-BE49-F238E27FC236}">
              <a16:creationId xmlns:a16="http://schemas.microsoft.com/office/drawing/2014/main" id="{24F388C7-11E1-ED09-90E3-03C153B32406}"/>
            </a:ext>
          </a:extLst>
        </xdr:cNvPr>
        <xdr:cNvPicPr>
          <a:picLocks noChangeAspect="1"/>
        </xdr:cNvPicPr>
      </xdr:nvPicPr>
      <xdr:blipFill>
        <a:blip xmlns:r="http://schemas.openxmlformats.org/officeDocument/2006/relationships" r:embed="rId1"/>
        <a:stretch>
          <a:fillRect/>
        </a:stretch>
      </xdr:blipFill>
      <xdr:spPr>
        <a:xfrm>
          <a:off x="10278341" y="22314477"/>
          <a:ext cx="7372404" cy="6343696"/>
        </a:xfrm>
        <a:prstGeom prst="rect">
          <a:avLst/>
        </a:prstGeom>
      </xdr:spPr>
    </xdr:pic>
    <xdr:clientData/>
  </xdr:twoCellAnchor>
  <xdr:oneCellAnchor>
    <xdr:from>
      <xdr:col>35</xdr:col>
      <xdr:colOff>435429</xdr:colOff>
      <xdr:row>60</xdr:row>
      <xdr:rowOff>108858</xdr:rowOff>
    </xdr:from>
    <xdr:ext cx="2160657" cy="1619022"/>
    <xdr:pic>
      <xdr:nvPicPr>
        <xdr:cNvPr id="2" name="Image 6">
          <a:extLst>
            <a:ext uri="{FF2B5EF4-FFF2-40B4-BE49-F238E27FC236}">
              <a16:creationId xmlns:a16="http://schemas.microsoft.com/office/drawing/2014/main" id="{D03B98C0-0332-1622-5BC2-6E0DCEDA5A20}"/>
            </a:ext>
          </a:extLst>
        </xdr:cNvPr>
        <xdr:cNvPicPr>
          <a:picLocks noChangeAspect="1"/>
        </xdr:cNvPicPr>
      </xdr:nvPicPr>
      <xdr:blipFill>
        <a:blip xmlns:r="http://schemas.openxmlformats.org/officeDocument/2006/relationships" r:embed="rId2"/>
        <a:stretch>
          <a:fillRect/>
        </a:stretch>
      </xdr:blipFill>
      <xdr:spPr>
        <a:xfrm>
          <a:off x="29645429" y="10837334"/>
          <a:ext cx="2124371" cy="1609950"/>
        </a:xfrm>
        <a:prstGeom prst="rect">
          <a:avLst/>
        </a:prstGeom>
      </xdr:spPr>
    </xdr:pic>
    <xdr:clientData/>
  </xdr:oneCellAnchor>
  <xdr:twoCellAnchor editAs="oneCell">
    <xdr:from>
      <xdr:col>35</xdr:col>
      <xdr:colOff>447040</xdr:colOff>
      <xdr:row>2</xdr:row>
      <xdr:rowOff>213361</xdr:rowOff>
    </xdr:from>
    <xdr:to>
      <xdr:col>39</xdr:col>
      <xdr:colOff>131445</xdr:colOff>
      <xdr:row>12</xdr:row>
      <xdr:rowOff>202453</xdr:rowOff>
    </xdr:to>
    <xdr:pic>
      <xdr:nvPicPr>
        <xdr:cNvPr id="11" name="Image 7">
          <a:extLst>
            <a:ext uri="{FF2B5EF4-FFF2-40B4-BE49-F238E27FC236}">
              <a16:creationId xmlns:a16="http://schemas.microsoft.com/office/drawing/2014/main" id="{21FF6B74-4A82-F285-28AC-2C540681F5A4}"/>
            </a:ext>
          </a:extLst>
        </xdr:cNvPr>
        <xdr:cNvPicPr>
          <a:picLocks noChangeAspect="1"/>
        </xdr:cNvPicPr>
      </xdr:nvPicPr>
      <xdr:blipFill>
        <a:blip xmlns:r="http://schemas.openxmlformats.org/officeDocument/2006/relationships" r:embed="rId3"/>
        <a:stretch>
          <a:fillRect/>
        </a:stretch>
      </xdr:blipFill>
      <xdr:spPr>
        <a:xfrm>
          <a:off x="29961840" y="619761"/>
          <a:ext cx="3027680" cy="2187582"/>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14</xdr:col>
      <xdr:colOff>71438</xdr:colOff>
      <xdr:row>0</xdr:row>
      <xdr:rowOff>0</xdr:rowOff>
    </xdr:from>
    <xdr:to>
      <xdr:col>22</xdr:col>
      <xdr:colOff>42912</xdr:colOff>
      <xdr:row>32</xdr:row>
      <xdr:rowOff>149593</xdr:rowOff>
    </xdr:to>
    <xdr:pic>
      <xdr:nvPicPr>
        <xdr:cNvPr id="3" name="Image 1">
          <a:extLst>
            <a:ext uri="{FF2B5EF4-FFF2-40B4-BE49-F238E27FC236}">
              <a16:creationId xmlns:a16="http://schemas.microsoft.com/office/drawing/2014/main" id="{74A954A9-70C6-ACAC-2EB1-8E989A753514}"/>
            </a:ext>
          </a:extLst>
        </xdr:cNvPr>
        <xdr:cNvPicPr>
          <a:picLocks noChangeAspect="1"/>
        </xdr:cNvPicPr>
      </xdr:nvPicPr>
      <xdr:blipFill>
        <a:blip xmlns:r="http://schemas.openxmlformats.org/officeDocument/2006/relationships" r:embed="rId1"/>
        <a:stretch>
          <a:fillRect/>
        </a:stretch>
      </xdr:blipFill>
      <xdr:spPr>
        <a:xfrm>
          <a:off x="11870533" y="0"/>
          <a:ext cx="6677074" cy="6900913"/>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oneCellAnchor>
    <xdr:from>
      <xdr:col>37</xdr:col>
      <xdr:colOff>416720</xdr:colOff>
      <xdr:row>13</xdr:row>
      <xdr:rowOff>142874</xdr:rowOff>
    </xdr:from>
    <xdr:ext cx="6540308" cy="5953125"/>
    <xdr:pic>
      <xdr:nvPicPr>
        <xdr:cNvPr id="11" name="Image 1">
          <a:extLst>
            <a:ext uri="{FF2B5EF4-FFF2-40B4-BE49-F238E27FC236}">
              <a16:creationId xmlns:a16="http://schemas.microsoft.com/office/drawing/2014/main" id="{0D9E4BEB-4A56-86CB-1AB6-08CA6D158EA6}"/>
            </a:ext>
          </a:extLst>
        </xdr:cNvPr>
        <xdr:cNvPicPr>
          <a:picLocks noChangeAspect="1"/>
        </xdr:cNvPicPr>
      </xdr:nvPicPr>
      <xdr:blipFill>
        <a:blip xmlns:r="http://schemas.openxmlformats.org/officeDocument/2006/relationships" r:embed="rId1"/>
        <a:stretch>
          <a:fillRect/>
        </a:stretch>
      </xdr:blipFill>
      <xdr:spPr>
        <a:xfrm>
          <a:off x="12084845" y="14632782"/>
          <a:ext cx="6502208" cy="5786437"/>
        </a:xfrm>
        <a:prstGeom prst="rect">
          <a:avLst/>
        </a:prstGeom>
      </xdr:spPr>
    </xdr:pic>
    <xdr:clientData/>
  </xdr:oneCellAnchor>
  <xdr:twoCellAnchor editAs="oneCell">
    <xdr:from>
      <xdr:col>62</xdr:col>
      <xdr:colOff>777328</xdr:colOff>
      <xdr:row>9</xdr:row>
      <xdr:rowOff>114957</xdr:rowOff>
    </xdr:from>
    <xdr:to>
      <xdr:col>69</xdr:col>
      <xdr:colOff>249392</xdr:colOff>
      <xdr:row>27</xdr:row>
      <xdr:rowOff>91940</xdr:rowOff>
    </xdr:to>
    <xdr:pic>
      <xdr:nvPicPr>
        <xdr:cNvPr id="4" name="Image 1">
          <a:extLst>
            <a:ext uri="{FF2B5EF4-FFF2-40B4-BE49-F238E27FC236}">
              <a16:creationId xmlns:a16="http://schemas.microsoft.com/office/drawing/2014/main" id="{35DB4FB8-BD4D-EB65-2C95-EFEE133EBF7C}"/>
            </a:ext>
          </a:extLst>
        </xdr:cNvPr>
        <xdr:cNvPicPr>
          <a:picLocks noChangeAspect="1"/>
        </xdr:cNvPicPr>
      </xdr:nvPicPr>
      <xdr:blipFill>
        <a:blip xmlns:r="http://schemas.openxmlformats.org/officeDocument/2006/relationships" r:embed="rId2"/>
        <a:stretch>
          <a:fillRect/>
        </a:stretch>
      </xdr:blipFill>
      <xdr:spPr>
        <a:xfrm>
          <a:off x="52705000" y="2063750"/>
          <a:ext cx="5339464" cy="3954623"/>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13</xdr:col>
      <xdr:colOff>595313</xdr:colOff>
      <xdr:row>3</xdr:row>
      <xdr:rowOff>83343</xdr:rowOff>
    </xdr:from>
    <xdr:to>
      <xdr:col>24</xdr:col>
      <xdr:colOff>107684</xdr:colOff>
      <xdr:row>27</xdr:row>
      <xdr:rowOff>54469</xdr:rowOff>
    </xdr:to>
    <xdr:pic>
      <xdr:nvPicPr>
        <xdr:cNvPr id="3" name="Image 1">
          <a:extLst>
            <a:ext uri="{FF2B5EF4-FFF2-40B4-BE49-F238E27FC236}">
              <a16:creationId xmlns:a16="http://schemas.microsoft.com/office/drawing/2014/main" id="{24C3E5C6-3C98-C8A7-7F4A-0DEA6FD83E27}"/>
            </a:ext>
          </a:extLst>
        </xdr:cNvPr>
        <xdr:cNvPicPr>
          <a:picLocks noChangeAspect="1"/>
        </xdr:cNvPicPr>
      </xdr:nvPicPr>
      <xdr:blipFill>
        <a:blip xmlns:r="http://schemas.openxmlformats.org/officeDocument/2006/relationships" r:embed="rId1"/>
        <a:stretch>
          <a:fillRect/>
        </a:stretch>
      </xdr:blipFill>
      <xdr:spPr>
        <a:xfrm>
          <a:off x="10584658" y="738188"/>
          <a:ext cx="6972351" cy="5124487"/>
        </a:xfrm>
        <a:prstGeom prst="rect">
          <a:avLst/>
        </a:prstGeom>
      </xdr:spPr>
    </xdr:pic>
    <xdr:clientData/>
  </xdr:twoCellAnchor>
  <xdr:twoCellAnchor editAs="oneCell">
    <xdr:from>
      <xdr:col>14</xdr:col>
      <xdr:colOff>214314</xdr:colOff>
      <xdr:row>45</xdr:row>
      <xdr:rowOff>95251</xdr:rowOff>
    </xdr:from>
    <xdr:to>
      <xdr:col>24</xdr:col>
      <xdr:colOff>404865</xdr:colOff>
      <xdr:row>68</xdr:row>
      <xdr:rowOff>181573</xdr:rowOff>
    </xdr:to>
    <xdr:pic>
      <xdr:nvPicPr>
        <xdr:cNvPr id="5" name="Image 2">
          <a:extLst>
            <a:ext uri="{FF2B5EF4-FFF2-40B4-BE49-F238E27FC236}">
              <a16:creationId xmlns:a16="http://schemas.microsoft.com/office/drawing/2014/main" id="{B2AC1106-0687-E3F4-D5EF-6F06A8A7D22A}"/>
            </a:ext>
          </a:extLst>
        </xdr:cNvPr>
        <xdr:cNvPicPr>
          <a:picLocks noChangeAspect="1"/>
        </xdr:cNvPicPr>
      </xdr:nvPicPr>
      <xdr:blipFill>
        <a:blip xmlns:r="http://schemas.openxmlformats.org/officeDocument/2006/relationships" r:embed="rId2"/>
        <a:stretch>
          <a:fillRect/>
        </a:stretch>
      </xdr:blipFill>
      <xdr:spPr>
        <a:xfrm>
          <a:off x="10882314" y="9644064"/>
          <a:ext cx="6972351" cy="5124487"/>
        </a:xfrm>
        <a:prstGeom prst="rect">
          <a:avLst/>
        </a:prstGeom>
      </xdr:spPr>
    </xdr:pic>
    <xdr:clientData/>
  </xdr:twoCellAnchor>
  <xdr:twoCellAnchor editAs="oneCell">
    <xdr:from>
      <xdr:col>13</xdr:col>
      <xdr:colOff>437030</xdr:colOff>
      <xdr:row>94</xdr:row>
      <xdr:rowOff>56030</xdr:rowOff>
    </xdr:from>
    <xdr:to>
      <xdr:col>23</xdr:col>
      <xdr:colOff>563483</xdr:colOff>
      <xdr:row>118</xdr:row>
      <xdr:rowOff>22674</xdr:rowOff>
    </xdr:to>
    <xdr:pic>
      <xdr:nvPicPr>
        <xdr:cNvPr id="2" name="Image 3">
          <a:extLst>
            <a:ext uri="{FF2B5EF4-FFF2-40B4-BE49-F238E27FC236}">
              <a16:creationId xmlns:a16="http://schemas.microsoft.com/office/drawing/2014/main" id="{4BAC7631-87F4-4FE2-D5A6-20A71BB462BC}"/>
            </a:ext>
          </a:extLst>
        </xdr:cNvPr>
        <xdr:cNvPicPr>
          <a:picLocks noChangeAspect="1"/>
        </xdr:cNvPicPr>
      </xdr:nvPicPr>
      <xdr:blipFill>
        <a:blip xmlns:r="http://schemas.openxmlformats.org/officeDocument/2006/relationships" r:embed="rId3"/>
        <a:stretch>
          <a:fillRect/>
        </a:stretch>
      </xdr:blipFill>
      <xdr:spPr>
        <a:xfrm>
          <a:off x="10365442" y="21223942"/>
          <a:ext cx="6908253" cy="5193964"/>
        </a:xfrm>
        <a:prstGeom prst="rect">
          <a:avLst/>
        </a:prstGeom>
      </xdr:spPr>
    </xdr:pic>
    <xdr:clientData/>
  </xdr:twoCellAnchor>
  <xdr:twoCellAnchor editAs="oneCell">
    <xdr:from>
      <xdr:col>13</xdr:col>
      <xdr:colOff>559594</xdr:colOff>
      <xdr:row>135</xdr:row>
      <xdr:rowOff>190500</xdr:rowOff>
    </xdr:from>
    <xdr:to>
      <xdr:col>24</xdr:col>
      <xdr:colOff>71965</xdr:colOff>
      <xdr:row>159</xdr:row>
      <xdr:rowOff>65255</xdr:rowOff>
    </xdr:to>
    <xdr:pic>
      <xdr:nvPicPr>
        <xdr:cNvPr id="9" name="Image 4">
          <a:extLst>
            <a:ext uri="{FF2B5EF4-FFF2-40B4-BE49-F238E27FC236}">
              <a16:creationId xmlns:a16="http://schemas.microsoft.com/office/drawing/2014/main" id="{1AE6DE8A-A85D-34AB-1670-E68F59DBDCE5}"/>
            </a:ext>
          </a:extLst>
        </xdr:cNvPr>
        <xdr:cNvPicPr>
          <a:picLocks noChangeAspect="1"/>
        </xdr:cNvPicPr>
      </xdr:nvPicPr>
      <xdr:blipFill>
        <a:blip xmlns:r="http://schemas.openxmlformats.org/officeDocument/2006/relationships" r:embed="rId4"/>
        <a:stretch>
          <a:fillRect/>
        </a:stretch>
      </xdr:blipFill>
      <xdr:spPr>
        <a:xfrm>
          <a:off x="10548939" y="28765500"/>
          <a:ext cx="6972351" cy="5124487"/>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32</xdr:col>
      <xdr:colOff>623455</xdr:colOff>
      <xdr:row>7</xdr:row>
      <xdr:rowOff>196272</xdr:rowOff>
    </xdr:from>
    <xdr:to>
      <xdr:col>42</xdr:col>
      <xdr:colOff>343743</xdr:colOff>
      <xdr:row>9</xdr:row>
      <xdr:rowOff>459009</xdr:rowOff>
    </xdr:to>
    <xdr:pic>
      <xdr:nvPicPr>
        <xdr:cNvPr id="2" name="Image 1">
          <a:extLst>
            <a:ext uri="{FF2B5EF4-FFF2-40B4-BE49-F238E27FC236}">
              <a16:creationId xmlns:a16="http://schemas.microsoft.com/office/drawing/2014/main" id="{8D536374-B377-8875-B557-3507A65D789E}"/>
            </a:ext>
          </a:extLst>
        </xdr:cNvPr>
        <xdr:cNvPicPr>
          <a:picLocks noChangeAspect="1"/>
        </xdr:cNvPicPr>
      </xdr:nvPicPr>
      <xdr:blipFill>
        <a:blip xmlns:r="http://schemas.openxmlformats.org/officeDocument/2006/relationships" r:embed="rId1"/>
        <a:stretch>
          <a:fillRect/>
        </a:stretch>
      </xdr:blipFill>
      <xdr:spPr>
        <a:xfrm>
          <a:off x="28286364" y="1570181"/>
          <a:ext cx="8148470" cy="648312"/>
        </a:xfrm>
        <a:prstGeom prst="rect">
          <a:avLst/>
        </a:prstGeom>
      </xdr:spPr>
    </xdr:pic>
    <xdr:clientData/>
  </xdr:twoCellAnchor>
  <xdr:twoCellAnchor editAs="oneCell">
    <xdr:from>
      <xdr:col>0</xdr:col>
      <xdr:colOff>350673</xdr:colOff>
      <xdr:row>28</xdr:row>
      <xdr:rowOff>91743</xdr:rowOff>
    </xdr:from>
    <xdr:to>
      <xdr:col>10</xdr:col>
      <xdr:colOff>22028</xdr:colOff>
      <xdr:row>39</xdr:row>
      <xdr:rowOff>88556</xdr:rowOff>
    </xdr:to>
    <xdr:pic>
      <xdr:nvPicPr>
        <xdr:cNvPr id="18" name="Image 2">
          <a:extLst>
            <a:ext uri="{FF2B5EF4-FFF2-40B4-BE49-F238E27FC236}">
              <a16:creationId xmlns:a16="http://schemas.microsoft.com/office/drawing/2014/main" id="{100F4A0D-082F-FDC3-4AC5-0832763A43B6}"/>
            </a:ext>
          </a:extLst>
        </xdr:cNvPr>
        <xdr:cNvPicPr>
          <a:picLocks noChangeAspect="1"/>
        </xdr:cNvPicPr>
      </xdr:nvPicPr>
      <xdr:blipFill>
        <a:blip xmlns:r="http://schemas.openxmlformats.org/officeDocument/2006/relationships" r:embed="rId2"/>
        <a:stretch>
          <a:fillRect/>
        </a:stretch>
      </xdr:blipFill>
      <xdr:spPr>
        <a:xfrm>
          <a:off x="350673" y="7295524"/>
          <a:ext cx="8053355" cy="2176133"/>
        </a:xfrm>
        <a:prstGeom prst="rect">
          <a:avLst/>
        </a:prstGeom>
      </xdr:spPr>
    </xdr:pic>
    <xdr:clientData/>
  </xdr:twoCellAnchor>
  <xdr:twoCellAnchor editAs="oneCell">
    <xdr:from>
      <xdr:col>29</xdr:col>
      <xdr:colOff>738188</xdr:colOff>
      <xdr:row>52</xdr:row>
      <xdr:rowOff>142875</xdr:rowOff>
    </xdr:from>
    <xdr:to>
      <xdr:col>39</xdr:col>
      <xdr:colOff>506676</xdr:colOff>
      <xdr:row>72</xdr:row>
      <xdr:rowOff>150335</xdr:rowOff>
    </xdr:to>
    <xdr:pic>
      <xdr:nvPicPr>
        <xdr:cNvPr id="4" name="Image 3">
          <a:extLst>
            <a:ext uri="{FF2B5EF4-FFF2-40B4-BE49-F238E27FC236}">
              <a16:creationId xmlns:a16="http://schemas.microsoft.com/office/drawing/2014/main" id="{1992A091-5B66-74C7-7320-CCDECD67CBEA}"/>
            </a:ext>
          </a:extLst>
        </xdr:cNvPr>
        <xdr:cNvPicPr>
          <a:picLocks noChangeAspect="1"/>
        </xdr:cNvPicPr>
      </xdr:nvPicPr>
      <xdr:blipFill>
        <a:blip xmlns:r="http://schemas.openxmlformats.org/officeDocument/2006/relationships" r:embed="rId3"/>
        <a:stretch>
          <a:fillRect/>
        </a:stretch>
      </xdr:blipFill>
      <xdr:spPr>
        <a:xfrm>
          <a:off x="26455688" y="11834813"/>
          <a:ext cx="8102863" cy="3817460"/>
        </a:xfrm>
        <a:prstGeom prst="rect">
          <a:avLst/>
        </a:prstGeom>
      </xdr:spPr>
    </xdr:pic>
    <xdr:clientData/>
  </xdr:twoCellAnchor>
  <xdr:twoCellAnchor editAs="oneCell">
    <xdr:from>
      <xdr:col>10</xdr:col>
      <xdr:colOff>478946</xdr:colOff>
      <xdr:row>54</xdr:row>
      <xdr:rowOff>147818</xdr:rowOff>
    </xdr:from>
    <xdr:to>
      <xdr:col>18</xdr:col>
      <xdr:colOff>184</xdr:colOff>
      <xdr:row>74</xdr:row>
      <xdr:rowOff>133441</xdr:rowOff>
    </xdr:to>
    <xdr:pic>
      <xdr:nvPicPr>
        <xdr:cNvPr id="5" name="Image 4">
          <a:extLst>
            <a:ext uri="{FF2B5EF4-FFF2-40B4-BE49-F238E27FC236}">
              <a16:creationId xmlns:a16="http://schemas.microsoft.com/office/drawing/2014/main" id="{83489F2C-CF81-DF34-0A09-8784B6967C33}"/>
            </a:ext>
          </a:extLst>
        </xdr:cNvPr>
        <xdr:cNvPicPr>
          <a:picLocks noChangeAspect="1"/>
        </xdr:cNvPicPr>
      </xdr:nvPicPr>
      <xdr:blipFill>
        <a:blip xmlns:r="http://schemas.openxmlformats.org/officeDocument/2006/relationships" r:embed="rId4"/>
        <a:stretch>
          <a:fillRect/>
        </a:stretch>
      </xdr:blipFill>
      <xdr:spPr>
        <a:xfrm>
          <a:off x="8813321" y="12220756"/>
          <a:ext cx="7736551" cy="3795623"/>
        </a:xfrm>
        <a:prstGeom prst="rect">
          <a:avLst/>
        </a:prstGeom>
      </xdr:spPr>
    </xdr:pic>
    <xdr:clientData/>
  </xdr:twoCellAnchor>
  <xdr:twoCellAnchor editAs="oneCell">
    <xdr:from>
      <xdr:col>0</xdr:col>
      <xdr:colOff>128145</xdr:colOff>
      <xdr:row>64</xdr:row>
      <xdr:rowOff>15002</xdr:rowOff>
    </xdr:from>
    <xdr:to>
      <xdr:col>9</xdr:col>
      <xdr:colOff>724444</xdr:colOff>
      <xdr:row>95</xdr:row>
      <xdr:rowOff>122740</xdr:rowOff>
    </xdr:to>
    <xdr:pic>
      <xdr:nvPicPr>
        <xdr:cNvPr id="6" name="Image 5">
          <a:extLst>
            <a:ext uri="{FF2B5EF4-FFF2-40B4-BE49-F238E27FC236}">
              <a16:creationId xmlns:a16="http://schemas.microsoft.com/office/drawing/2014/main" id="{32010356-0CDB-5C69-EB5D-F8D54663F576}"/>
            </a:ext>
          </a:extLst>
        </xdr:cNvPr>
        <xdr:cNvPicPr>
          <a:picLocks noChangeAspect="1"/>
        </xdr:cNvPicPr>
      </xdr:nvPicPr>
      <xdr:blipFill>
        <a:blip xmlns:r="http://schemas.openxmlformats.org/officeDocument/2006/relationships" r:embed="rId5"/>
        <a:stretch>
          <a:fillRect/>
        </a:stretch>
      </xdr:blipFill>
      <xdr:spPr>
        <a:xfrm>
          <a:off x="128145" y="14426741"/>
          <a:ext cx="8050647" cy="6269999"/>
        </a:xfrm>
        <a:prstGeom prst="rect">
          <a:avLst/>
        </a:prstGeom>
      </xdr:spPr>
    </xdr:pic>
    <xdr:clientData/>
  </xdr:twoCellAnchor>
  <xdr:twoCellAnchor editAs="oneCell">
    <xdr:from>
      <xdr:col>17</xdr:col>
      <xdr:colOff>690562</xdr:colOff>
      <xdr:row>54</xdr:row>
      <xdr:rowOff>166688</xdr:rowOff>
    </xdr:from>
    <xdr:to>
      <xdr:col>29</xdr:col>
      <xdr:colOff>796756</xdr:colOff>
      <xdr:row>71</xdr:row>
      <xdr:rowOff>178583</xdr:rowOff>
    </xdr:to>
    <xdr:pic>
      <xdr:nvPicPr>
        <xdr:cNvPr id="8" name="Image 6">
          <a:extLst>
            <a:ext uri="{FF2B5EF4-FFF2-40B4-BE49-F238E27FC236}">
              <a16:creationId xmlns:a16="http://schemas.microsoft.com/office/drawing/2014/main" id="{6DB8571F-D21C-2430-E08C-90DE8B21DB32}"/>
            </a:ext>
          </a:extLst>
        </xdr:cNvPr>
        <xdr:cNvPicPr>
          <a:picLocks noChangeAspect="1"/>
        </xdr:cNvPicPr>
      </xdr:nvPicPr>
      <xdr:blipFill>
        <a:blip xmlns:r="http://schemas.openxmlformats.org/officeDocument/2006/relationships" r:embed="rId6"/>
        <a:stretch>
          <a:fillRect/>
        </a:stretch>
      </xdr:blipFill>
      <xdr:spPr>
        <a:xfrm>
          <a:off x="16406812" y="12239626"/>
          <a:ext cx="10107444" cy="3250395"/>
        </a:xfrm>
        <a:prstGeom prst="rect">
          <a:avLst/>
        </a:prstGeom>
      </xdr:spPr>
    </xdr:pic>
    <xdr:clientData/>
  </xdr:twoCellAnchor>
  <xdr:twoCellAnchor editAs="oneCell">
    <xdr:from>
      <xdr:col>10</xdr:col>
      <xdr:colOff>231570</xdr:colOff>
      <xdr:row>34</xdr:row>
      <xdr:rowOff>7219</xdr:rowOff>
    </xdr:from>
    <xdr:to>
      <xdr:col>16</xdr:col>
      <xdr:colOff>201858</xdr:colOff>
      <xdr:row>50</xdr:row>
      <xdr:rowOff>124588</xdr:rowOff>
    </xdr:to>
    <xdr:pic>
      <xdr:nvPicPr>
        <xdr:cNvPr id="19" name="Image 6">
          <a:extLst>
            <a:ext uri="{FF2B5EF4-FFF2-40B4-BE49-F238E27FC236}">
              <a16:creationId xmlns:a16="http://schemas.microsoft.com/office/drawing/2014/main" id="{31E9CF84-C052-60C0-C2F9-9FF01A0D8318}"/>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8619974" y="8402026"/>
          <a:ext cx="6538728" cy="32872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16</xdr:col>
      <xdr:colOff>142875</xdr:colOff>
      <xdr:row>29</xdr:row>
      <xdr:rowOff>166687</xdr:rowOff>
    </xdr:from>
    <xdr:to>
      <xdr:col>27</xdr:col>
      <xdr:colOff>63188</xdr:colOff>
      <xdr:row>54</xdr:row>
      <xdr:rowOff>51156</xdr:rowOff>
    </xdr:to>
    <xdr:pic>
      <xdr:nvPicPr>
        <xdr:cNvPr id="9" name="Image 8">
          <a:extLst>
            <a:ext uri="{FF2B5EF4-FFF2-40B4-BE49-F238E27FC236}">
              <a16:creationId xmlns:a16="http://schemas.microsoft.com/office/drawing/2014/main" id="{608B8707-7C12-5958-6E96-A4F6E48946A7}"/>
            </a:ext>
          </a:extLst>
        </xdr:cNvPr>
        <xdr:cNvPicPr>
          <a:picLocks noChangeAspect="1"/>
        </xdr:cNvPicPr>
      </xdr:nvPicPr>
      <xdr:blipFill>
        <a:blip xmlns:r="http://schemas.openxmlformats.org/officeDocument/2006/relationships" r:embed="rId8"/>
        <a:stretch>
          <a:fillRect/>
        </a:stretch>
      </xdr:blipFill>
      <xdr:spPr>
        <a:xfrm>
          <a:off x="15025688" y="7477125"/>
          <a:ext cx="9088125" cy="4646969"/>
        </a:xfrm>
        <a:prstGeom prst="rect">
          <a:avLst/>
        </a:prstGeom>
      </xdr:spPr>
    </xdr:pic>
    <xdr:clientData/>
  </xdr:twoCellAnchor>
  <xdr:twoCellAnchor editAs="oneCell">
    <xdr:from>
      <xdr:col>0</xdr:col>
      <xdr:colOff>0</xdr:colOff>
      <xdr:row>39</xdr:row>
      <xdr:rowOff>95250</xdr:rowOff>
    </xdr:from>
    <xdr:to>
      <xdr:col>10</xdr:col>
      <xdr:colOff>191696</xdr:colOff>
      <xdr:row>62</xdr:row>
      <xdr:rowOff>168286</xdr:rowOff>
    </xdr:to>
    <xdr:pic>
      <xdr:nvPicPr>
        <xdr:cNvPr id="10" name="Image 9">
          <a:extLst>
            <a:ext uri="{FF2B5EF4-FFF2-40B4-BE49-F238E27FC236}">
              <a16:creationId xmlns:a16="http://schemas.microsoft.com/office/drawing/2014/main" id="{D95AF6FA-CCD6-CB58-7C65-B9BEC1FECE51}"/>
            </a:ext>
          </a:extLst>
        </xdr:cNvPr>
        <xdr:cNvPicPr>
          <a:picLocks noChangeAspect="1"/>
        </xdr:cNvPicPr>
      </xdr:nvPicPr>
      <xdr:blipFill>
        <a:blip xmlns:r="http://schemas.openxmlformats.org/officeDocument/2006/relationships" r:embed="rId9"/>
        <a:stretch>
          <a:fillRect/>
        </a:stretch>
      </xdr:blipFill>
      <xdr:spPr>
        <a:xfrm>
          <a:off x="0" y="9310688"/>
          <a:ext cx="8526071" cy="4454536"/>
        </a:xfrm>
        <a:prstGeom prst="rect">
          <a:avLst/>
        </a:prstGeom>
      </xdr:spPr>
    </xdr:pic>
    <xdr:clientData/>
  </xdr:twoCellAnchor>
  <xdr:twoCellAnchor editAs="oneCell">
    <xdr:from>
      <xdr:col>25</xdr:col>
      <xdr:colOff>642938</xdr:colOff>
      <xdr:row>29</xdr:row>
      <xdr:rowOff>95250</xdr:rowOff>
    </xdr:from>
    <xdr:to>
      <xdr:col>35</xdr:col>
      <xdr:colOff>372607</xdr:colOff>
      <xdr:row>43</xdr:row>
      <xdr:rowOff>112785</xdr:rowOff>
    </xdr:to>
    <xdr:pic>
      <xdr:nvPicPr>
        <xdr:cNvPr id="11" name="Image 10">
          <a:extLst>
            <a:ext uri="{FF2B5EF4-FFF2-40B4-BE49-F238E27FC236}">
              <a16:creationId xmlns:a16="http://schemas.microsoft.com/office/drawing/2014/main" id="{EE8947B2-01AD-7FED-F468-769637E46203}"/>
            </a:ext>
          </a:extLst>
        </xdr:cNvPr>
        <xdr:cNvPicPr>
          <a:picLocks noChangeAspect="1"/>
        </xdr:cNvPicPr>
      </xdr:nvPicPr>
      <xdr:blipFill>
        <a:blip xmlns:r="http://schemas.openxmlformats.org/officeDocument/2006/relationships" r:embed="rId10"/>
        <a:stretch>
          <a:fillRect/>
        </a:stretch>
      </xdr:blipFill>
      <xdr:spPr>
        <a:xfrm>
          <a:off x="23026688" y="7405688"/>
          <a:ext cx="8064044" cy="2684535"/>
        </a:xfrm>
        <a:prstGeom prst="rect">
          <a:avLst/>
        </a:prstGeom>
      </xdr:spPr>
    </xdr:pic>
    <xdr:clientData/>
  </xdr:twoCellAnchor>
  <xdr:twoCellAnchor editAs="oneCell">
    <xdr:from>
      <xdr:col>21</xdr:col>
      <xdr:colOff>423266</xdr:colOff>
      <xdr:row>44</xdr:row>
      <xdr:rowOff>115890</xdr:rowOff>
    </xdr:from>
    <xdr:to>
      <xdr:col>21</xdr:col>
      <xdr:colOff>776066</xdr:colOff>
      <xdr:row>44</xdr:row>
      <xdr:rowOff>127050</xdr:rowOff>
    </xdr:to>
    <mc:AlternateContent xmlns:mc="http://schemas.openxmlformats.org/markup-compatibility/2006" xmlns:xdr14="http://schemas.microsoft.com/office/excel/2010/spreadsheetDrawing">
      <mc:Choice Requires="xdr14">
        <xdr:contentPart xmlns:r="http://schemas.openxmlformats.org/officeDocument/2006/relationships" r:id="rId11">
          <xdr14:nvContentPartPr>
            <xdr14:cNvPr id="12" name="Encre 11">
              <a:extLst>
                <a:ext uri="{FF2B5EF4-FFF2-40B4-BE49-F238E27FC236}">
                  <a16:creationId xmlns:a16="http://schemas.microsoft.com/office/drawing/2014/main" id="{5A20B40B-A04F-BDBF-75AF-2A38044B6419}"/>
                </a:ext>
              </a:extLst>
            </xdr14:cNvPr>
            <xdr14:cNvContentPartPr/>
          </xdr14:nvContentPartPr>
          <xdr14:nvPr macro=""/>
          <xdr14:xfrm>
            <a:off x="19526183" y="10593390"/>
            <a:ext cx="352800" cy="11160"/>
          </xdr14:xfrm>
        </xdr:contentPart>
      </mc:Choice>
      <mc:Fallback xmlns="">
        <xdr:pic>
          <xdr:nvPicPr>
            <xdr:cNvPr id="12" name="Encre 11">
              <a:extLst>
                <a:ext uri="{FF2B5EF4-FFF2-40B4-BE49-F238E27FC236}">
                  <a16:creationId xmlns:a16="http://schemas.microsoft.com/office/drawing/2014/main" id="{5A20B40B-A04F-BDBF-75AF-2A38044B6419}"/>
                </a:ext>
              </a:extLst>
            </xdr:cNvPr>
            <xdr:cNvPicPr/>
          </xdr:nvPicPr>
          <xdr:blipFill>
            <a:blip xmlns:r="http://schemas.openxmlformats.org/officeDocument/2006/relationships" r:embed="rId12"/>
            <a:stretch>
              <a:fillRect/>
            </a:stretch>
          </xdr:blipFill>
          <xdr:spPr>
            <a:xfrm>
              <a:off x="19472543" y="10485750"/>
              <a:ext cx="460440" cy="226800"/>
            </a:xfrm>
            <a:prstGeom prst="rect">
              <a:avLst/>
            </a:prstGeom>
          </xdr:spPr>
        </xdr:pic>
      </mc:Fallback>
    </mc:AlternateContent>
    <xdr:clientData/>
  </xdr:twoCellAnchor>
  <xdr:twoCellAnchor editAs="oneCell">
    <xdr:from>
      <xdr:col>16</xdr:col>
      <xdr:colOff>772203</xdr:colOff>
      <xdr:row>49</xdr:row>
      <xdr:rowOff>41793</xdr:rowOff>
    </xdr:from>
    <xdr:to>
      <xdr:col>18</xdr:col>
      <xdr:colOff>46476</xdr:colOff>
      <xdr:row>49</xdr:row>
      <xdr:rowOff>63753</xdr:rowOff>
    </xdr:to>
    <mc:AlternateContent xmlns:mc="http://schemas.openxmlformats.org/markup-compatibility/2006" xmlns:xdr14="http://schemas.microsoft.com/office/excel/2010/spreadsheetDrawing">
      <mc:Choice Requires="xdr14">
        <xdr:contentPart xmlns:r="http://schemas.openxmlformats.org/officeDocument/2006/relationships" r:id="rId13">
          <xdr14:nvContentPartPr>
            <xdr14:cNvPr id="13" name="Encre 12">
              <a:extLst>
                <a:ext uri="{FF2B5EF4-FFF2-40B4-BE49-F238E27FC236}">
                  <a16:creationId xmlns:a16="http://schemas.microsoft.com/office/drawing/2014/main" id="{46D2CE77-9F46-3E27-63DD-F02F7E1B48CC}"/>
                </a:ext>
              </a:extLst>
            </xdr14:cNvPr>
            <xdr14:cNvContentPartPr/>
          </xdr14:nvContentPartPr>
          <xdr14:nvPr macro=""/>
          <xdr14:xfrm>
            <a:off x="15694703" y="11524710"/>
            <a:ext cx="946440" cy="21960"/>
          </xdr14:xfrm>
        </xdr:contentPart>
      </mc:Choice>
      <mc:Fallback xmlns="">
        <xdr:pic>
          <xdr:nvPicPr>
            <xdr:cNvPr id="13" name="Encre 12">
              <a:extLst>
                <a:ext uri="{FF2B5EF4-FFF2-40B4-BE49-F238E27FC236}">
                  <a16:creationId xmlns:a16="http://schemas.microsoft.com/office/drawing/2014/main" id="{46D2CE77-9F46-3E27-63DD-F02F7E1B48CC}"/>
                </a:ext>
              </a:extLst>
            </xdr:cNvPr>
            <xdr:cNvPicPr/>
          </xdr:nvPicPr>
          <xdr:blipFill>
            <a:blip xmlns:r="http://schemas.openxmlformats.org/officeDocument/2006/relationships" r:embed="rId14"/>
            <a:stretch>
              <a:fillRect/>
            </a:stretch>
          </xdr:blipFill>
          <xdr:spPr>
            <a:xfrm>
              <a:off x="15641063" y="11416710"/>
              <a:ext cx="1054080" cy="237600"/>
            </a:xfrm>
            <a:prstGeom prst="rect">
              <a:avLst/>
            </a:prstGeom>
          </xdr:spPr>
        </xdr:pic>
      </mc:Fallback>
    </mc:AlternateContent>
    <xdr:clientData/>
  </xdr:twoCellAnchor>
  <xdr:twoCellAnchor editAs="oneCell">
    <xdr:from>
      <xdr:col>16</xdr:col>
      <xdr:colOff>793803</xdr:colOff>
      <xdr:row>50</xdr:row>
      <xdr:rowOff>21070</xdr:rowOff>
    </xdr:from>
    <xdr:to>
      <xdr:col>17</xdr:col>
      <xdr:colOff>533720</xdr:colOff>
      <xdr:row>50</xdr:row>
      <xdr:rowOff>32230</xdr:rowOff>
    </xdr:to>
    <mc:AlternateContent xmlns:mc="http://schemas.openxmlformats.org/markup-compatibility/2006" xmlns:xdr14="http://schemas.microsoft.com/office/excel/2010/spreadsheetDrawing">
      <mc:Choice Requires="xdr14">
        <xdr:contentPart xmlns:r="http://schemas.openxmlformats.org/officeDocument/2006/relationships" r:id="rId15">
          <xdr14:nvContentPartPr>
            <xdr14:cNvPr id="14" name="Encre 13">
              <a:extLst>
                <a:ext uri="{FF2B5EF4-FFF2-40B4-BE49-F238E27FC236}">
                  <a16:creationId xmlns:a16="http://schemas.microsoft.com/office/drawing/2014/main" id="{39E0F665-23C0-5DD2-C9D9-DFB26056014F}"/>
                </a:ext>
              </a:extLst>
            </xdr14:cNvPr>
            <xdr14:cNvContentPartPr/>
          </xdr14:nvContentPartPr>
          <xdr14:nvPr macro=""/>
          <xdr14:xfrm>
            <a:off x="15716303" y="11705070"/>
            <a:ext cx="576000" cy="11160"/>
          </xdr14:xfrm>
        </xdr:contentPart>
      </mc:Choice>
      <mc:Fallback xmlns="">
        <xdr:pic>
          <xdr:nvPicPr>
            <xdr:cNvPr id="14" name="Encre 13">
              <a:extLst>
                <a:ext uri="{FF2B5EF4-FFF2-40B4-BE49-F238E27FC236}">
                  <a16:creationId xmlns:a16="http://schemas.microsoft.com/office/drawing/2014/main" id="{39E0F665-23C0-5DD2-C9D9-DFB26056014F}"/>
                </a:ext>
              </a:extLst>
            </xdr:cNvPr>
            <xdr:cNvPicPr/>
          </xdr:nvPicPr>
          <xdr:blipFill>
            <a:blip xmlns:r="http://schemas.openxmlformats.org/officeDocument/2006/relationships" r:embed="rId16"/>
            <a:stretch>
              <a:fillRect/>
            </a:stretch>
          </xdr:blipFill>
          <xdr:spPr>
            <a:xfrm>
              <a:off x="15662663" y="11597430"/>
              <a:ext cx="683640" cy="226800"/>
            </a:xfrm>
            <a:prstGeom prst="rect">
              <a:avLst/>
            </a:prstGeom>
          </xdr:spPr>
        </xdr:pic>
      </mc:Fallback>
    </mc:AlternateContent>
    <xdr:clientData/>
  </xdr:twoCellAnchor>
  <xdr:twoCellAnchor editAs="oneCell">
    <xdr:from>
      <xdr:col>28</xdr:col>
      <xdr:colOff>370077</xdr:colOff>
      <xdr:row>39</xdr:row>
      <xdr:rowOff>63627</xdr:rowOff>
    </xdr:from>
    <xdr:to>
      <xdr:col>29</xdr:col>
      <xdr:colOff>370634</xdr:colOff>
      <xdr:row>39</xdr:row>
      <xdr:rowOff>63987</xdr:rowOff>
    </xdr:to>
    <mc:AlternateContent xmlns:mc="http://schemas.openxmlformats.org/markup-compatibility/2006" xmlns:xdr14="http://schemas.microsoft.com/office/excel/2010/spreadsheetDrawing">
      <mc:Choice Requires="xdr14">
        <xdr:contentPart xmlns:r="http://schemas.openxmlformats.org/officeDocument/2006/relationships" r:id="rId17">
          <xdr14:nvContentPartPr>
            <xdr14:cNvPr id="15" name="Encre 14">
              <a:extLst>
                <a:ext uri="{FF2B5EF4-FFF2-40B4-BE49-F238E27FC236}">
                  <a16:creationId xmlns:a16="http://schemas.microsoft.com/office/drawing/2014/main" id="{3057745F-774E-A490-8E37-3691931EE17E}"/>
                </a:ext>
              </a:extLst>
            </xdr14:cNvPr>
            <xdr14:cNvContentPartPr/>
          </xdr14:nvContentPartPr>
          <xdr14:nvPr macro=""/>
          <xdr14:xfrm>
            <a:off x="25325577" y="9535710"/>
            <a:ext cx="836640" cy="360"/>
          </xdr14:xfrm>
        </xdr:contentPart>
      </mc:Choice>
      <mc:Fallback xmlns="">
        <xdr:pic>
          <xdr:nvPicPr>
            <xdr:cNvPr id="15" name="Encre 14">
              <a:extLst>
                <a:ext uri="{FF2B5EF4-FFF2-40B4-BE49-F238E27FC236}">
                  <a16:creationId xmlns:a16="http://schemas.microsoft.com/office/drawing/2014/main" id="{3057745F-774E-A490-8E37-3691931EE17E}"/>
                </a:ext>
              </a:extLst>
            </xdr:cNvPr>
            <xdr:cNvPicPr/>
          </xdr:nvPicPr>
          <xdr:blipFill>
            <a:blip xmlns:r="http://schemas.openxmlformats.org/officeDocument/2006/relationships" r:embed="rId18"/>
            <a:stretch>
              <a:fillRect/>
            </a:stretch>
          </xdr:blipFill>
          <xdr:spPr>
            <a:xfrm>
              <a:off x="25271937" y="9427710"/>
              <a:ext cx="944280" cy="216000"/>
            </a:xfrm>
            <a:prstGeom prst="rect">
              <a:avLst/>
            </a:prstGeom>
          </xdr:spPr>
        </xdr:pic>
      </mc:Fallback>
    </mc:AlternateContent>
    <xdr:clientData/>
  </xdr:twoCellAnchor>
  <xdr:twoCellAnchor editAs="oneCell">
    <xdr:from>
      <xdr:col>32</xdr:col>
      <xdr:colOff>518464</xdr:colOff>
      <xdr:row>39</xdr:row>
      <xdr:rowOff>7467</xdr:rowOff>
    </xdr:from>
    <xdr:to>
      <xdr:col>33</xdr:col>
      <xdr:colOff>117620</xdr:colOff>
      <xdr:row>39</xdr:row>
      <xdr:rowOff>74427</xdr:rowOff>
    </xdr:to>
    <mc:AlternateContent xmlns:mc="http://schemas.openxmlformats.org/markup-compatibility/2006" xmlns:xdr14="http://schemas.microsoft.com/office/excel/2010/spreadsheetDrawing">
      <mc:Choice Requires="xdr14">
        <xdr:contentPart xmlns:r="http://schemas.openxmlformats.org/officeDocument/2006/relationships" r:id="rId19">
          <xdr14:nvContentPartPr>
            <xdr14:cNvPr id="16" name="Encre 15">
              <a:extLst>
                <a:ext uri="{FF2B5EF4-FFF2-40B4-BE49-F238E27FC236}">
                  <a16:creationId xmlns:a16="http://schemas.microsoft.com/office/drawing/2014/main" id="{8B72E5D6-F6C5-DB29-EF50-D8BDFC11E72E}"/>
                </a:ext>
              </a:extLst>
            </xdr14:cNvPr>
            <xdr14:cNvContentPartPr/>
          </xdr14:nvContentPartPr>
          <xdr14:nvPr macro=""/>
          <xdr14:xfrm>
            <a:off x="28818297" y="9479550"/>
            <a:ext cx="435240" cy="66960"/>
          </xdr14:xfrm>
        </xdr:contentPart>
      </mc:Choice>
      <mc:Fallback xmlns="">
        <xdr:pic>
          <xdr:nvPicPr>
            <xdr:cNvPr id="16" name="Encre 15">
              <a:extLst>
                <a:ext uri="{FF2B5EF4-FFF2-40B4-BE49-F238E27FC236}">
                  <a16:creationId xmlns:a16="http://schemas.microsoft.com/office/drawing/2014/main" id="{8B72E5D6-F6C5-DB29-EF50-D8BDFC11E72E}"/>
                </a:ext>
              </a:extLst>
            </xdr:cNvPr>
            <xdr:cNvPicPr/>
          </xdr:nvPicPr>
          <xdr:blipFill>
            <a:blip xmlns:r="http://schemas.openxmlformats.org/officeDocument/2006/relationships" r:embed="rId20"/>
            <a:stretch>
              <a:fillRect/>
            </a:stretch>
          </xdr:blipFill>
          <xdr:spPr>
            <a:xfrm>
              <a:off x="28764297" y="9371910"/>
              <a:ext cx="542880" cy="282600"/>
            </a:xfrm>
            <a:prstGeom prst="rect">
              <a:avLst/>
            </a:prstGeom>
          </xdr:spPr>
        </xdr:pic>
      </mc:Fallback>
    </mc:AlternateContent>
    <xdr:clientData/>
  </xdr:twoCellAnchor>
</xdr:wsDr>
</file>

<file path=xl/drawings/drawing8.xml><?xml version="1.0" encoding="utf-8"?>
<xdr:wsDr xmlns:xdr="http://schemas.openxmlformats.org/drawingml/2006/spreadsheetDrawing" xmlns:a="http://schemas.openxmlformats.org/drawingml/2006/main">
  <xdr:twoCellAnchor editAs="oneCell">
    <xdr:from>
      <xdr:col>9</xdr:col>
      <xdr:colOff>789584</xdr:colOff>
      <xdr:row>2</xdr:row>
      <xdr:rowOff>149496</xdr:rowOff>
    </xdr:from>
    <xdr:to>
      <xdr:col>18</xdr:col>
      <xdr:colOff>200393</xdr:colOff>
      <xdr:row>30</xdr:row>
      <xdr:rowOff>148580</xdr:rowOff>
    </xdr:to>
    <xdr:pic>
      <xdr:nvPicPr>
        <xdr:cNvPr id="2" name="Image 1">
          <a:extLst>
            <a:ext uri="{FF2B5EF4-FFF2-40B4-BE49-F238E27FC236}">
              <a16:creationId xmlns:a16="http://schemas.microsoft.com/office/drawing/2014/main" id="{9F0B4A91-AE7C-E901-6722-F35A47C668AF}"/>
            </a:ext>
          </a:extLst>
        </xdr:cNvPr>
        <xdr:cNvPicPr>
          <a:picLocks noChangeAspect="1"/>
        </xdr:cNvPicPr>
      </xdr:nvPicPr>
      <xdr:blipFill>
        <a:blip xmlns:r="http://schemas.openxmlformats.org/officeDocument/2006/relationships" r:embed="rId1"/>
        <a:stretch>
          <a:fillRect/>
        </a:stretch>
      </xdr:blipFill>
      <xdr:spPr>
        <a:xfrm>
          <a:off x="8522854" y="540793"/>
          <a:ext cx="6917539" cy="5477246"/>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789292</xdr:colOff>
      <xdr:row>23</xdr:row>
      <xdr:rowOff>19805</xdr:rowOff>
    </xdr:from>
    <xdr:to>
      <xdr:col>6</xdr:col>
      <xdr:colOff>287061</xdr:colOff>
      <xdr:row>37</xdr:row>
      <xdr:rowOff>129847</xdr:rowOff>
    </xdr:to>
    <xdr:pic>
      <xdr:nvPicPr>
        <xdr:cNvPr id="14" name="Image 1">
          <a:extLst>
            <a:ext uri="{FF2B5EF4-FFF2-40B4-BE49-F238E27FC236}">
              <a16:creationId xmlns:a16="http://schemas.microsoft.com/office/drawing/2014/main" id="{9AD1FBD2-42E1-ACA6-EF5A-86F9A7D7811D}"/>
            </a:ext>
          </a:extLst>
        </xdr:cNvPr>
        <xdr:cNvPicPr>
          <a:picLocks noChangeAspect="1"/>
        </xdr:cNvPicPr>
      </xdr:nvPicPr>
      <xdr:blipFill>
        <a:blip xmlns:r="http://schemas.openxmlformats.org/officeDocument/2006/relationships" r:embed="rId1"/>
        <a:stretch>
          <a:fillRect/>
        </a:stretch>
      </xdr:blipFill>
      <xdr:spPr>
        <a:xfrm>
          <a:off x="789292" y="4748528"/>
          <a:ext cx="4618409" cy="2883722"/>
        </a:xfrm>
        <a:prstGeom prst="rect">
          <a:avLst/>
        </a:prstGeom>
      </xdr:spPr>
    </xdr:pic>
    <xdr:clientData/>
  </xdr:twoCellAnchor>
  <xdr:twoCellAnchor editAs="oneCell">
    <xdr:from>
      <xdr:col>6</xdr:col>
      <xdr:colOff>222439</xdr:colOff>
      <xdr:row>22</xdr:row>
      <xdr:rowOff>135038</xdr:rowOff>
    </xdr:from>
    <xdr:to>
      <xdr:col>12</xdr:col>
      <xdr:colOff>830259</xdr:colOff>
      <xdr:row>33</xdr:row>
      <xdr:rowOff>9125</xdr:rowOff>
    </xdr:to>
    <xdr:pic>
      <xdr:nvPicPr>
        <xdr:cNvPr id="16" name="Image 2">
          <a:extLst>
            <a:ext uri="{FF2B5EF4-FFF2-40B4-BE49-F238E27FC236}">
              <a16:creationId xmlns:a16="http://schemas.microsoft.com/office/drawing/2014/main" id="{97DB6DBA-D159-1F5B-1353-5DB832B5F74A}"/>
            </a:ext>
          </a:extLst>
        </xdr:cNvPr>
        <xdr:cNvPicPr>
          <a:picLocks noChangeAspect="1"/>
        </xdr:cNvPicPr>
      </xdr:nvPicPr>
      <xdr:blipFill>
        <a:blip xmlns:r="http://schemas.openxmlformats.org/officeDocument/2006/relationships" r:embed="rId2"/>
        <a:stretch>
          <a:fillRect/>
        </a:stretch>
      </xdr:blipFill>
      <xdr:spPr>
        <a:xfrm>
          <a:off x="5329460" y="4577336"/>
          <a:ext cx="5728460" cy="2053407"/>
        </a:xfrm>
        <a:prstGeom prst="rect">
          <a:avLst/>
        </a:prstGeom>
      </xdr:spPr>
    </xdr:pic>
    <xdr:clientData/>
  </xdr:twoCellAnchor>
  <xdr:twoCellAnchor editAs="oneCell">
    <xdr:from>
      <xdr:col>3</xdr:col>
      <xdr:colOff>809280</xdr:colOff>
      <xdr:row>33</xdr:row>
      <xdr:rowOff>124635</xdr:rowOff>
    </xdr:from>
    <xdr:to>
      <xdr:col>4</xdr:col>
      <xdr:colOff>114360</xdr:colOff>
      <xdr:row>33</xdr:row>
      <xdr:rowOff>181155</xdr:rowOff>
    </xdr:to>
    <mc:AlternateContent xmlns:mc="http://schemas.openxmlformats.org/markup-compatibility/2006" xmlns:xdr14="http://schemas.microsoft.com/office/excel/2010/spreadsheetDrawing">
      <mc:Choice Requires="xdr14">
        <xdr:contentPart xmlns:r="http://schemas.openxmlformats.org/officeDocument/2006/relationships" r:id="rId3">
          <xdr14:nvContentPartPr>
            <xdr14:cNvPr id="5" name="Encre 4">
              <a:extLst>
                <a:ext uri="{FF2B5EF4-FFF2-40B4-BE49-F238E27FC236}">
                  <a16:creationId xmlns:a16="http://schemas.microsoft.com/office/drawing/2014/main" id="{6E0818BB-36B0-E0EE-C31F-6843498AFE40}"/>
                </a:ext>
              </a:extLst>
            </xdr14:cNvPr>
            <xdr14:cNvContentPartPr/>
          </xdr14:nvContentPartPr>
          <xdr14:nvPr macro=""/>
          <xdr14:xfrm>
            <a:off x="3323880" y="7268385"/>
            <a:ext cx="143280" cy="56520"/>
          </xdr14:xfrm>
        </xdr:contentPart>
      </mc:Choice>
      <mc:Fallback xmlns="">
        <xdr:pic>
          <xdr:nvPicPr>
            <xdr:cNvPr id="5" name="Encre 4">
              <a:extLst>
                <a:ext uri="{FF2B5EF4-FFF2-40B4-BE49-F238E27FC236}">
                  <a16:creationId xmlns:a16="http://schemas.microsoft.com/office/drawing/2014/main" id="{6E0818BB-36B0-E0EE-C31F-6843498AFE40}"/>
                </a:ext>
              </a:extLst>
            </xdr:cNvPr>
            <xdr:cNvPicPr/>
          </xdr:nvPicPr>
          <xdr:blipFill>
            <a:blip xmlns:r="http://schemas.openxmlformats.org/officeDocument/2006/relationships" r:embed="rId4"/>
            <a:stretch>
              <a:fillRect/>
            </a:stretch>
          </xdr:blipFill>
          <xdr:spPr>
            <a:xfrm>
              <a:off x="3287880" y="7196385"/>
              <a:ext cx="214920" cy="200160"/>
            </a:xfrm>
            <a:prstGeom prst="rect">
              <a:avLst/>
            </a:prstGeom>
          </xdr:spPr>
        </xdr:pic>
      </mc:Fallback>
    </mc:AlternateContent>
    <xdr:clientData/>
  </xdr:twoCellAnchor>
  <xdr:twoCellAnchor editAs="oneCell">
    <xdr:from>
      <xdr:col>2</xdr:col>
      <xdr:colOff>437880</xdr:colOff>
      <xdr:row>33</xdr:row>
      <xdr:rowOff>125715</xdr:rowOff>
    </xdr:from>
    <xdr:to>
      <xdr:col>2</xdr:col>
      <xdr:colOff>587640</xdr:colOff>
      <xdr:row>33</xdr:row>
      <xdr:rowOff>142995</xdr:rowOff>
    </xdr:to>
    <mc:AlternateContent xmlns:mc="http://schemas.openxmlformats.org/markup-compatibility/2006" xmlns:xdr14="http://schemas.microsoft.com/office/excel/2010/spreadsheetDrawing">
      <mc:Choice Requires="xdr14">
        <xdr:contentPart xmlns:r="http://schemas.openxmlformats.org/officeDocument/2006/relationships" r:id="rId5">
          <xdr14:nvContentPartPr>
            <xdr14:cNvPr id="6" name="Encre 5">
              <a:extLst>
                <a:ext uri="{FF2B5EF4-FFF2-40B4-BE49-F238E27FC236}">
                  <a16:creationId xmlns:a16="http://schemas.microsoft.com/office/drawing/2014/main" id="{7AF982B7-2926-C7D4-90F5-712333C5E48D}"/>
                </a:ext>
              </a:extLst>
            </xdr14:cNvPr>
            <xdr14:cNvContentPartPr/>
          </xdr14:nvContentPartPr>
          <xdr14:nvPr macro=""/>
          <xdr14:xfrm>
            <a:off x="2114280" y="7269465"/>
            <a:ext cx="149760" cy="17280"/>
          </xdr14:xfrm>
        </xdr:contentPart>
      </mc:Choice>
      <mc:Fallback xmlns="">
        <xdr:pic>
          <xdr:nvPicPr>
            <xdr:cNvPr id="6" name="Encre 5">
              <a:extLst>
                <a:ext uri="{FF2B5EF4-FFF2-40B4-BE49-F238E27FC236}">
                  <a16:creationId xmlns:a16="http://schemas.microsoft.com/office/drawing/2014/main" id="{7AF982B7-2926-C7D4-90F5-712333C5E48D}"/>
                </a:ext>
              </a:extLst>
            </xdr:cNvPr>
            <xdr:cNvPicPr/>
          </xdr:nvPicPr>
          <xdr:blipFill>
            <a:blip xmlns:r="http://schemas.openxmlformats.org/officeDocument/2006/relationships" r:embed="rId6"/>
            <a:stretch>
              <a:fillRect/>
            </a:stretch>
          </xdr:blipFill>
          <xdr:spPr>
            <a:xfrm>
              <a:off x="2078280" y="7197465"/>
              <a:ext cx="221400" cy="160920"/>
            </a:xfrm>
            <a:prstGeom prst="rect">
              <a:avLst/>
            </a:prstGeom>
          </xdr:spPr>
        </xdr:pic>
      </mc:Fallback>
    </mc:AlternateContent>
    <xdr:clientData/>
  </xdr:twoCellAnchor>
  <xdr:twoCellAnchor editAs="oneCell">
    <xdr:from>
      <xdr:col>13</xdr:col>
      <xdr:colOff>518642</xdr:colOff>
      <xdr:row>7</xdr:row>
      <xdr:rowOff>45881</xdr:rowOff>
    </xdr:from>
    <xdr:to>
      <xdr:col>22</xdr:col>
      <xdr:colOff>116455</xdr:colOff>
      <xdr:row>37</xdr:row>
      <xdr:rowOff>48746</xdr:rowOff>
    </xdr:to>
    <xdr:pic>
      <xdr:nvPicPr>
        <xdr:cNvPr id="21" name="Image 6">
          <a:extLst>
            <a:ext uri="{FF2B5EF4-FFF2-40B4-BE49-F238E27FC236}">
              <a16:creationId xmlns:a16="http://schemas.microsoft.com/office/drawing/2014/main" id="{F8110DDA-159E-0C5D-91F2-E15352B01588}"/>
            </a:ext>
          </a:extLst>
        </xdr:cNvPr>
        <xdr:cNvPicPr>
          <a:picLocks noChangeAspect="1"/>
        </xdr:cNvPicPr>
      </xdr:nvPicPr>
      <xdr:blipFill>
        <a:blip xmlns:r="http://schemas.openxmlformats.org/officeDocument/2006/relationships" r:embed="rId7"/>
        <a:stretch>
          <a:fillRect/>
        </a:stretch>
      </xdr:blipFill>
      <xdr:spPr>
        <a:xfrm>
          <a:off x="11331529" y="1535001"/>
          <a:ext cx="7061111" cy="6107398"/>
        </a:xfrm>
        <a:prstGeom prst="rect">
          <a:avLst/>
        </a:prstGeom>
      </xdr:spPr>
    </xdr:pic>
    <xdr:clientData/>
  </xdr:twoCellAnchor>
  <xdr:twoCellAnchor editAs="oneCell">
    <xdr:from>
      <xdr:col>6</xdr:col>
      <xdr:colOff>104676</xdr:colOff>
      <xdr:row>33</xdr:row>
      <xdr:rowOff>9645</xdr:rowOff>
    </xdr:from>
    <xdr:to>
      <xdr:col>13</xdr:col>
      <xdr:colOff>465123</xdr:colOff>
      <xdr:row>57</xdr:row>
      <xdr:rowOff>160286</xdr:rowOff>
    </xdr:to>
    <xdr:pic>
      <xdr:nvPicPr>
        <xdr:cNvPr id="11" name="Image 7">
          <a:extLst>
            <a:ext uri="{FF2B5EF4-FFF2-40B4-BE49-F238E27FC236}">
              <a16:creationId xmlns:a16="http://schemas.microsoft.com/office/drawing/2014/main" id="{C9A68DAF-BD8C-2AF6-09D3-05ED89B6A872}"/>
            </a:ext>
          </a:extLst>
        </xdr:cNvPr>
        <xdr:cNvPicPr>
          <a:picLocks noChangeAspect="1"/>
        </xdr:cNvPicPr>
      </xdr:nvPicPr>
      <xdr:blipFill>
        <a:blip xmlns:r="http://schemas.openxmlformats.org/officeDocument/2006/relationships" r:embed="rId8"/>
        <a:stretch>
          <a:fillRect/>
        </a:stretch>
      </xdr:blipFill>
      <xdr:spPr>
        <a:xfrm>
          <a:off x="5197537" y="7157012"/>
          <a:ext cx="6227847" cy="4951242"/>
        </a:xfrm>
        <a:prstGeom prst="rect">
          <a:avLst/>
        </a:prstGeom>
      </xdr:spPr>
    </xdr:pic>
    <xdr:clientData/>
  </xdr:twoCellAnchor>
  <xdr:twoCellAnchor editAs="oneCell">
    <xdr:from>
      <xdr:col>8</xdr:col>
      <xdr:colOff>18919</xdr:colOff>
      <xdr:row>33</xdr:row>
      <xdr:rowOff>153333</xdr:rowOff>
    </xdr:from>
    <xdr:to>
      <xdr:col>11</xdr:col>
      <xdr:colOff>416719</xdr:colOff>
      <xdr:row>34</xdr:row>
      <xdr:rowOff>22785</xdr:rowOff>
    </xdr:to>
    <mc:AlternateContent xmlns:mc="http://schemas.openxmlformats.org/markup-compatibility/2006" xmlns:xdr14="http://schemas.microsoft.com/office/excel/2010/spreadsheetDrawing">
      <mc:Choice Requires="xdr14">
        <xdr:contentPart xmlns:r="http://schemas.openxmlformats.org/officeDocument/2006/relationships" r:id="rId9">
          <xdr14:nvContentPartPr>
            <xdr14:cNvPr id="29" name="Encre 28">
              <a:extLst>
                <a:ext uri="{FF2B5EF4-FFF2-40B4-BE49-F238E27FC236}">
                  <a16:creationId xmlns:a16="http://schemas.microsoft.com/office/drawing/2014/main" id="{310F8ACC-77AC-E741-462F-25955EAA2041}"/>
                </a:ext>
              </a:extLst>
            </xdr14:cNvPr>
            <xdr14:cNvContentPartPr/>
          </xdr14:nvContentPartPr>
          <xdr14:nvPr macro=""/>
          <xdr14:xfrm>
            <a:off x="6809400" y="7300700"/>
            <a:ext cx="2912400" cy="69480"/>
          </xdr14:xfrm>
        </xdr:contentPart>
      </mc:Choice>
      <mc:Fallback xmlns="">
        <xdr:pic>
          <xdr:nvPicPr>
            <xdr:cNvPr id="29" name="Encre 28">
              <a:extLst>
                <a:ext uri="{FF2B5EF4-FFF2-40B4-BE49-F238E27FC236}">
                  <a16:creationId xmlns:a16="http://schemas.microsoft.com/office/drawing/2014/main" id="{310F8ACC-77AC-E741-462F-25955EAA2041}"/>
                </a:ext>
              </a:extLst>
            </xdr:cNvPr>
            <xdr:cNvPicPr/>
          </xdr:nvPicPr>
          <xdr:blipFill>
            <a:blip xmlns:r="http://schemas.openxmlformats.org/officeDocument/2006/relationships" r:embed="rId10"/>
            <a:stretch>
              <a:fillRect/>
            </a:stretch>
          </xdr:blipFill>
          <xdr:spPr>
            <a:xfrm>
              <a:off x="6791760" y="7265060"/>
              <a:ext cx="2948040" cy="141120"/>
            </a:xfrm>
            <a:prstGeom prst="rect">
              <a:avLst/>
            </a:prstGeom>
          </xdr:spPr>
        </xdr:pic>
      </mc:Fallback>
    </mc:AlternateContent>
    <xdr:clientData/>
  </xdr:twoCellAnchor>
  <xdr:twoCellAnchor editAs="oneCell">
    <xdr:from>
      <xdr:col>7</xdr:col>
      <xdr:colOff>809769</xdr:colOff>
      <xdr:row>34</xdr:row>
      <xdr:rowOff>134736</xdr:rowOff>
    </xdr:from>
    <xdr:to>
      <xdr:col>9</xdr:col>
      <xdr:colOff>74769</xdr:colOff>
      <xdr:row>34</xdr:row>
      <xdr:rowOff>164976</xdr:rowOff>
    </xdr:to>
    <mc:AlternateContent xmlns:mc="http://schemas.openxmlformats.org/markup-compatibility/2006" xmlns:xdr14="http://schemas.microsoft.com/office/excel/2010/spreadsheetDrawing">
      <mc:Choice Requires="xdr14">
        <xdr:contentPart xmlns:r="http://schemas.openxmlformats.org/officeDocument/2006/relationships" r:id="rId11">
          <xdr14:nvContentPartPr>
            <xdr14:cNvPr id="32" name="Encre 31">
              <a:extLst>
                <a:ext uri="{FF2B5EF4-FFF2-40B4-BE49-F238E27FC236}">
                  <a16:creationId xmlns:a16="http://schemas.microsoft.com/office/drawing/2014/main" id="{B67DA517-36D9-7C9C-EBDA-86645204700E}"/>
                </a:ext>
              </a:extLst>
            </xdr14:cNvPr>
            <xdr14:cNvContentPartPr/>
          </xdr14:nvContentPartPr>
          <xdr14:nvPr macro=""/>
          <xdr14:xfrm>
            <a:off x="6751440" y="7484660"/>
            <a:ext cx="941400" cy="30240"/>
          </xdr14:xfrm>
        </xdr:contentPart>
      </mc:Choice>
      <mc:Fallback xmlns="">
        <xdr:pic>
          <xdr:nvPicPr>
            <xdr:cNvPr id="32" name="Encre 31">
              <a:extLst>
                <a:ext uri="{FF2B5EF4-FFF2-40B4-BE49-F238E27FC236}">
                  <a16:creationId xmlns:a16="http://schemas.microsoft.com/office/drawing/2014/main" id="{B67DA517-36D9-7C9C-EBDA-86645204700E}"/>
                </a:ext>
              </a:extLst>
            </xdr:cNvPr>
            <xdr:cNvPicPr/>
          </xdr:nvPicPr>
          <xdr:blipFill>
            <a:blip xmlns:r="http://schemas.openxmlformats.org/officeDocument/2006/relationships" r:embed="rId12"/>
            <a:stretch>
              <a:fillRect/>
            </a:stretch>
          </xdr:blipFill>
          <xdr:spPr>
            <a:xfrm>
              <a:off x="6733800" y="7448591"/>
              <a:ext cx="977040" cy="102743"/>
            </a:xfrm>
            <a:prstGeom prst="rect">
              <a:avLst/>
            </a:prstGeom>
          </xdr:spPr>
        </xdr:pic>
      </mc:Fallback>
    </mc:AlternateContent>
    <xdr:clientData/>
  </xdr:twoCellAnchor>
  <xdr:twoCellAnchor editAs="oneCell">
    <xdr:from>
      <xdr:col>13</xdr:col>
      <xdr:colOff>649037</xdr:colOff>
      <xdr:row>1</xdr:row>
      <xdr:rowOff>93723</xdr:rowOff>
    </xdr:from>
    <xdr:to>
      <xdr:col>20</xdr:col>
      <xdr:colOff>107947</xdr:colOff>
      <xdr:row>6</xdr:row>
      <xdr:rowOff>222459</xdr:rowOff>
    </xdr:to>
    <xdr:pic>
      <xdr:nvPicPr>
        <xdr:cNvPr id="19" name="Image 11">
          <a:extLst>
            <a:ext uri="{FF2B5EF4-FFF2-40B4-BE49-F238E27FC236}">
              <a16:creationId xmlns:a16="http://schemas.microsoft.com/office/drawing/2014/main" id="{BDEA9480-0FEA-F702-8438-C601111A83E4}"/>
            </a:ext>
          </a:extLst>
        </xdr:cNvPr>
        <xdr:cNvPicPr>
          <a:picLocks noChangeAspect="1"/>
        </xdr:cNvPicPr>
      </xdr:nvPicPr>
      <xdr:blipFill>
        <a:blip xmlns:r="http://schemas.openxmlformats.org/officeDocument/2006/relationships" r:embed="rId13"/>
        <a:stretch>
          <a:fillRect/>
        </a:stretch>
      </xdr:blipFill>
      <xdr:spPr>
        <a:xfrm>
          <a:off x="11541051" y="292161"/>
          <a:ext cx="5323840" cy="1151792"/>
        </a:xfrm>
        <a:prstGeom prst="rect">
          <a:avLst/>
        </a:prstGeom>
      </xdr:spPr>
    </xdr:pic>
    <xdr:clientData/>
  </xdr:twoCellAnchor>
  <xdr:twoCellAnchor editAs="oneCell">
    <xdr:from>
      <xdr:col>8</xdr:col>
      <xdr:colOff>742739</xdr:colOff>
      <xdr:row>52</xdr:row>
      <xdr:rowOff>143961</xdr:rowOff>
    </xdr:from>
    <xdr:to>
      <xdr:col>9</xdr:col>
      <xdr:colOff>47289</xdr:colOff>
      <xdr:row>52</xdr:row>
      <xdr:rowOff>164121</xdr:rowOff>
    </xdr:to>
    <mc:AlternateContent xmlns:mc="http://schemas.openxmlformats.org/markup-compatibility/2006" xmlns:xdr14="http://schemas.microsoft.com/office/excel/2010/spreadsheetDrawing">
      <mc:Choice Requires="xdr14">
        <xdr:contentPart xmlns:r="http://schemas.openxmlformats.org/officeDocument/2006/relationships" r:id="rId14">
          <xdr14:nvContentPartPr>
            <xdr14:cNvPr id="3" name="Encre 2">
              <a:extLst>
                <a:ext uri="{FF2B5EF4-FFF2-40B4-BE49-F238E27FC236}">
                  <a16:creationId xmlns:a16="http://schemas.microsoft.com/office/drawing/2014/main" id="{ADBFEFB2-E67D-20DE-4549-3FA3E44F8DEC}"/>
                </a:ext>
              </a:extLst>
            </xdr14:cNvPr>
            <xdr14:cNvContentPartPr/>
          </xdr14:nvContentPartPr>
          <xdr14:nvPr macro=""/>
          <xdr14:xfrm>
            <a:off x="7533220" y="11139910"/>
            <a:ext cx="153360" cy="20160"/>
          </xdr14:xfrm>
        </xdr:contentPart>
      </mc:Choice>
      <mc:Fallback xmlns="">
        <xdr:pic>
          <xdr:nvPicPr>
            <xdr:cNvPr id="3" name="Encre 2">
              <a:extLst>
                <a:ext uri="{FF2B5EF4-FFF2-40B4-BE49-F238E27FC236}">
                  <a16:creationId xmlns:a16="http://schemas.microsoft.com/office/drawing/2014/main" id="{ADBFEFB2-E67D-20DE-4549-3FA3E44F8DEC}"/>
                </a:ext>
              </a:extLst>
            </xdr:cNvPr>
            <xdr:cNvPicPr/>
          </xdr:nvPicPr>
          <xdr:blipFill>
            <a:blip xmlns:r="http://schemas.openxmlformats.org/officeDocument/2006/relationships" r:embed="rId15"/>
            <a:stretch>
              <a:fillRect/>
            </a:stretch>
          </xdr:blipFill>
          <xdr:spPr>
            <a:xfrm>
              <a:off x="7515580" y="11103910"/>
              <a:ext cx="189000" cy="91800"/>
            </a:xfrm>
            <a:prstGeom prst="rect">
              <a:avLst/>
            </a:prstGeom>
          </xdr:spPr>
        </xdr:pic>
      </mc:Fallback>
    </mc:AlternateContent>
    <xdr:clientData/>
  </xdr:twoCellAnchor>
  <xdr:twoCellAnchor editAs="oneCell">
    <xdr:from>
      <xdr:col>8</xdr:col>
      <xdr:colOff>780899</xdr:colOff>
      <xdr:row>53</xdr:row>
      <xdr:rowOff>9084</xdr:rowOff>
    </xdr:from>
    <xdr:to>
      <xdr:col>9</xdr:col>
      <xdr:colOff>93369</xdr:colOff>
      <xdr:row>53</xdr:row>
      <xdr:rowOff>19164</xdr:rowOff>
    </xdr:to>
    <mc:AlternateContent xmlns:mc="http://schemas.openxmlformats.org/markup-compatibility/2006" xmlns:xdr14="http://schemas.microsoft.com/office/excel/2010/spreadsheetDrawing">
      <mc:Choice Requires="xdr14">
        <xdr:contentPart xmlns:r="http://schemas.openxmlformats.org/officeDocument/2006/relationships" r:id="rId16">
          <xdr14:nvContentPartPr>
            <xdr14:cNvPr id="4" name="Encre 3">
              <a:extLst>
                <a:ext uri="{FF2B5EF4-FFF2-40B4-BE49-F238E27FC236}">
                  <a16:creationId xmlns:a16="http://schemas.microsoft.com/office/drawing/2014/main" id="{11B093AF-DCFC-26DD-70F8-486B28CFDF67}"/>
                </a:ext>
              </a:extLst>
            </xdr14:cNvPr>
            <xdr14:cNvContentPartPr/>
          </xdr14:nvContentPartPr>
          <xdr14:nvPr macro=""/>
          <xdr14:xfrm>
            <a:off x="7571380" y="11207590"/>
            <a:ext cx="161280" cy="10080"/>
          </xdr14:xfrm>
        </xdr:contentPart>
      </mc:Choice>
      <mc:Fallback xmlns="">
        <xdr:pic>
          <xdr:nvPicPr>
            <xdr:cNvPr id="4" name="Encre 3">
              <a:extLst>
                <a:ext uri="{FF2B5EF4-FFF2-40B4-BE49-F238E27FC236}">
                  <a16:creationId xmlns:a16="http://schemas.microsoft.com/office/drawing/2014/main" id="{11B093AF-DCFC-26DD-70F8-486B28CFDF67}"/>
                </a:ext>
              </a:extLst>
            </xdr:cNvPr>
            <xdr:cNvPicPr/>
          </xdr:nvPicPr>
          <xdr:blipFill>
            <a:blip xmlns:r="http://schemas.openxmlformats.org/officeDocument/2006/relationships" r:embed="rId17"/>
            <a:stretch>
              <a:fillRect/>
            </a:stretch>
          </xdr:blipFill>
          <xdr:spPr>
            <a:xfrm>
              <a:off x="7553740" y="11171950"/>
              <a:ext cx="196920" cy="81720"/>
            </a:xfrm>
            <a:prstGeom prst="rect">
              <a:avLst/>
            </a:prstGeom>
          </xdr:spPr>
        </xdr:pic>
      </mc:Fallback>
    </mc:AlternateContent>
    <xdr:clientData/>
  </xdr:twoCellAnchor>
  <xdr:twoCellAnchor editAs="oneCell">
    <xdr:from>
      <xdr:col>7</xdr:col>
      <xdr:colOff>105829</xdr:colOff>
      <xdr:row>53</xdr:row>
      <xdr:rowOff>38604</xdr:rowOff>
    </xdr:from>
    <xdr:to>
      <xdr:col>7</xdr:col>
      <xdr:colOff>740869</xdr:colOff>
      <xdr:row>53</xdr:row>
      <xdr:rowOff>49404</xdr:rowOff>
    </xdr:to>
    <mc:AlternateContent xmlns:mc="http://schemas.openxmlformats.org/markup-compatibility/2006" xmlns:xdr14="http://schemas.microsoft.com/office/excel/2010/spreadsheetDrawing">
      <mc:Choice Requires="xdr14">
        <xdr:contentPart xmlns:r="http://schemas.openxmlformats.org/officeDocument/2006/relationships" r:id="rId18">
          <xdr14:nvContentPartPr>
            <xdr14:cNvPr id="8" name="Encre 7">
              <a:extLst>
                <a:ext uri="{FF2B5EF4-FFF2-40B4-BE49-F238E27FC236}">
                  <a16:creationId xmlns:a16="http://schemas.microsoft.com/office/drawing/2014/main" id="{1845AC90-5D2B-F3A2-52F7-E4FA4F3156DA}"/>
                </a:ext>
              </a:extLst>
            </xdr14:cNvPr>
            <xdr14:cNvContentPartPr/>
          </xdr14:nvContentPartPr>
          <xdr14:nvPr macro=""/>
          <xdr14:xfrm>
            <a:off x="6047500" y="11237110"/>
            <a:ext cx="635040" cy="10800"/>
          </xdr14:xfrm>
        </xdr:contentPart>
      </mc:Choice>
      <mc:Fallback xmlns="">
        <xdr:pic>
          <xdr:nvPicPr>
            <xdr:cNvPr id="8" name="Encre 7">
              <a:extLst>
                <a:ext uri="{FF2B5EF4-FFF2-40B4-BE49-F238E27FC236}">
                  <a16:creationId xmlns:a16="http://schemas.microsoft.com/office/drawing/2014/main" id="{1845AC90-5D2B-F3A2-52F7-E4FA4F3156DA}"/>
                </a:ext>
              </a:extLst>
            </xdr:cNvPr>
            <xdr:cNvPicPr/>
          </xdr:nvPicPr>
          <xdr:blipFill>
            <a:blip xmlns:r="http://schemas.openxmlformats.org/officeDocument/2006/relationships" r:embed="rId19"/>
            <a:stretch>
              <a:fillRect/>
            </a:stretch>
          </xdr:blipFill>
          <xdr:spPr>
            <a:xfrm>
              <a:off x="6029860" y="11201470"/>
              <a:ext cx="670680" cy="82440"/>
            </a:xfrm>
            <a:prstGeom prst="rect">
              <a:avLst/>
            </a:prstGeom>
          </xdr:spPr>
        </xdr:pic>
      </mc:Fallback>
    </mc:AlternateContent>
    <xdr:clientData/>
  </xdr:twoCellAnchor>
  <xdr:twoCellAnchor editAs="oneCell">
    <xdr:from>
      <xdr:col>14</xdr:col>
      <xdr:colOff>20278</xdr:colOff>
      <xdr:row>32</xdr:row>
      <xdr:rowOff>143839</xdr:rowOff>
    </xdr:from>
    <xdr:to>
      <xdr:col>14</xdr:col>
      <xdr:colOff>782758</xdr:colOff>
      <xdr:row>33</xdr:row>
      <xdr:rowOff>48562</xdr:rowOff>
    </xdr:to>
    <mc:AlternateContent xmlns:mc="http://schemas.openxmlformats.org/markup-compatibility/2006" xmlns:xdr14="http://schemas.microsoft.com/office/excel/2010/spreadsheetDrawing">
      <mc:Choice Requires="xdr14">
        <xdr:contentPart xmlns:r="http://schemas.openxmlformats.org/officeDocument/2006/relationships" r:id="rId20">
          <xdr14:nvContentPartPr>
            <xdr14:cNvPr id="15" name="Encre 14">
              <a:extLst>
                <a:ext uri="{FF2B5EF4-FFF2-40B4-BE49-F238E27FC236}">
                  <a16:creationId xmlns:a16="http://schemas.microsoft.com/office/drawing/2014/main" id="{4F2DEE34-D86C-A0A6-058F-0C03B9FECC0E}"/>
                </a:ext>
              </a:extLst>
            </xdr14:cNvPr>
            <xdr14:cNvContentPartPr/>
          </xdr14:nvContentPartPr>
          <xdr14:nvPr macro=""/>
          <xdr14:xfrm>
            <a:off x="11903620" y="6683535"/>
            <a:ext cx="762480" cy="107280"/>
          </xdr14:xfrm>
        </xdr:contentPart>
      </mc:Choice>
      <mc:Fallback xmlns="">
        <xdr:pic>
          <xdr:nvPicPr>
            <xdr:cNvPr id="15" name="Encre 14">
              <a:extLst>
                <a:ext uri="{FF2B5EF4-FFF2-40B4-BE49-F238E27FC236}">
                  <a16:creationId xmlns:a16="http://schemas.microsoft.com/office/drawing/2014/main" id="{4F2DEE34-D86C-A0A6-058F-0C03B9FECC0E}"/>
                </a:ext>
              </a:extLst>
            </xdr:cNvPr>
            <xdr:cNvPicPr/>
          </xdr:nvPicPr>
          <xdr:blipFill>
            <a:blip xmlns:r="http://schemas.openxmlformats.org/officeDocument/2006/relationships" r:embed="rId23"/>
            <a:stretch>
              <a:fillRect/>
            </a:stretch>
          </xdr:blipFill>
          <xdr:spPr>
            <a:xfrm>
              <a:off x="11885628" y="6647895"/>
              <a:ext cx="798103" cy="178920"/>
            </a:xfrm>
            <a:prstGeom prst="rect">
              <a:avLst/>
            </a:prstGeom>
          </xdr:spPr>
        </xdr:pic>
      </mc:Fallback>
    </mc:AlternateContent>
    <xdr:clientData/>
  </xdr:twoCellAnchor>
  <xdr:twoCellAnchor editAs="oneCell">
    <xdr:from>
      <xdr:col>17</xdr:col>
      <xdr:colOff>636448</xdr:colOff>
      <xdr:row>34</xdr:row>
      <xdr:rowOff>105925</xdr:rowOff>
    </xdr:from>
    <xdr:to>
      <xdr:col>17</xdr:col>
      <xdr:colOff>770368</xdr:colOff>
      <xdr:row>34</xdr:row>
      <xdr:rowOff>119965</xdr:rowOff>
    </xdr:to>
    <mc:AlternateContent xmlns:mc="http://schemas.openxmlformats.org/markup-compatibility/2006" xmlns:xdr14="http://schemas.microsoft.com/office/excel/2010/spreadsheetDrawing">
      <mc:Choice Requires="xdr14">
        <xdr:contentPart xmlns:r="http://schemas.openxmlformats.org/officeDocument/2006/relationships" r:id="rId24">
          <xdr14:nvContentPartPr>
            <xdr14:cNvPr id="17" name="Encre 16">
              <a:extLst>
                <a:ext uri="{FF2B5EF4-FFF2-40B4-BE49-F238E27FC236}">
                  <a16:creationId xmlns:a16="http://schemas.microsoft.com/office/drawing/2014/main" id="{87EA759F-8577-7794-7F70-44E07B7F13D5}"/>
                </a:ext>
              </a:extLst>
            </xdr14:cNvPr>
            <xdr14:cNvContentPartPr/>
          </xdr14:nvContentPartPr>
          <xdr14:nvPr macro=""/>
          <xdr14:xfrm>
            <a:off x="15066220" y="7050735"/>
            <a:ext cx="133920" cy="14040"/>
          </xdr14:xfrm>
        </xdr:contentPart>
      </mc:Choice>
      <mc:Fallback xmlns="">
        <xdr:pic>
          <xdr:nvPicPr>
            <xdr:cNvPr id="17" name="Encre 16">
              <a:extLst>
                <a:ext uri="{FF2B5EF4-FFF2-40B4-BE49-F238E27FC236}">
                  <a16:creationId xmlns:a16="http://schemas.microsoft.com/office/drawing/2014/main" id="{87EA759F-8577-7794-7F70-44E07B7F13D5}"/>
                </a:ext>
              </a:extLst>
            </xdr:cNvPr>
            <xdr:cNvPicPr/>
          </xdr:nvPicPr>
          <xdr:blipFill>
            <a:blip xmlns:r="http://schemas.openxmlformats.org/officeDocument/2006/relationships" r:embed="rId25"/>
            <a:stretch>
              <a:fillRect/>
            </a:stretch>
          </xdr:blipFill>
          <xdr:spPr>
            <a:xfrm>
              <a:off x="15048580" y="7015095"/>
              <a:ext cx="169560" cy="85680"/>
            </a:xfrm>
            <a:prstGeom prst="rect">
              <a:avLst/>
            </a:prstGeom>
          </xdr:spPr>
        </xdr:pic>
      </mc:Fallback>
    </mc:AlternateContent>
    <xdr:clientData/>
  </xdr:twoCellAnchor>
  <xdr:twoCellAnchor editAs="oneCell">
    <xdr:from>
      <xdr:col>17</xdr:col>
      <xdr:colOff>607288</xdr:colOff>
      <xdr:row>32</xdr:row>
      <xdr:rowOff>172999</xdr:rowOff>
    </xdr:from>
    <xdr:to>
      <xdr:col>17</xdr:col>
      <xdr:colOff>739048</xdr:colOff>
      <xdr:row>33</xdr:row>
      <xdr:rowOff>21562</xdr:rowOff>
    </xdr:to>
    <mc:AlternateContent xmlns:mc="http://schemas.openxmlformats.org/markup-compatibility/2006" xmlns:xdr14="http://schemas.microsoft.com/office/excel/2010/spreadsheetDrawing">
      <mc:Choice Requires="xdr14">
        <xdr:contentPart xmlns:r="http://schemas.openxmlformats.org/officeDocument/2006/relationships" r:id="rId26">
          <xdr14:nvContentPartPr>
            <xdr14:cNvPr id="18" name="Encre 17">
              <a:extLst>
                <a:ext uri="{FF2B5EF4-FFF2-40B4-BE49-F238E27FC236}">
                  <a16:creationId xmlns:a16="http://schemas.microsoft.com/office/drawing/2014/main" id="{E18C7DD8-A70E-C2D0-9BDA-336B9E3999F8}"/>
                </a:ext>
              </a:extLst>
            </xdr14:cNvPr>
            <xdr14:cNvContentPartPr/>
          </xdr14:nvContentPartPr>
          <xdr14:nvPr macro=""/>
          <xdr14:xfrm>
            <a:off x="15037060" y="6712695"/>
            <a:ext cx="131760" cy="51120"/>
          </xdr14:xfrm>
        </xdr:contentPart>
      </mc:Choice>
      <mc:Fallback xmlns="">
        <xdr:pic>
          <xdr:nvPicPr>
            <xdr:cNvPr id="18" name="Encre 17">
              <a:extLst>
                <a:ext uri="{FF2B5EF4-FFF2-40B4-BE49-F238E27FC236}">
                  <a16:creationId xmlns:a16="http://schemas.microsoft.com/office/drawing/2014/main" id="{E18C7DD8-A70E-C2D0-9BDA-336B9E3999F8}"/>
                </a:ext>
              </a:extLst>
            </xdr:cNvPr>
            <xdr:cNvPicPr/>
          </xdr:nvPicPr>
          <xdr:blipFill>
            <a:blip xmlns:r="http://schemas.openxmlformats.org/officeDocument/2006/relationships" r:embed="rId27"/>
            <a:stretch>
              <a:fillRect/>
            </a:stretch>
          </xdr:blipFill>
          <xdr:spPr>
            <a:xfrm>
              <a:off x="15019420" y="6676695"/>
              <a:ext cx="167400" cy="122760"/>
            </a:xfrm>
            <a:prstGeom prst="rect">
              <a:avLst/>
            </a:prstGeom>
          </xdr:spPr>
        </xdr:pic>
      </mc:Fallback>
    </mc:AlternateContent>
    <xdr:clientData/>
  </xdr:twoCellAnchor>
  <xdr:twoCellAnchor editAs="oneCell">
    <xdr:from>
      <xdr:col>13</xdr:col>
      <xdr:colOff>819672</xdr:colOff>
      <xdr:row>17</xdr:row>
      <xdr:rowOff>145802</xdr:rowOff>
    </xdr:from>
    <xdr:to>
      <xdr:col>14</xdr:col>
      <xdr:colOff>298512</xdr:colOff>
      <xdr:row>17</xdr:row>
      <xdr:rowOff>167402</xdr:rowOff>
    </xdr:to>
    <mc:AlternateContent xmlns:mc="http://schemas.openxmlformats.org/markup-compatibility/2006" xmlns:xdr14="http://schemas.microsoft.com/office/excel/2010/spreadsheetDrawing">
      <mc:Choice Requires="xdr14">
        <xdr:contentPart xmlns:r="http://schemas.openxmlformats.org/officeDocument/2006/relationships" r:id="rId28">
          <xdr14:nvContentPartPr>
            <xdr14:cNvPr id="22" name="Encre 12">
              <a:extLst>
                <a:ext uri="{FF2B5EF4-FFF2-40B4-BE49-F238E27FC236}">
                  <a16:creationId xmlns:a16="http://schemas.microsoft.com/office/drawing/2014/main" id="{28F39E02-FB23-D668-815C-0448C749EA5B}"/>
                </a:ext>
              </a:extLst>
            </xdr14:cNvPr>
            <xdr14:cNvContentPartPr/>
          </xdr14:nvContentPartPr>
          <xdr14:nvPr macro=""/>
          <xdr14:xfrm>
            <a:off x="11946960" y="3632213"/>
            <a:ext cx="332280" cy="21600"/>
          </xdr14:xfrm>
        </xdr:contentPart>
      </mc:Choice>
      <mc:Fallback xmlns="">
        <xdr:pic>
          <xdr:nvPicPr>
            <xdr:cNvPr id="13" name="Encre 12">
              <a:extLst>
                <a:ext uri="{FF2B5EF4-FFF2-40B4-BE49-F238E27FC236}">
                  <a16:creationId xmlns:a16="http://schemas.microsoft.com/office/drawing/2014/main" id="{28F39E02-FB23-D668-815C-0448C749EA5B}"/>
                </a:ext>
              </a:extLst>
            </xdr:cNvPr>
            <xdr:cNvPicPr/>
          </xdr:nvPicPr>
          <xdr:blipFill>
            <a:blip xmlns:r="http://schemas.openxmlformats.org/officeDocument/2006/relationships" r:embed="rId29"/>
            <a:stretch>
              <a:fillRect/>
            </a:stretch>
          </xdr:blipFill>
          <xdr:spPr>
            <a:xfrm>
              <a:off x="11929320" y="3596573"/>
              <a:ext cx="367920" cy="93240"/>
            </a:xfrm>
            <a:prstGeom prst="rect">
              <a:avLst/>
            </a:prstGeom>
          </xdr:spPr>
        </xdr:pic>
      </mc:Fallback>
    </mc:AlternateContent>
    <xdr:clientData/>
  </xdr:twoCellAnchor>
  <xdr:twoCellAnchor editAs="oneCell">
    <xdr:from>
      <xdr:col>14</xdr:col>
      <xdr:colOff>605247</xdr:colOff>
      <xdr:row>17</xdr:row>
      <xdr:rowOff>197282</xdr:rowOff>
    </xdr:from>
    <xdr:to>
      <xdr:col>14</xdr:col>
      <xdr:colOff>750687</xdr:colOff>
      <xdr:row>18</xdr:row>
      <xdr:rowOff>26829</xdr:rowOff>
    </xdr:to>
    <mc:AlternateContent xmlns:mc="http://schemas.openxmlformats.org/markup-compatibility/2006" xmlns:xdr14="http://schemas.microsoft.com/office/excel/2010/spreadsheetDrawing">
      <mc:Choice Requires="xdr14">
        <xdr:contentPart xmlns:r="http://schemas.openxmlformats.org/officeDocument/2006/relationships" r:id="rId30">
          <xdr14:nvContentPartPr>
            <xdr14:cNvPr id="23" name="Encre 13">
              <a:extLst>
                <a:ext uri="{FF2B5EF4-FFF2-40B4-BE49-F238E27FC236}">
                  <a16:creationId xmlns:a16="http://schemas.microsoft.com/office/drawing/2014/main" id="{27E7C7CF-73C2-9E17-BFFF-632582D485FE}"/>
                </a:ext>
              </a:extLst>
            </xdr14:cNvPr>
            <xdr14:cNvContentPartPr/>
          </xdr14:nvContentPartPr>
          <xdr14:nvPr macro=""/>
          <xdr14:xfrm>
            <a:off x="12588480" y="3683693"/>
            <a:ext cx="145440" cy="32400"/>
          </xdr14:xfrm>
        </xdr:contentPart>
      </mc:Choice>
      <mc:Fallback xmlns="">
        <xdr:pic>
          <xdr:nvPicPr>
            <xdr:cNvPr id="14" name="Encre 13">
              <a:extLst>
                <a:ext uri="{FF2B5EF4-FFF2-40B4-BE49-F238E27FC236}">
                  <a16:creationId xmlns:a16="http://schemas.microsoft.com/office/drawing/2014/main" id="{27E7C7CF-73C2-9E17-BFFF-632582D485FE}"/>
                </a:ext>
              </a:extLst>
            </xdr:cNvPr>
            <xdr:cNvPicPr/>
          </xdr:nvPicPr>
          <xdr:blipFill>
            <a:blip xmlns:r="http://schemas.openxmlformats.org/officeDocument/2006/relationships" r:embed="rId31"/>
            <a:stretch>
              <a:fillRect/>
            </a:stretch>
          </xdr:blipFill>
          <xdr:spPr>
            <a:xfrm>
              <a:off x="12570480" y="3648053"/>
              <a:ext cx="181080" cy="104040"/>
            </a:xfrm>
            <a:prstGeom prst="rect">
              <a:avLst/>
            </a:prstGeom>
          </xdr:spPr>
        </xdr:pic>
      </mc:Fallback>
    </mc:AlternateContent>
    <xdr:clientData/>
  </xdr:twoCellAnchor>
  <xdr:twoCellAnchor editAs="oneCell">
    <xdr:from>
      <xdr:col>17</xdr:col>
      <xdr:colOff>542652</xdr:colOff>
      <xdr:row>17</xdr:row>
      <xdr:rowOff>155522</xdr:rowOff>
    </xdr:from>
    <xdr:to>
      <xdr:col>17</xdr:col>
      <xdr:colOff>694572</xdr:colOff>
      <xdr:row>17</xdr:row>
      <xdr:rowOff>177842</xdr:rowOff>
    </xdr:to>
    <mc:AlternateContent xmlns:mc="http://schemas.openxmlformats.org/markup-compatibility/2006" xmlns:xdr14="http://schemas.microsoft.com/office/excel/2010/spreadsheetDrawing">
      <mc:Choice Requires="xdr14">
        <xdr:contentPart xmlns:r="http://schemas.openxmlformats.org/officeDocument/2006/relationships" r:id="rId32">
          <xdr14:nvContentPartPr>
            <xdr14:cNvPr id="24" name="Encre 15">
              <a:extLst>
                <a:ext uri="{FF2B5EF4-FFF2-40B4-BE49-F238E27FC236}">
                  <a16:creationId xmlns:a16="http://schemas.microsoft.com/office/drawing/2014/main" id="{1D103067-57C2-6BA0-7451-D34A75E4B14B}"/>
                </a:ext>
              </a:extLst>
            </xdr14:cNvPr>
            <xdr14:cNvContentPartPr/>
          </xdr14:nvContentPartPr>
          <xdr14:nvPr macro=""/>
          <xdr14:xfrm>
            <a:off x="15093720" y="3641933"/>
            <a:ext cx="151920" cy="22320"/>
          </xdr14:xfrm>
        </xdr:contentPart>
      </mc:Choice>
      <mc:Fallback xmlns="">
        <xdr:pic>
          <xdr:nvPicPr>
            <xdr:cNvPr id="16" name="Encre 15">
              <a:extLst>
                <a:ext uri="{FF2B5EF4-FFF2-40B4-BE49-F238E27FC236}">
                  <a16:creationId xmlns:a16="http://schemas.microsoft.com/office/drawing/2014/main" id="{1D103067-57C2-6BA0-7451-D34A75E4B14B}"/>
                </a:ext>
              </a:extLst>
            </xdr:cNvPr>
            <xdr:cNvPicPr/>
          </xdr:nvPicPr>
          <xdr:blipFill>
            <a:blip xmlns:r="http://schemas.openxmlformats.org/officeDocument/2006/relationships" r:embed="rId33"/>
            <a:stretch>
              <a:fillRect/>
            </a:stretch>
          </xdr:blipFill>
          <xdr:spPr>
            <a:xfrm>
              <a:off x="15075720" y="3605933"/>
              <a:ext cx="187560" cy="93960"/>
            </a:xfrm>
            <a:prstGeom prst="rect">
              <a:avLst/>
            </a:prstGeom>
          </xdr:spPr>
        </xdr:pic>
      </mc:Fallback>
    </mc:AlternateContent>
    <xdr:clientData/>
  </xdr:twoCellAnchor>
  <xdr:twoCellAnchor editAs="oneCell">
    <xdr:from>
      <xdr:col>14</xdr:col>
      <xdr:colOff>0</xdr:colOff>
      <xdr:row>39</xdr:row>
      <xdr:rowOff>1</xdr:rowOff>
    </xdr:from>
    <xdr:to>
      <xdr:col>19</xdr:col>
      <xdr:colOff>494567</xdr:colOff>
      <xdr:row>48</xdr:row>
      <xdr:rowOff>118364</xdr:rowOff>
    </xdr:to>
    <xdr:pic>
      <xdr:nvPicPr>
        <xdr:cNvPr id="7" name="Image 6">
          <a:extLst>
            <a:ext uri="{FF2B5EF4-FFF2-40B4-BE49-F238E27FC236}">
              <a16:creationId xmlns:a16="http://schemas.microsoft.com/office/drawing/2014/main" id="{7F4C9271-7E1F-1E1B-825F-7BA45123284C}"/>
            </a:ext>
          </a:extLst>
        </xdr:cNvPr>
        <xdr:cNvPicPr>
          <a:picLocks noChangeAspect="1"/>
        </xdr:cNvPicPr>
      </xdr:nvPicPr>
      <xdr:blipFill>
        <a:blip xmlns:r="http://schemas.openxmlformats.org/officeDocument/2006/relationships" r:embed="rId34"/>
        <a:stretch>
          <a:fillRect/>
        </a:stretch>
      </xdr:blipFill>
      <xdr:spPr>
        <a:xfrm>
          <a:off x="11796346" y="7913078"/>
          <a:ext cx="4707548" cy="1931778"/>
        </a:xfrm>
        <a:prstGeom prst="rect">
          <a:avLst/>
        </a:prstGeom>
      </xdr:spPr>
    </xdr:pic>
    <xdr:clientData/>
  </xdr:twoCellAnchor>
  <xdr:twoCellAnchor editAs="oneCell">
    <xdr:from>
      <xdr:col>1</xdr:col>
      <xdr:colOff>0</xdr:colOff>
      <xdr:row>39</xdr:row>
      <xdr:rowOff>119060</xdr:rowOff>
    </xdr:from>
    <xdr:to>
      <xdr:col>6</xdr:col>
      <xdr:colOff>113894</xdr:colOff>
      <xdr:row>42</xdr:row>
      <xdr:rowOff>89296</xdr:rowOff>
    </xdr:to>
    <xdr:pic>
      <xdr:nvPicPr>
        <xdr:cNvPr id="12" name="Image 11">
          <a:extLst>
            <a:ext uri="{FF2B5EF4-FFF2-40B4-BE49-F238E27FC236}">
              <a16:creationId xmlns:a16="http://schemas.microsoft.com/office/drawing/2014/main" id="{424942BF-C329-E197-50FE-74455600887A}"/>
            </a:ext>
          </a:extLst>
        </xdr:cNvPr>
        <xdr:cNvPicPr>
          <a:picLocks noChangeAspect="1"/>
        </xdr:cNvPicPr>
      </xdr:nvPicPr>
      <xdr:blipFill>
        <a:blip xmlns:r="http://schemas.openxmlformats.org/officeDocument/2006/relationships" r:embed="rId35"/>
        <a:stretch>
          <a:fillRect/>
        </a:stretch>
      </xdr:blipFill>
      <xdr:spPr>
        <a:xfrm>
          <a:off x="840880" y="8088807"/>
          <a:ext cx="4318287" cy="572989"/>
        </a:xfrm>
        <a:prstGeom prst="rect">
          <a:avLst/>
        </a:prstGeom>
      </xdr:spPr>
    </xdr:pic>
    <xdr:clientData/>
  </xdr:twoCellAnchor>
  <xdr:twoCellAnchor editAs="oneCell">
    <xdr:from>
      <xdr:col>1</xdr:col>
      <xdr:colOff>10354</xdr:colOff>
      <xdr:row>43</xdr:row>
      <xdr:rowOff>144945</xdr:rowOff>
    </xdr:from>
    <xdr:to>
      <xdr:col>6</xdr:col>
      <xdr:colOff>72194</xdr:colOff>
      <xdr:row>48</xdr:row>
      <xdr:rowOff>75793</xdr:rowOff>
    </xdr:to>
    <xdr:pic>
      <xdr:nvPicPr>
        <xdr:cNvPr id="13" name="Image 12">
          <a:extLst>
            <a:ext uri="{FF2B5EF4-FFF2-40B4-BE49-F238E27FC236}">
              <a16:creationId xmlns:a16="http://schemas.microsoft.com/office/drawing/2014/main" id="{B06364A2-21D6-8BCB-41B1-C12274CA6590}"/>
            </a:ext>
          </a:extLst>
        </xdr:cNvPr>
        <xdr:cNvPicPr>
          <a:picLocks noChangeAspect="1"/>
        </xdr:cNvPicPr>
      </xdr:nvPicPr>
      <xdr:blipFill>
        <a:blip xmlns:r="http://schemas.openxmlformats.org/officeDocument/2006/relationships" r:embed="rId36"/>
        <a:stretch>
          <a:fillRect/>
        </a:stretch>
      </xdr:blipFill>
      <xdr:spPr>
        <a:xfrm>
          <a:off x="848969" y="8779565"/>
          <a:ext cx="4254910" cy="914408"/>
        </a:xfrm>
        <a:prstGeom prst="rect">
          <a:avLst/>
        </a:prstGeom>
      </xdr:spPr>
    </xdr:pic>
    <xdr:clientData/>
  </xdr:twoCellAnchor>
  <xdr:twoCellAnchor editAs="oneCell">
    <xdr:from>
      <xdr:col>16</xdr:col>
      <xdr:colOff>797915</xdr:colOff>
      <xdr:row>4</xdr:row>
      <xdr:rowOff>152146</xdr:rowOff>
    </xdr:from>
    <xdr:to>
      <xdr:col>17</xdr:col>
      <xdr:colOff>266308</xdr:colOff>
      <xdr:row>5</xdr:row>
      <xdr:rowOff>252</xdr:rowOff>
    </xdr:to>
    <mc:AlternateContent xmlns:mc="http://schemas.openxmlformats.org/markup-compatibility/2006" xmlns:xdr14="http://schemas.microsoft.com/office/excel/2010/spreadsheetDrawing">
      <mc:Choice Requires="xdr14">
        <xdr:contentPart xmlns:r="http://schemas.openxmlformats.org/officeDocument/2006/relationships" r:id="rId37">
          <xdr14:nvContentPartPr>
            <xdr14:cNvPr id="2" name="Encre 1">
              <a:extLst>
                <a:ext uri="{FF2B5EF4-FFF2-40B4-BE49-F238E27FC236}">
                  <a16:creationId xmlns:a16="http://schemas.microsoft.com/office/drawing/2014/main" id="{B0A66EF7-E31B-978E-AC25-96373F96548E}"/>
                </a:ext>
              </a:extLst>
            </xdr14:cNvPr>
            <xdr14:cNvContentPartPr/>
          </xdr14:nvContentPartPr>
          <xdr14:nvPr macro=""/>
          <xdr14:xfrm>
            <a:off x="14424268" y="941040"/>
            <a:ext cx="320040" cy="42840"/>
          </xdr14:xfrm>
        </xdr:contentPart>
      </mc:Choice>
      <mc:Fallback xmlns="">
        <xdr:pic>
          <xdr:nvPicPr>
            <xdr:cNvPr id="2" name="Encre 1">
              <a:extLst>
                <a:ext uri="{FF2B5EF4-FFF2-40B4-BE49-F238E27FC236}">
                  <a16:creationId xmlns:a16="http://schemas.microsoft.com/office/drawing/2014/main" id="{B0A66EF7-E31B-978E-AC25-96373F96548E}"/>
                </a:ext>
              </a:extLst>
            </xdr:cNvPr>
            <xdr:cNvPicPr/>
          </xdr:nvPicPr>
          <xdr:blipFill>
            <a:blip xmlns:r="http://schemas.openxmlformats.org/officeDocument/2006/relationships" r:embed="rId38"/>
            <a:stretch>
              <a:fillRect/>
            </a:stretch>
          </xdr:blipFill>
          <xdr:spPr>
            <a:xfrm>
              <a:off x="14406268" y="905040"/>
              <a:ext cx="355680" cy="114480"/>
            </a:xfrm>
            <a:prstGeom prst="rect">
              <a:avLst/>
            </a:prstGeom>
          </xdr:spPr>
        </xdr:pic>
      </mc:Fallback>
    </mc:AlternateContent>
    <xdr:clientData/>
  </xdr:twoCellAnchor>
</xdr:wsDr>
</file>

<file path=xl/drawings/drawing10.xml><?xml version="1.0" encoding="utf-8"?>
<xdr:wsDr xmlns:xdr="http://schemas.openxmlformats.org/drawingml/2006/spreadsheetDrawing" xmlns:a="http://schemas.openxmlformats.org/drawingml/2006/main">
  <xdr:twoCellAnchor editAs="oneCell">
    <xdr:from>
      <xdr:col>3</xdr:col>
      <xdr:colOff>0</xdr:colOff>
      <xdr:row>38</xdr:row>
      <xdr:rowOff>0</xdr:rowOff>
    </xdr:from>
    <xdr:to>
      <xdr:col>3</xdr:col>
      <xdr:colOff>304800</xdr:colOff>
      <xdr:row>39</xdr:row>
      <xdr:rowOff>106681</xdr:rowOff>
    </xdr:to>
    <xdr:sp macro="" textlink="">
      <xdr:nvSpPr>
        <xdr:cNvPr id="34818" name="AutoShape 2" descr="Image">
          <a:extLst>
            <a:ext uri="{FF2B5EF4-FFF2-40B4-BE49-F238E27FC236}">
              <a16:creationId xmlns:a16="http://schemas.microsoft.com/office/drawing/2014/main" id="{FB1C30E8-E35A-C7D7-EEBB-E753B7026F80}"/>
            </a:ext>
          </a:extLst>
        </xdr:cNvPr>
        <xdr:cNvSpPr>
          <a:spLocks noChangeAspect="1" noChangeArrowheads="1"/>
        </xdr:cNvSpPr>
      </xdr:nvSpPr>
      <xdr:spPr bwMode="auto">
        <a:xfrm>
          <a:off x="2560320" y="73304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38</xdr:row>
      <xdr:rowOff>0</xdr:rowOff>
    </xdr:from>
    <xdr:to>
      <xdr:col>3</xdr:col>
      <xdr:colOff>304800</xdr:colOff>
      <xdr:row>39</xdr:row>
      <xdr:rowOff>106681</xdr:rowOff>
    </xdr:to>
    <xdr:sp macro="" textlink="">
      <xdr:nvSpPr>
        <xdr:cNvPr id="34819" name="AutoShape 3" descr="Image">
          <a:extLst>
            <a:ext uri="{FF2B5EF4-FFF2-40B4-BE49-F238E27FC236}">
              <a16:creationId xmlns:a16="http://schemas.microsoft.com/office/drawing/2014/main" id="{29D682C0-2697-43EF-A3D1-B1ED9C305D68}"/>
            </a:ext>
          </a:extLst>
        </xdr:cNvPr>
        <xdr:cNvSpPr>
          <a:spLocks noChangeAspect="1" noChangeArrowheads="1"/>
        </xdr:cNvSpPr>
      </xdr:nvSpPr>
      <xdr:spPr bwMode="auto">
        <a:xfrm>
          <a:off x="2560320" y="73304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0</xdr:colOff>
      <xdr:row>37</xdr:row>
      <xdr:rowOff>0</xdr:rowOff>
    </xdr:from>
    <xdr:to>
      <xdr:col>4</xdr:col>
      <xdr:colOff>304800</xdr:colOff>
      <xdr:row>38</xdr:row>
      <xdr:rowOff>106680</xdr:rowOff>
    </xdr:to>
    <xdr:sp macro="" textlink="">
      <xdr:nvSpPr>
        <xdr:cNvPr id="34823" name="AutoShape 7" descr="Image">
          <a:extLst>
            <a:ext uri="{FF2B5EF4-FFF2-40B4-BE49-F238E27FC236}">
              <a16:creationId xmlns:a16="http://schemas.microsoft.com/office/drawing/2014/main" id="{D9811DEB-BFDF-710F-EAD6-1F2271FC554E}"/>
            </a:ext>
          </a:extLst>
        </xdr:cNvPr>
        <xdr:cNvSpPr>
          <a:spLocks noChangeAspect="1" noChangeArrowheads="1"/>
        </xdr:cNvSpPr>
      </xdr:nvSpPr>
      <xdr:spPr bwMode="auto">
        <a:xfrm>
          <a:off x="3413760" y="73304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15</xdr:col>
      <xdr:colOff>390837</xdr:colOff>
      <xdr:row>29</xdr:row>
      <xdr:rowOff>60139</xdr:rowOff>
    </xdr:from>
    <xdr:to>
      <xdr:col>24</xdr:col>
      <xdr:colOff>233735</xdr:colOff>
      <xdr:row>55</xdr:row>
      <xdr:rowOff>40624</xdr:rowOff>
    </xdr:to>
    <xdr:pic>
      <xdr:nvPicPr>
        <xdr:cNvPr id="9" name="Image 2">
          <a:extLst>
            <a:ext uri="{FF2B5EF4-FFF2-40B4-BE49-F238E27FC236}">
              <a16:creationId xmlns:a16="http://schemas.microsoft.com/office/drawing/2014/main" id="{0E8ABA63-817E-569A-DB85-8C0F9634BF3E}"/>
            </a:ext>
          </a:extLst>
        </xdr:cNvPr>
        <xdr:cNvPicPr>
          <a:picLocks noChangeAspect="1"/>
        </xdr:cNvPicPr>
      </xdr:nvPicPr>
      <xdr:blipFill>
        <a:blip xmlns:r="http://schemas.openxmlformats.org/officeDocument/2006/relationships" r:embed="rId1"/>
        <a:stretch>
          <a:fillRect/>
        </a:stretch>
      </xdr:blipFill>
      <xdr:spPr>
        <a:xfrm>
          <a:off x="13165543" y="5761692"/>
          <a:ext cx="7386698" cy="5181135"/>
        </a:xfrm>
        <a:prstGeom prst="rect">
          <a:avLst/>
        </a:prstGeom>
      </xdr:spPr>
    </xdr:pic>
    <xdr:clientData/>
  </xdr:twoCellAnchor>
  <xdr:twoCellAnchor editAs="oneCell">
    <xdr:from>
      <xdr:col>6</xdr:col>
      <xdr:colOff>31750</xdr:colOff>
      <xdr:row>32</xdr:row>
      <xdr:rowOff>0</xdr:rowOff>
    </xdr:from>
    <xdr:to>
      <xdr:col>15</xdr:col>
      <xdr:colOff>332683</xdr:colOff>
      <xdr:row>46</xdr:row>
      <xdr:rowOff>130129</xdr:rowOff>
    </xdr:to>
    <xdr:pic>
      <xdr:nvPicPr>
        <xdr:cNvPr id="5" name="Image 7">
          <a:extLst>
            <a:ext uri="{FF2B5EF4-FFF2-40B4-BE49-F238E27FC236}">
              <a16:creationId xmlns:a16="http://schemas.microsoft.com/office/drawing/2014/main" id="{B564C77E-A9AF-B03F-6920-6F4E670ADEE9}"/>
            </a:ext>
          </a:extLst>
        </xdr:cNvPr>
        <xdr:cNvPicPr>
          <a:picLocks noChangeAspect="1"/>
        </xdr:cNvPicPr>
      </xdr:nvPicPr>
      <xdr:blipFill>
        <a:blip xmlns:r="http://schemas.openxmlformats.org/officeDocument/2006/relationships" r:embed="rId2"/>
        <a:stretch>
          <a:fillRect/>
        </a:stretch>
      </xdr:blipFill>
      <xdr:spPr>
        <a:xfrm>
          <a:off x="5175250" y="6593417"/>
          <a:ext cx="7906853" cy="2962688"/>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22</xdr:col>
      <xdr:colOff>219847</xdr:colOff>
      <xdr:row>6</xdr:row>
      <xdr:rowOff>52605</xdr:rowOff>
    </xdr:from>
    <xdr:to>
      <xdr:col>30</xdr:col>
      <xdr:colOff>426420</xdr:colOff>
      <xdr:row>33</xdr:row>
      <xdr:rowOff>75299</xdr:rowOff>
    </xdr:to>
    <xdr:pic>
      <xdr:nvPicPr>
        <xdr:cNvPr id="2" name="Image 1">
          <a:extLst>
            <a:ext uri="{FF2B5EF4-FFF2-40B4-BE49-F238E27FC236}">
              <a16:creationId xmlns:a16="http://schemas.microsoft.com/office/drawing/2014/main" id="{8356F88E-311E-B2A8-EA83-C9E951A31034}"/>
            </a:ext>
          </a:extLst>
        </xdr:cNvPr>
        <xdr:cNvPicPr>
          <a:picLocks noChangeAspect="1"/>
        </xdr:cNvPicPr>
      </xdr:nvPicPr>
      <xdr:blipFill rotWithShape="1">
        <a:blip xmlns:r="http://schemas.openxmlformats.org/officeDocument/2006/relationships" r:embed="rId1"/>
        <a:srcRect t="19573" b="9204"/>
        <a:stretch>
          <a:fillRect/>
        </a:stretch>
      </xdr:blipFill>
      <xdr:spPr>
        <a:xfrm>
          <a:off x="18709553" y="1274046"/>
          <a:ext cx="6930102" cy="5491165"/>
        </a:xfrm>
        <a:prstGeom prst="rect">
          <a:avLst/>
        </a:prstGeom>
      </xdr:spPr>
    </xdr:pic>
    <xdr:clientData/>
  </xdr:twoCellAnchor>
  <xdr:twoCellAnchor editAs="oneCell">
    <xdr:from>
      <xdr:col>2</xdr:col>
      <xdr:colOff>136070</xdr:colOff>
      <xdr:row>34</xdr:row>
      <xdr:rowOff>163285</xdr:rowOff>
    </xdr:from>
    <xdr:to>
      <xdr:col>10</xdr:col>
      <xdr:colOff>575393</xdr:colOff>
      <xdr:row>45</xdr:row>
      <xdr:rowOff>101589</xdr:rowOff>
    </xdr:to>
    <xdr:pic>
      <xdr:nvPicPr>
        <xdr:cNvPr id="3" name="Image 2">
          <a:extLst>
            <a:ext uri="{FF2B5EF4-FFF2-40B4-BE49-F238E27FC236}">
              <a16:creationId xmlns:a16="http://schemas.microsoft.com/office/drawing/2014/main" id="{976AC05F-E2C5-69AB-2439-E23B0A39F50F}"/>
            </a:ext>
          </a:extLst>
        </xdr:cNvPr>
        <xdr:cNvPicPr>
          <a:picLocks noChangeAspect="1"/>
        </xdr:cNvPicPr>
      </xdr:nvPicPr>
      <xdr:blipFill>
        <a:blip xmlns:r="http://schemas.openxmlformats.org/officeDocument/2006/relationships" r:embed="rId2"/>
        <a:stretch>
          <a:fillRect/>
        </a:stretch>
      </xdr:blipFill>
      <xdr:spPr>
        <a:xfrm>
          <a:off x="1809749" y="6892018"/>
          <a:ext cx="7134037" cy="2108642"/>
        </a:xfrm>
        <a:prstGeom prst="rect">
          <a:avLst/>
        </a:prstGeom>
      </xdr:spPr>
    </xdr:pic>
    <xdr:clientData/>
  </xdr:twoCellAnchor>
  <xdr:twoCellAnchor editAs="oneCell">
    <xdr:from>
      <xdr:col>12</xdr:col>
      <xdr:colOff>212912</xdr:colOff>
      <xdr:row>34</xdr:row>
      <xdr:rowOff>181842</xdr:rowOff>
    </xdr:from>
    <xdr:to>
      <xdr:col>21</xdr:col>
      <xdr:colOff>573797</xdr:colOff>
      <xdr:row>43</xdr:row>
      <xdr:rowOff>147677</xdr:rowOff>
    </xdr:to>
    <xdr:pic>
      <xdr:nvPicPr>
        <xdr:cNvPr id="4" name="Image 3">
          <a:extLst>
            <a:ext uri="{FF2B5EF4-FFF2-40B4-BE49-F238E27FC236}">
              <a16:creationId xmlns:a16="http://schemas.microsoft.com/office/drawing/2014/main" id="{09409080-00E2-B3AD-D9FA-FA82035BB005}"/>
            </a:ext>
          </a:extLst>
        </xdr:cNvPr>
        <xdr:cNvPicPr>
          <a:picLocks noChangeAspect="1"/>
        </xdr:cNvPicPr>
      </xdr:nvPicPr>
      <xdr:blipFill>
        <a:blip xmlns:r="http://schemas.openxmlformats.org/officeDocument/2006/relationships" r:embed="rId3"/>
        <a:stretch>
          <a:fillRect/>
        </a:stretch>
      </xdr:blipFill>
      <xdr:spPr>
        <a:xfrm>
          <a:off x="10292094" y="6979229"/>
          <a:ext cx="7920272" cy="1758266"/>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20</xdr:col>
      <xdr:colOff>336175</xdr:colOff>
      <xdr:row>15</xdr:row>
      <xdr:rowOff>1</xdr:rowOff>
    </xdr:from>
    <xdr:to>
      <xdr:col>23</xdr:col>
      <xdr:colOff>775556</xdr:colOff>
      <xdr:row>30</xdr:row>
      <xdr:rowOff>57792</xdr:rowOff>
    </xdr:to>
    <xdr:pic>
      <xdr:nvPicPr>
        <xdr:cNvPr id="5" name="Image 1">
          <a:extLst>
            <a:ext uri="{FF2B5EF4-FFF2-40B4-BE49-F238E27FC236}">
              <a16:creationId xmlns:a16="http://schemas.microsoft.com/office/drawing/2014/main" id="{5C7B83F9-A6C2-4E9A-8E07-754C3AC51776}"/>
            </a:ext>
          </a:extLst>
        </xdr:cNvPr>
        <xdr:cNvPicPr>
          <a:picLocks noChangeAspect="1"/>
        </xdr:cNvPicPr>
      </xdr:nvPicPr>
      <xdr:blipFill rotWithShape="1">
        <a:blip xmlns:r="http://schemas.openxmlformats.org/officeDocument/2006/relationships" r:embed="rId1"/>
        <a:srcRect l="35486"/>
        <a:stretch>
          <a:fillRect/>
        </a:stretch>
      </xdr:blipFill>
      <xdr:spPr>
        <a:xfrm>
          <a:off x="17963028" y="3014383"/>
          <a:ext cx="2953981" cy="3029591"/>
        </a:xfrm>
        <a:prstGeom prst="rect">
          <a:avLst/>
        </a:prstGeom>
      </xdr:spPr>
    </xdr:pic>
    <xdr:clientData/>
  </xdr:twoCellAnchor>
  <xdr:twoCellAnchor editAs="oneCell">
    <xdr:from>
      <xdr:col>7</xdr:col>
      <xdr:colOff>580125</xdr:colOff>
      <xdr:row>81</xdr:row>
      <xdr:rowOff>36635</xdr:rowOff>
    </xdr:from>
    <xdr:to>
      <xdr:col>13</xdr:col>
      <xdr:colOff>255692</xdr:colOff>
      <xdr:row>81</xdr:row>
      <xdr:rowOff>732693</xdr:rowOff>
    </xdr:to>
    <xdr:pic>
      <xdr:nvPicPr>
        <xdr:cNvPr id="9" name="Image 2">
          <a:extLst>
            <a:ext uri="{FF2B5EF4-FFF2-40B4-BE49-F238E27FC236}">
              <a16:creationId xmlns:a16="http://schemas.microsoft.com/office/drawing/2014/main" id="{B39D4730-C775-6B06-4C9A-431E07F51DFB}"/>
            </a:ext>
          </a:extLst>
        </xdr:cNvPr>
        <xdr:cNvPicPr>
          <a:picLocks noChangeAspect="1"/>
        </xdr:cNvPicPr>
      </xdr:nvPicPr>
      <xdr:blipFill>
        <a:blip xmlns:r="http://schemas.openxmlformats.org/officeDocument/2006/relationships" r:embed="rId2"/>
        <a:stretch>
          <a:fillRect/>
        </a:stretch>
      </xdr:blipFill>
      <xdr:spPr>
        <a:xfrm>
          <a:off x="6427010" y="16111904"/>
          <a:ext cx="4872407" cy="696058"/>
        </a:xfrm>
        <a:prstGeom prst="rect">
          <a:avLst/>
        </a:prstGeom>
      </xdr:spPr>
    </xdr:pic>
    <xdr:clientData/>
  </xdr:twoCellAnchor>
  <xdr:twoCellAnchor editAs="oneCell">
    <xdr:from>
      <xdr:col>6</xdr:col>
      <xdr:colOff>748393</xdr:colOff>
      <xdr:row>84</xdr:row>
      <xdr:rowOff>0</xdr:rowOff>
    </xdr:from>
    <xdr:to>
      <xdr:col>16</xdr:col>
      <xdr:colOff>316340</xdr:colOff>
      <xdr:row>119</xdr:row>
      <xdr:rowOff>96231</xdr:rowOff>
    </xdr:to>
    <xdr:pic>
      <xdr:nvPicPr>
        <xdr:cNvPr id="13" name="Image 3">
          <a:extLst>
            <a:ext uri="{FF2B5EF4-FFF2-40B4-BE49-F238E27FC236}">
              <a16:creationId xmlns:a16="http://schemas.microsoft.com/office/drawing/2014/main" id="{F7775164-70B3-E68E-306A-778BF1BF4573}"/>
            </a:ext>
          </a:extLst>
        </xdr:cNvPr>
        <xdr:cNvPicPr>
          <a:picLocks noChangeAspect="1"/>
        </xdr:cNvPicPr>
      </xdr:nvPicPr>
      <xdr:blipFill rotWithShape="1">
        <a:blip xmlns:r="http://schemas.openxmlformats.org/officeDocument/2006/relationships" r:embed="rId3"/>
        <a:srcRect l="4909"/>
        <a:stretch>
          <a:fillRect/>
        </a:stretch>
      </xdr:blipFill>
      <xdr:spPr>
        <a:xfrm>
          <a:off x="5810250" y="17675679"/>
          <a:ext cx="8170927" cy="7030431"/>
        </a:xfrm>
        <a:prstGeom prst="rect">
          <a:avLst/>
        </a:prstGeom>
      </xdr:spPr>
    </xdr:pic>
    <xdr:clientData/>
  </xdr:twoCellAnchor>
  <xdr:twoCellAnchor editAs="oneCell">
    <xdr:from>
      <xdr:col>16</xdr:col>
      <xdr:colOff>925287</xdr:colOff>
      <xdr:row>84</xdr:row>
      <xdr:rowOff>54428</xdr:rowOff>
    </xdr:from>
    <xdr:to>
      <xdr:col>24</xdr:col>
      <xdr:colOff>1379871</xdr:colOff>
      <xdr:row>99</xdr:row>
      <xdr:rowOff>26264</xdr:rowOff>
    </xdr:to>
    <xdr:pic>
      <xdr:nvPicPr>
        <xdr:cNvPr id="3" name="Image 1">
          <a:extLst>
            <a:ext uri="{FF2B5EF4-FFF2-40B4-BE49-F238E27FC236}">
              <a16:creationId xmlns:a16="http://schemas.microsoft.com/office/drawing/2014/main" id="{D7669D5D-2CF2-21DB-3FE2-E24F90A5140F}"/>
            </a:ext>
          </a:extLst>
        </xdr:cNvPr>
        <xdr:cNvPicPr>
          <a:picLocks noChangeAspect="1"/>
        </xdr:cNvPicPr>
      </xdr:nvPicPr>
      <xdr:blipFill>
        <a:blip xmlns:r="http://schemas.openxmlformats.org/officeDocument/2006/relationships" r:embed="rId4"/>
        <a:stretch>
          <a:fillRect/>
        </a:stretch>
      </xdr:blipFill>
      <xdr:spPr>
        <a:xfrm>
          <a:off x="14641287" y="18750642"/>
          <a:ext cx="8554644" cy="2943636"/>
        </a:xfrm>
        <a:prstGeom prst="rect">
          <a:avLst/>
        </a:prstGeom>
      </xdr:spPr>
    </xdr:pic>
    <xdr:clientData/>
  </xdr:twoCellAnchor>
  <xdr:twoCellAnchor editAs="oneCell">
    <xdr:from>
      <xdr:col>17</xdr:col>
      <xdr:colOff>789214</xdr:colOff>
      <xdr:row>99</xdr:row>
      <xdr:rowOff>176894</xdr:rowOff>
    </xdr:from>
    <xdr:to>
      <xdr:col>23</xdr:col>
      <xdr:colOff>807084</xdr:colOff>
      <xdr:row>108</xdr:row>
      <xdr:rowOff>146659</xdr:rowOff>
    </xdr:to>
    <xdr:pic>
      <xdr:nvPicPr>
        <xdr:cNvPr id="6" name="Image 2">
          <a:extLst>
            <a:ext uri="{FF2B5EF4-FFF2-40B4-BE49-F238E27FC236}">
              <a16:creationId xmlns:a16="http://schemas.microsoft.com/office/drawing/2014/main" id="{0B6C6745-1388-067D-1B8A-1C0AC11FE726}"/>
            </a:ext>
          </a:extLst>
        </xdr:cNvPr>
        <xdr:cNvPicPr>
          <a:picLocks noChangeAspect="1"/>
        </xdr:cNvPicPr>
      </xdr:nvPicPr>
      <xdr:blipFill>
        <a:blip xmlns:r="http://schemas.openxmlformats.org/officeDocument/2006/relationships" r:embed="rId5"/>
        <a:stretch>
          <a:fillRect/>
        </a:stretch>
      </xdr:blipFill>
      <xdr:spPr>
        <a:xfrm>
          <a:off x="15797893" y="21934715"/>
          <a:ext cx="5191850" cy="1752845"/>
        </a:xfrm>
        <a:prstGeom prst="rect">
          <a:avLst/>
        </a:prstGeom>
      </xdr:spPr>
    </xdr:pic>
    <xdr:clientData/>
  </xdr:twoCellAnchor>
  <xdr:twoCellAnchor editAs="oneCell">
    <xdr:from>
      <xdr:col>18</xdr:col>
      <xdr:colOff>176893</xdr:colOff>
      <xdr:row>108</xdr:row>
      <xdr:rowOff>40821</xdr:rowOff>
    </xdr:from>
    <xdr:to>
      <xdr:col>23</xdr:col>
      <xdr:colOff>1442595</xdr:colOff>
      <xdr:row>113</xdr:row>
      <xdr:rowOff>79065</xdr:rowOff>
    </xdr:to>
    <xdr:pic>
      <xdr:nvPicPr>
        <xdr:cNvPr id="8" name="Image 3">
          <a:extLst>
            <a:ext uri="{FF2B5EF4-FFF2-40B4-BE49-F238E27FC236}">
              <a16:creationId xmlns:a16="http://schemas.microsoft.com/office/drawing/2014/main" id="{8F0871AA-09A8-4E38-9708-413A25666036}"/>
            </a:ext>
          </a:extLst>
        </xdr:cNvPr>
        <xdr:cNvPicPr>
          <a:picLocks noChangeAspect="1"/>
        </xdr:cNvPicPr>
      </xdr:nvPicPr>
      <xdr:blipFill>
        <a:blip xmlns:r="http://schemas.openxmlformats.org/officeDocument/2006/relationships" r:embed="rId6"/>
        <a:stretch>
          <a:fillRect/>
        </a:stretch>
      </xdr:blipFill>
      <xdr:spPr>
        <a:xfrm>
          <a:off x="16029214" y="23635607"/>
          <a:ext cx="5601482" cy="1028844"/>
        </a:xfrm>
        <a:prstGeom prst="rect">
          <a:avLst/>
        </a:prstGeom>
      </xdr:spPr>
    </xdr:pic>
    <xdr:clientData/>
  </xdr:twoCellAnchor>
  <xdr:twoCellAnchor editAs="oneCell">
    <xdr:from>
      <xdr:col>20</xdr:col>
      <xdr:colOff>256368</xdr:colOff>
      <xdr:row>100</xdr:row>
      <xdr:rowOff>58611</xdr:rowOff>
    </xdr:from>
    <xdr:to>
      <xdr:col>21</xdr:col>
      <xdr:colOff>78048</xdr:colOff>
      <xdr:row>102</xdr:row>
      <xdr:rowOff>43611</xdr:rowOff>
    </xdr:to>
    <mc:AlternateContent xmlns:mc="http://schemas.openxmlformats.org/markup-compatibility/2006" xmlns:xdr14="http://schemas.microsoft.com/office/excel/2010/spreadsheetDrawing">
      <mc:Choice Requires="xdr14">
        <xdr:contentPart xmlns:r="http://schemas.openxmlformats.org/officeDocument/2006/relationships" r:id="rId7">
          <xdr14:nvContentPartPr>
            <xdr14:cNvPr id="10" name="Encre 5">
              <a:extLst>
                <a:ext uri="{FF2B5EF4-FFF2-40B4-BE49-F238E27FC236}">
                  <a16:creationId xmlns:a16="http://schemas.microsoft.com/office/drawing/2014/main" id="{168AA721-FEF9-245F-D58F-88D8C00E946A}"/>
                </a:ext>
              </a:extLst>
            </xdr14:cNvPr>
            <xdr14:cNvContentPartPr/>
          </xdr14:nvContentPartPr>
          <xdr14:nvPr macro=""/>
          <xdr14:xfrm>
            <a:off x="17797022" y="21541149"/>
            <a:ext cx="659880" cy="381240"/>
          </xdr14:xfrm>
        </xdr:contentPart>
      </mc:Choice>
      <mc:Fallback xmlns="">
        <xdr:pic>
          <xdr:nvPicPr>
            <xdr:cNvPr id="6" name="Encre 5">
              <a:extLst>
                <a:ext uri="{FF2B5EF4-FFF2-40B4-BE49-F238E27FC236}">
                  <a16:creationId xmlns:a16="http://schemas.microsoft.com/office/drawing/2014/main" id="{168AA721-FEF9-245F-D58F-88D8C00E946A}"/>
                </a:ext>
              </a:extLst>
            </xdr:cNvPr>
            <xdr:cNvPicPr/>
          </xdr:nvPicPr>
          <xdr:blipFill>
            <a:blip xmlns:r="http://schemas.openxmlformats.org/officeDocument/2006/relationships" r:embed="rId8"/>
            <a:stretch>
              <a:fillRect/>
            </a:stretch>
          </xdr:blipFill>
          <xdr:spPr>
            <a:xfrm>
              <a:off x="17779022" y="21523149"/>
              <a:ext cx="695520" cy="416880"/>
            </a:xfrm>
            <a:prstGeom prst="rect">
              <a:avLst/>
            </a:prstGeom>
          </xdr:spPr>
        </xdr:pic>
      </mc:Fallback>
    </mc:AlternateContent>
    <xdr:clientData/>
  </xdr:twoCellAnchor>
  <xdr:twoCellAnchor editAs="oneCell">
    <xdr:from>
      <xdr:col>20</xdr:col>
      <xdr:colOff>117408</xdr:colOff>
      <xdr:row>100</xdr:row>
      <xdr:rowOff>87771</xdr:rowOff>
    </xdr:from>
    <xdr:to>
      <xdr:col>21</xdr:col>
      <xdr:colOff>2171</xdr:colOff>
      <xdr:row>103</xdr:row>
      <xdr:rowOff>43491</xdr:rowOff>
    </xdr:to>
    <mc:AlternateContent xmlns:mc="http://schemas.openxmlformats.org/markup-compatibility/2006" xmlns:xdr14="http://schemas.microsoft.com/office/excel/2010/spreadsheetDrawing">
      <mc:Choice Requires="xdr14">
        <xdr:contentPart xmlns:r="http://schemas.openxmlformats.org/officeDocument/2006/relationships" r:id="rId9">
          <xdr14:nvContentPartPr>
            <xdr14:cNvPr id="11" name="Encre 6">
              <a:extLst>
                <a:ext uri="{FF2B5EF4-FFF2-40B4-BE49-F238E27FC236}">
                  <a16:creationId xmlns:a16="http://schemas.microsoft.com/office/drawing/2014/main" id="{3F09A8B5-7155-FF22-3A2B-08D6B0955396}"/>
                </a:ext>
              </a:extLst>
            </xdr14:cNvPr>
            <xdr14:cNvContentPartPr/>
          </xdr14:nvContentPartPr>
          <xdr14:nvPr macro=""/>
          <xdr14:xfrm>
            <a:off x="17658062" y="21570309"/>
            <a:ext cx="718200" cy="550080"/>
          </xdr14:xfrm>
        </xdr:contentPart>
      </mc:Choice>
      <mc:Fallback xmlns="">
        <xdr:pic>
          <xdr:nvPicPr>
            <xdr:cNvPr id="7" name="Encre 6">
              <a:extLst>
                <a:ext uri="{FF2B5EF4-FFF2-40B4-BE49-F238E27FC236}">
                  <a16:creationId xmlns:a16="http://schemas.microsoft.com/office/drawing/2014/main" id="{3F09A8B5-7155-FF22-3A2B-08D6B0955396}"/>
                </a:ext>
              </a:extLst>
            </xdr:cNvPr>
            <xdr:cNvPicPr/>
          </xdr:nvPicPr>
          <xdr:blipFill>
            <a:blip xmlns:r="http://schemas.openxmlformats.org/officeDocument/2006/relationships" r:embed="rId10"/>
            <a:stretch>
              <a:fillRect/>
            </a:stretch>
          </xdr:blipFill>
          <xdr:spPr>
            <a:xfrm>
              <a:off x="17640062" y="21552309"/>
              <a:ext cx="753840" cy="585720"/>
            </a:xfrm>
            <a:prstGeom prst="rect">
              <a:avLst/>
            </a:prstGeom>
          </xdr:spPr>
        </xdr:pic>
      </mc:Fallback>
    </mc:AlternateContent>
    <xdr:clientData/>
  </xdr:twoCellAnchor>
  <xdr:twoCellAnchor editAs="oneCell">
    <xdr:from>
      <xdr:col>20</xdr:col>
      <xdr:colOff>786935</xdr:colOff>
      <xdr:row>110</xdr:row>
      <xdr:rowOff>24057</xdr:rowOff>
    </xdr:from>
    <xdr:to>
      <xdr:col>21</xdr:col>
      <xdr:colOff>589895</xdr:colOff>
      <xdr:row>112</xdr:row>
      <xdr:rowOff>181857</xdr:rowOff>
    </xdr:to>
    <mc:AlternateContent xmlns:mc="http://schemas.openxmlformats.org/markup-compatibility/2006" xmlns:xdr14="http://schemas.microsoft.com/office/excel/2010/spreadsheetDrawing">
      <mc:Choice Requires="xdr14">
        <xdr:contentPart xmlns:r="http://schemas.openxmlformats.org/officeDocument/2006/relationships" r:id="rId11">
          <xdr14:nvContentPartPr>
            <xdr14:cNvPr id="18" name="Encre 10">
              <a:extLst>
                <a:ext uri="{FF2B5EF4-FFF2-40B4-BE49-F238E27FC236}">
                  <a16:creationId xmlns:a16="http://schemas.microsoft.com/office/drawing/2014/main" id="{C3FB87EF-5974-7031-0152-FA45F28D51F0}"/>
                </a:ext>
              </a:extLst>
            </xdr14:cNvPr>
            <xdr14:cNvContentPartPr/>
          </xdr14:nvContentPartPr>
          <xdr14:nvPr macro=""/>
          <xdr14:xfrm>
            <a:off x="18358053" y="23731281"/>
            <a:ext cx="641160" cy="554040"/>
          </xdr14:xfrm>
        </xdr:contentPart>
      </mc:Choice>
      <mc:Fallback xmlns="">
        <xdr:pic>
          <xdr:nvPicPr>
            <xdr:cNvPr id="11" name="Encre 10">
              <a:extLst>
                <a:ext uri="{FF2B5EF4-FFF2-40B4-BE49-F238E27FC236}">
                  <a16:creationId xmlns:a16="http://schemas.microsoft.com/office/drawing/2014/main" id="{C3FB87EF-5974-7031-0152-FA45F28D51F0}"/>
                </a:ext>
              </a:extLst>
            </xdr:cNvPr>
            <xdr:cNvPicPr/>
          </xdr:nvPicPr>
          <xdr:blipFill>
            <a:blip xmlns:r="http://schemas.openxmlformats.org/officeDocument/2006/relationships" r:embed="rId12"/>
            <a:stretch>
              <a:fillRect/>
            </a:stretch>
          </xdr:blipFill>
          <xdr:spPr>
            <a:xfrm>
              <a:off x="18340053" y="23713281"/>
              <a:ext cx="676800" cy="589680"/>
            </a:xfrm>
            <a:prstGeom prst="rect">
              <a:avLst/>
            </a:prstGeom>
          </xdr:spPr>
        </xdr:pic>
      </mc:Fallback>
    </mc:AlternateContent>
    <xdr:clientData/>
  </xdr:twoCellAnchor>
  <xdr:twoCellAnchor editAs="oneCell">
    <xdr:from>
      <xdr:col>25</xdr:col>
      <xdr:colOff>22412</xdr:colOff>
      <xdr:row>84</xdr:row>
      <xdr:rowOff>11206</xdr:rowOff>
    </xdr:from>
    <xdr:to>
      <xdr:col>31</xdr:col>
      <xdr:colOff>785220</xdr:colOff>
      <xdr:row>90</xdr:row>
      <xdr:rowOff>127593</xdr:rowOff>
    </xdr:to>
    <xdr:pic>
      <xdr:nvPicPr>
        <xdr:cNvPr id="20" name="Image 11">
          <a:extLst>
            <a:ext uri="{FF2B5EF4-FFF2-40B4-BE49-F238E27FC236}">
              <a16:creationId xmlns:a16="http://schemas.microsoft.com/office/drawing/2014/main" id="{6194283E-7768-852C-9554-27C13596196A}"/>
            </a:ext>
          </a:extLst>
        </xdr:cNvPr>
        <xdr:cNvPicPr>
          <a:picLocks noChangeAspect="1"/>
        </xdr:cNvPicPr>
      </xdr:nvPicPr>
      <xdr:blipFill>
        <a:blip xmlns:r="http://schemas.openxmlformats.org/officeDocument/2006/relationships" r:embed="rId13"/>
        <a:stretch>
          <a:fillRect/>
        </a:stretch>
      </xdr:blipFill>
      <xdr:spPr>
        <a:xfrm>
          <a:off x="23375471" y="18601765"/>
          <a:ext cx="5792008" cy="1305107"/>
        </a:xfrm>
        <a:prstGeom prst="rect">
          <a:avLst/>
        </a:prstGeom>
      </xdr:spPr>
    </xdr:pic>
    <xdr:clientData/>
  </xdr:twoCellAnchor>
  <xdr:twoCellAnchor editAs="oneCell">
    <xdr:from>
      <xdr:col>18</xdr:col>
      <xdr:colOff>207309</xdr:colOff>
      <xdr:row>51</xdr:row>
      <xdr:rowOff>84043</xdr:rowOff>
    </xdr:from>
    <xdr:to>
      <xdr:col>21</xdr:col>
      <xdr:colOff>506615</xdr:colOff>
      <xdr:row>66</xdr:row>
      <xdr:rowOff>130628</xdr:rowOff>
    </xdr:to>
    <xdr:pic>
      <xdr:nvPicPr>
        <xdr:cNvPr id="2" name="Image 1">
          <a:extLst>
            <a:ext uri="{FF2B5EF4-FFF2-40B4-BE49-F238E27FC236}">
              <a16:creationId xmlns:a16="http://schemas.microsoft.com/office/drawing/2014/main" id="{ED7AE333-C7EF-4B8A-B870-1E4372F62E6F}"/>
            </a:ext>
          </a:extLst>
        </xdr:cNvPr>
        <xdr:cNvPicPr>
          <a:picLocks noChangeAspect="1"/>
        </xdr:cNvPicPr>
      </xdr:nvPicPr>
      <xdr:blipFill rotWithShape="1">
        <a:blip xmlns:r="http://schemas.openxmlformats.org/officeDocument/2006/relationships" r:embed="rId1"/>
        <a:srcRect l="35486"/>
        <a:stretch>
          <a:fillRect/>
        </a:stretch>
      </xdr:blipFill>
      <xdr:spPr>
        <a:xfrm>
          <a:off x="15996397" y="11435602"/>
          <a:ext cx="2960704" cy="3072173"/>
        </a:xfrm>
        <a:prstGeom prst="rect">
          <a:avLst/>
        </a:prstGeom>
      </xdr:spPr>
    </xdr:pic>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16T21:50:02.826"/>
    </inkml:context>
    <inkml:brush xml:id="br0">
      <inkml:brushProperty name="width" value="0.035" units="cm"/>
      <inkml:brushProperty name="height" value="0.035" units="cm"/>
      <inkml:brushProperty name="color" value="#E71224"/>
    </inkml:brush>
  </inkml:definitions>
  <inkml:trace contextRef="#ctx0" brushRef="#br0">1 191 24575,'22'-2'0,"0"-1"0,1-1 0,-1-1 0,-1-1 0,35-14 0,-10 4 0,4-2 0,-12 4 0,0 2 0,1 1 0,1 2 0,78-8 0,89-6 0,-186 20 0,35-9 0,-39 7 0,0 2 0,28-3 0,227 4 60,-143 4-1485,-99-2-5401</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16T21:50:08.970"/>
    </inkml:context>
    <inkml:brush xml:id="br0">
      <inkml:brushProperty name="width" value="0.035" units="cm"/>
      <inkml:brushProperty name="height" value="0.035" units="cm"/>
      <inkml:brushProperty name="color" value="#E71224"/>
    </inkml:brush>
  </inkml:definitions>
  <inkml:trace contextRef="#ctx0" brushRef="#br0">351 896 24575,'13'-9'0,"1"5"0,1-2 0,-3 0 0,2 1 0,1 1 0,22-2 0,15-9 0,-43 13 0,342-106 0,-5-24 0,-213 64 0,-37 14 0,89-42 0,-131 64 0,-41 25 0,2-4 0,27-8 0,35-19 74,-60 29-434,1 0 1,-2 1-1,37-10 0,-29 12-6466</inkml:trace>
  <inkml:trace contextRef="#ctx0" brushRef="#br0" timeOffset="1455.23">1515 2270 24575,'34'-11'0,"59"-25"0,-24 4 0,22 2 0,-26 6 0,-2-1 0,88-50 0,119-72 0,-214 116 0,0-2 0,101-33 0,-45 16 0,-44 23 0,102-63 0,-44 21 0,-39 21-1365,-68 37-5461</inkml:trace>
  <inkml:trace contextRef="#ctx0" brushRef="#br0" timeOffset="7332.76">1595 1289 24575,'14'16'0,"-1"3"0,1-4 0,29 29 0,-12-16 0,43 38 0,3 0 0,98 58 0,-85-59 0,-58-41 0,-2 5 0,0-2 0,33 43 0,-40-41 0,4 0 0,-1-3 0,52 39 0,-61-53-151,-3 3 0,1-4 0,1 6 0,-3 2 1,25 29-1,-31-38-309,9 9-6366</inkml:trace>
  <inkml:trace contextRef="#ctx0" brushRef="#br0" timeOffset="8584.7">0 0 24575,'29'2'0,"-1"1"0,1 2 0,51 15 0,-16-3 0,562 105 0,-544-107 0,1 3 0,-2-1 0,130 53 0,-174-53 0,0 5 0,-1-1 0,-2 6 0,40 30 0,64 44 0,-103-76 0,55 40 0,-74-51 0,-1 4 0,0-1 0,-1-3 0,0 5 0,10 16 0,35 83 112,-40-79-850,24 44-1,-27-59-6087</inkml:trace>
</inkml:ink>
</file>

<file path=xl/ink/ink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16T21:50:22.255"/>
    </inkml:context>
    <inkml:brush xml:id="br0">
      <inkml:brushProperty name="width" value="0.035" units="cm"/>
      <inkml:brushProperty name="height" value="0.035" units="cm"/>
      <inkml:brushProperty name="color" value="#E71224"/>
    </inkml:brush>
  </inkml:definitions>
  <inkml:trace contextRef="#ctx0" brushRef="#br0">1 1 24575,'27'2'0,"0"1"0,52 14 0,-26-6 0,359 50 0,-292-45 0,-90-10 0,-1 1 0,-1 3 0,1 0 0,-1 1 0,43 26 0,-18-10 0,72 45 0,-17-7 0,-81-47 0,0 1 0,-1 0 0,-2 2 0,42 45 0,5 3 0,13 8 0,94 83 0,-153-140-682,54 33-1,-56-41-6143</inkml:trace>
</inkml:ink>
</file>

<file path=xl/ink/ink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16T21:51:04.869"/>
    </inkml:context>
    <inkml:brush xml:id="br0">
      <inkml:brushProperty name="width" value="0.035" units="cm"/>
      <inkml:brushProperty name="height" value="0.035" units="cm"/>
      <inkml:brushProperty name="color" value="#E71224"/>
    </inkml:brush>
  </inkml:definitions>
  <inkml:trace contextRef="#ctx0" brushRef="#br0">294 66 24575,'9'1'0,"-1"0"0,1 0 0,-1 1 0,0 0 0,-1 2 0,3-1 0,-2 0 0,-1-1 0,1 3 0,-2-2 0,14 11 0,0 3 0,-3 0 0,30 35 0,61 77 0,124 138 0,-167-204-17,5-7 0,93 67 0,-54-45-1297,-80-56-5512</inkml:trace>
  <inkml:trace contextRef="#ctx0" brushRef="#br0" timeOffset="997.22">0 865 24575,'10'-1'0,"1"0"0,-3-1 0,1 0 0,1-1 0,0 0 0,-1 0 0,0 0 0,13-9 0,9-3 0,46-23 0,0-5 0,-2-1 0,99-82 0,-51 24 0,113-127 0,-79 84 57,-82 79-1479,-46 39-5404</inkml:trace>
</inkml:ink>
</file>

<file path=xl/ink/ink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16T21:51:09.206"/>
    </inkml:context>
    <inkml:brush xml:id="br0">
      <inkml:brushProperty name="width" value="0.035" units="cm"/>
      <inkml:brushProperty name="height" value="0.035" units="cm"/>
      <inkml:brushProperty name="color" value="#E71224"/>
    </inkml:brush>
  </inkml:definitions>
  <inkml:trace contextRef="#ctx0" brushRef="#br0">56 125 24575,'18'-10'0,"-6"5"0,0-1 0,1 1 0,0 2 0,0-1 0,19-1 0,73-5 0,-78 8 0,16-1 0,10-2 0,1 1 0,-2 4 0,84 10 0,6 26 0,-9-3 0,-112-28 0,0 2 0,-1 0 0,0 1 0,0 0 0,-1 2 0,0 1 0,-1 0 0,30 25 0,5-3 0,-36-23 0,-2 0 0,25 20 0,19 22 0,3-2 0,2-2 0,83 45 0,33 12 0,-172-100-227,1 0-1,0-1 1,1 0-1,0 0 1,15 3-1,-3-2-6598</inkml:trace>
  <inkml:trace contextRef="#ctx0" brushRef="#br0" timeOffset="1804.24">1 932 24575,'11'-1'0,"1"-1"0,-1 0 0,0-2 0,1 2 0,-1-2 0,0 0 0,16-10 0,-2 1 0,22-11 0,-3-2 0,0-1 0,-2-3 0,46-42 0,-56 47 0,-19 14 0,-1 2 0,-1 0 0,0-3 0,15-14 0,90-100 0,-89 100 0,-8 8 0,1 1 0,2 1 0,0 1 0,39-19 0,20-14 0,-26 10 0,4 3 0,-1 3 0,2 3 0,106-37 0,-102 50 0,-28 5 0,45-16 0,-51 16 0,2 1 0,-2 2 0,2 1 0,50-6 0,-46 8-1365,-2-1-5461</inkml:trace>
</inkml:ink>
</file>

<file path=xl/ink/ink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16T21:53:38.170"/>
    </inkml:context>
    <inkml:brush xml:id="br0">
      <inkml:brushProperty name="width" value="0.035" units="cm"/>
      <inkml:brushProperty name="height" value="0.035" units="cm"/>
      <inkml:brushProperty name="color" value="#E71224"/>
    </inkml:brush>
  </inkml:definitions>
  <inkml:trace contextRef="#ctx0" brushRef="#br0">80 0 24575,'-11'27'0,"5"5"0,0-6 0,3 2 0,-1 34 0,4 115 0,1-88 0,-2 18 0,3 101 0,-1-204 0,-1-1 0,0 0 0,1-1 0,-1 0 0,1 1 0,0 0 0,0 0 0,0 3 0,1-3 0,1-1 0,-2 0 0,1 1 0,-1-1 0,1 0 0,3 0 0,-3 1 0,1-1 0,0 0 0,0 0 0,-1 1 0,0-2 0,1 2 0,0-2 0,0 1 0,0-1 0,1 1 0,12 3 0,-2-2 0,2-1 0,-2 1 0,22-1 0,-10-2 0,85 12 0,193 46 0,-228-31 0,-59-18 0,0-1 0,3 0 0,26 3 0,31-3 0,-2-4 0,106-6 0,-60-1 0,1122 2 0,-641 1 0,-513 4 0,93 18 0,28 1 0,713-14 0,-561-11 0,2801 2 0,-2841 13 0,-86-2 0,548 22 0,-516-24 0,193 9 0,2436-17 0,-1367-3 0,-1239-14 0,-24 5 0,-211 12 0,-40 0 0,3 0 0,-3-1 0,1-1 0,0 0 0,2-1 0,31-10 0,-47 10 0,0 0 0,-1-1 0,1 1 0,0 0 0,0-2 0,0 1 0,1 1 0,-1 1 0,-1-2 0,0 1 0,0-4 0,0 4 0,2-6 0,23-54 0,-17 35 0,0 0 0,3 0 0,-3 0 0,-4-1 0,1-1 0,-1 0 0,-1 2 0,1-47 0,7-93 0,-1 7 0,-11 127 0,-3-91 0,0 113 0,-1-1 0,-1-1 0,0 3 0,0 0 0,-1-1 0,0 1 0,0 1 0,-2-1 0,0 1 0,-10-13 0,13 20 0,-1 0 0,0-1 0,0 0 0,2-1 0,-2 3 0,1-2 0,-1 1 0,2 1 0,-1-1 0,-2 1 0,1 0 0,0 0 0,-9-1 0,2 1 0,-179-11 0,-208 12 0,361 0 0,-477 35 0,475-31 0,-41 16 0,49-12 0,-63 8 0,-222-10 0,190-9 0,-545 2 0,638 4 0,1 0 0,0 2 0,-38 12 0,30-8 0,-53 6 0,-444-4 0,332-14 0,-5315 0-882,2949 5 1764,2243 13-882,111-3 0,-375-9 0,307-6 0,113 6 0,-183-7 0,310 0 0,-91-21 0,43 5 0,-43 0 0,3 10 0,-149 3 0,-403 8 0,673-2-14,-5-1 0,6 0-1,-2-2 1,-1 0-1,2 0 1,-2 0 0,4-2-1,-20-10 1,-9-1-1222,17 4-5590</inkml:trace>
</inkml:ink>
</file>

<file path=xl/ink/ink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1-02T20:13:57.037"/>
    </inkml:context>
    <inkml:brush xml:id="br0">
      <inkml:brushProperty name="width" value="0.1" units="cm"/>
      <inkml:brushProperty name="height" value="0.1" units="cm"/>
      <inkml:brushProperty name="color" value="#008C3A"/>
    </inkml:brush>
  </inkml:definitions>
  <inkml:trace contextRef="#ctx0" brushRef="#br0">1 20 9830,'180'-10'5847,"-20"1"-977,-152 9-4825</inkml:trace>
</inkml:ink>
</file>

<file path=xl/ink/ink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1-02T20:14:00.154"/>
    </inkml:context>
    <inkml:brush xml:id="br0">
      <inkml:brushProperty name="width" value="0.1" units="cm"/>
      <inkml:brushProperty name="height" value="0.1" units="cm"/>
      <inkml:brushProperty name="color" value="#008C3A"/>
    </inkml:brush>
  </inkml:definitions>
  <inkml:trace contextRef="#ctx0" brushRef="#br0">1 10 9830,'605'0'16384,"-464"-9"-16384,67 9 0,-200 0 0</inkml:trace>
</inkml:ink>
</file>

<file path=xl/ink/ink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10-17T07:27:57.199"/>
    </inkml:context>
    <inkml:brush xml:id="br0">
      <inkml:brushProperty name="width" value="0.3" units="cm"/>
      <inkml:brushProperty name="height" value="0.6" units="cm"/>
      <inkml:brushProperty name="color" value="#FFFC00"/>
      <inkml:brushProperty name="tip" value="rectangle"/>
      <inkml:brushProperty name="rasterOp" value="maskPen"/>
      <inkml:brushProperty name="ignorePressure" value="1"/>
    </inkml:brush>
  </inkml:definitions>
  <inkml:trace contextRef="#ctx0" brushRef="#br0">1 30,'212'-13,"-40"0,259 10,-284 3,-130 0</inkml:trace>
</inkml:ink>
</file>

<file path=xl/ink/ink1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10-17T07:27:59.482"/>
    </inkml:context>
    <inkml:brush xml:id="br0">
      <inkml:brushProperty name="width" value="0.3" units="cm"/>
      <inkml:brushProperty name="height" value="0.6" units="cm"/>
      <inkml:brushProperty name="color" value="#FFFC00"/>
      <inkml:brushProperty name="tip" value="rectangle"/>
      <inkml:brushProperty name="rasterOp" value="maskPen"/>
      <inkml:brushProperty name="ignorePressure" value="1"/>
    </inkml:brush>
  </inkml:definitions>
  <inkml:trace contextRef="#ctx0" brushRef="#br0">1 60,'1045'-47,"-533"34,-330 15,665-2,-805 0</inkml:trace>
</inkml:ink>
</file>

<file path=xl/ink/ink1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10-17T07:28:01.144"/>
    </inkml:context>
    <inkml:brush xml:id="br0">
      <inkml:brushProperty name="width" value="0.3" units="cm"/>
      <inkml:brushProperty name="height" value="0.6" units="cm"/>
      <inkml:brushProperty name="color" value="#FFFC00"/>
      <inkml:brushProperty name="tip" value="rectangle"/>
      <inkml:brushProperty name="rasterOp" value="maskPen"/>
      <inkml:brushProperty name="ignorePressure" value="1"/>
    </inkml:brush>
  </inkml:definitions>
  <inkml:trace contextRef="#ctx0" brushRef="#br0">1 1,'944'0,"-906"2,62 10,15 2,136-12,-136-3,-80 1</inkml:trace>
</inkml:ink>
</file>

<file path=xl/ink/ink1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10-17T07:28:09.881"/>
    </inkml:context>
    <inkml:brush xml:id="br0">
      <inkml:brushProperty name="width" value="0.3" units="cm"/>
      <inkml:brushProperty name="height" value="0.6" units="cm"/>
      <inkml:brushProperty name="color" value="#FFFC00"/>
      <inkml:brushProperty name="tip" value="rectangle"/>
      <inkml:brushProperty name="rasterOp" value="maskPen"/>
      <inkml:brushProperty name="ignorePressure" value="1"/>
    </inkml:brush>
  </inkml:definitions>
  <inkml:trace contextRef="#ctx0" brushRef="#br0">1 0,'2299'0,"-2275"0</inkml:trace>
</inkml:ink>
</file>

<file path=xl/ink/ink1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10-17T07:28:10.933"/>
    </inkml:context>
    <inkml:brush xml:id="br0">
      <inkml:brushProperty name="width" value="0.3" units="cm"/>
      <inkml:brushProperty name="height" value="0.6" units="cm"/>
      <inkml:brushProperty name="color" value="#FFFC00"/>
      <inkml:brushProperty name="tip" value="rectangle"/>
      <inkml:brushProperty name="rasterOp" value="maskPen"/>
      <inkml:brushProperty name="ignorePressure" value="1"/>
    </inkml:brush>
  </inkml:definitions>
  <inkml:trace contextRef="#ctx0" brushRef="#br0">0 186,'0'-5,"5"-2,7 1,6-5,20 1,24 1,26 3,18 1,6-2,4-1,3-3,0-5,-5-1,-16 4,-20-1,-19 1,-19-1,-16 1</inkml:trace>
</inkml:ink>
</file>

<file path=xl/ink/ink1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10-18T14:51:28.913"/>
    </inkml:context>
    <inkml:brush xml:id="br0">
      <inkml:brushProperty name="width" value="0.2" units="cm"/>
      <inkml:brushProperty name="height" value="0.4" units="cm"/>
      <inkml:brushProperty name="color" value="#FFFC00"/>
      <inkml:brushProperty name="tip" value="rectangle"/>
      <inkml:brushProperty name="rasterOp" value="maskPen"/>
      <inkml:brushProperty name="ignorePressure" value="1"/>
    </inkml:brush>
  </inkml:definitions>
  <inkml:trace contextRef="#ctx0" brushRef="#br0">0 156,'5'0,"10"-4,7-2,5 0,6-3,7-5,1-4,-2 0,-4 5,-2-2,-3 3,-2 3,-1-2,-9 2,-14 2,-6 2</inkml:trace>
</inkml:ink>
</file>

<file path=xl/ink/ink1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10-18T14:51:33.603"/>
    </inkml:context>
    <inkml:brush xml:id="br0">
      <inkml:brushProperty name="width" value="0.2" units="cm"/>
      <inkml:brushProperty name="height" value="0.4" units="cm"/>
      <inkml:brushProperty name="color" value="#FFFC00"/>
      <inkml:brushProperty name="tip" value="rectangle"/>
      <inkml:brushProperty name="rasterOp" value="maskPen"/>
      <inkml:brushProperty name="ignorePressure" value="1"/>
    </inkml:brush>
  </inkml:definitions>
  <inkml:trace contextRef="#ctx0" brushRef="#br0">0 47,'0'-4,"5"-2,5 0,6 1,5 2,3 1,2 1,1 0,1 1,0 0,-1 1,0-1,0 0,0 0,4-4,1-2,1 1,-7 0</inkml:trace>
</inkml:ink>
</file>

<file path=xl/ink/ink1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10-18T16:38:08.582"/>
    </inkml:context>
    <inkml:brush xml:id="br0">
      <inkml:brushProperty name="width" value="0.1" units="cm"/>
      <inkml:brushProperty name="height" value="0.2" units="cm"/>
      <inkml:brushProperty name="color" value="#00F900"/>
      <inkml:brushProperty name="tip" value="rectangle"/>
      <inkml:brushProperty name="rasterOp" value="maskPen"/>
      <inkml:brushProperty name="ignorePressure" value="1"/>
    </inkml:brush>
  </inkml:definitions>
  <inkml:trace contextRef="#ctx0" brushRef="#br0">1 164,'249'-2,"271"4,-324 12,75-2,-57-9,231-7,-141-21,-164 13,84-3,-187 13,-2-1,73-17,64-32,-169 51,57-14,2 1,-1 3,67-1,239 6,-211 8,-79-2,116 15,-100-5,-1-3,98-10,-53 1,1514 2,-1417 13,4 0,243-13,-461 0,0 3,34 7,-32-4,38 1,57 9,-78-11,62 4,407-10,-484 1</inkml:trace>
</inkml:ink>
</file>

<file path=xl/ink/ink1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10-18T16:38:11.246"/>
    </inkml:context>
    <inkml:brush xml:id="br0">
      <inkml:brushProperty name="width" value="0.1" units="cm"/>
      <inkml:brushProperty name="height" value="0.2" units="cm"/>
      <inkml:brushProperty name="color" value="#00F900"/>
      <inkml:brushProperty name="tip" value="rectangle"/>
      <inkml:brushProperty name="rasterOp" value="maskPen"/>
      <inkml:brushProperty name="ignorePressure" value="1"/>
    </inkml:brush>
  </inkml:definitions>
  <inkml:trace contextRef="#ctx0" brushRef="#br0">1 55,'4'-3,"0"0,0 0,0 1,1-1,-1 1,1 0,-1 0,1 0,0 1,0 0,0 0,5 0,65-2,-55 3,21 2,-3 2,2 1,69 20,-64-14,-17-6,1-2,2 0,41-3,-50 0</inkml:trace>
  <inkml:trace contextRef="#ctx0" brushRef="#br0" timeOffset="1346.96">2121 1,'10'0,"5"0,7 0,9 0,7 0,2 0,4 0,-1 0,-4 0,-3 0,-4 0,-3 0,-1 0,-2 0,1 0,-6 4,-5 2</inkml:trace>
</inkml:ink>
</file>

<file path=xl/ink/ink1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10-18T17:06:10.977"/>
    </inkml:context>
    <inkml:brush xml:id="br0">
      <inkml:brushProperty name="width" value="0.1" units="cm"/>
      <inkml:brushProperty name="height" value="0.2" units="cm"/>
      <inkml:brushProperty name="color" value="#00F900"/>
      <inkml:brushProperty name="tip" value="rectangle"/>
      <inkml:brushProperty name="rasterOp" value="maskPen"/>
      <inkml:brushProperty name="ignorePressure" value="1"/>
    </inkml:brush>
  </inkml:definitions>
  <inkml:trace contextRef="#ctx0" brushRef="#br0">1 55,'4'-1,"1"0,-1 0,1-1,-1 0,0 0,0 0,4-3,10-4,-2 3,1 0,0 1,0 1,1 1,31-3,92 6,-70 2,-48-2</inkml:trace>
</inkml:ink>
</file>

<file path=xl/ink/ink1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10-18T17:06:12.134"/>
    </inkml:context>
    <inkml:brush xml:id="br0">
      <inkml:brushProperty name="width" value="0.1" units="cm"/>
      <inkml:brushProperty name="height" value="0.2" units="cm"/>
      <inkml:brushProperty name="color" value="#00F900"/>
      <inkml:brushProperty name="tip" value="rectangle"/>
      <inkml:brushProperty name="rasterOp" value="maskPen"/>
      <inkml:brushProperty name="ignorePressure" value="1"/>
    </inkml:brush>
  </inkml:definitions>
  <inkml:trace contextRef="#ctx0" brushRef="#br0">1 28,'4'0,"12"0,11 0,6 0,11 0,7 0,-1-4,-4-2,-5 0,-5 1,0 2,-1 1,-7 1</inkml:trace>
</inkml:ink>
</file>

<file path=xl/ink/ink2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10-18T17:06:24.116"/>
    </inkml:context>
    <inkml:brush xml:id="br0">
      <inkml:brushProperty name="width" value="0.1" units="cm"/>
      <inkml:brushProperty name="height" value="0.2" units="cm"/>
      <inkml:brushProperty name="color" value="#00F900"/>
      <inkml:brushProperty name="tip" value="rectangle"/>
      <inkml:brushProperty name="rasterOp" value="maskPen"/>
      <inkml:brushProperty name="ignorePressure" value="1"/>
    </inkml:brush>
  </inkml:definitions>
  <inkml:trace contextRef="#ctx0" brushRef="#br0">1 1,'484'0,"-457"1,0 2,29 6,37 4,361-11,-232-4,152 2,-348 0</inkml:trace>
</inkml:ink>
</file>

<file path=xl/ink/ink2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10-18T17:06:37.465"/>
    </inkml:context>
    <inkml:brush xml:id="br0">
      <inkml:brushProperty name="width" value="0.1" units="cm"/>
      <inkml:brushProperty name="height" value="0.2" units="cm"/>
      <inkml:brushProperty name="color" value="#00F900"/>
      <inkml:brushProperty name="tip" value="rectangle"/>
      <inkml:brushProperty name="rasterOp" value="maskPen"/>
      <inkml:brushProperty name="ignorePressure" value="1"/>
    </inkml:brush>
  </inkml:definitions>
  <inkml:trace contextRef="#ctx0" brushRef="#br0">319 30,'12'-1,"1"-1,0 1,21-8,26-2,257 6,-183 7,-105-3,0 2,0 1,-1 2,1 0,-1 2,0 1,34 14,-61-21,0 0,0 0,0 1,-1-1,1 0,0 0,0 1,-1-1,1 0,0 1,-1-1,1 1,0-1,-1 1,1-1,-1 1,1-1,0 1,-1 0,0-1,1 1,-1 0,1-1,-1 1,0 0,1 0,-1-1,0 1,0 0,0 0,0 0,0-1,0 1,0 0,0 0,0 0,0-1,0 1,0 0,0 0,-1 0,1-1,0 1,0 0,-1-1,1 1,-1 0,1 0,-1-1,1 1,-1-1,1 1,-1-1,0 1,1-1,-1 1,-1 0,-5 4,0 1,-1-2,-15 9,-171 68,108-47,57-24,0 0,-1-2,-1-2,1-1,-40 2,-158-6,111-3,-25-4,125 4,0-1,1 0,-1-1,1-1,0-1,-19-8,29 9,7 1</inkml:trace>
  <inkml:trace contextRef="#ctx0" brushRef="#br0" timeOffset="1588.28">1605 270,'4'0,"7"0,5 0,6 0,16 0,15 0,9 0,2 5,-5 1,-8-1,-8 0,-7-2,-5-1,-8-1</inkml:trace>
</inkml:ink>
</file>

<file path=xl/ink/ink2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10-18T17:06:50.869"/>
    </inkml:context>
    <inkml:brush xml:id="br0">
      <inkml:brushProperty name="width" value="0.1" units="cm"/>
      <inkml:brushProperty name="height" value="0.2" units="cm"/>
      <inkml:brushProperty name="color" value="#00F900"/>
      <inkml:brushProperty name="tip" value="rectangle"/>
      <inkml:brushProperty name="rasterOp" value="maskPen"/>
      <inkml:brushProperty name="ignorePressure" value="1"/>
    </inkml:brush>
  </inkml:definitions>
  <inkml:trace contextRef="#ctx0" brushRef="#br0">1 1,'4'0,"7"0,5 0,5 0,3 0,3 0,-4 4,-1 2,0 0,1-1,1-2,1-1,1-1,1-1,0 0,0 5,-5 1</inkml:trace>
</inkml:ink>
</file>

<file path=xl/ink/ink2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10-18T17:06:52.381"/>
    </inkml:context>
    <inkml:brush xml:id="br0">
      <inkml:brushProperty name="width" value="0.1" units="cm"/>
      <inkml:brushProperty name="height" value="0.2" units="cm"/>
      <inkml:brushProperty name="color" value="#00F900"/>
      <inkml:brushProperty name="tip" value="rectangle"/>
      <inkml:brushProperty name="rasterOp" value="maskPen"/>
      <inkml:brushProperty name="ignorePressure" value="1"/>
    </inkml:brush>
  </inkml:definitions>
  <inkml:trace contextRef="#ctx0" brushRef="#br0">1 136,'0'-4,"1"0,-1 1,1-1,0 0,0 1,0-1,1 1,-1-1,1 1,0-1,0 1,0 0,0 0,0 0,1 0,-1 0,6-3,5-4,0 0,27-15,-13 9,-25 15,1-1,0 1,0-1,1 1,-1 0,0 1,0-1,0 0,1 1,-1 0,0-1,1 1,-1 1,0-1,1 0,-1 1,0 0,0 0,0 0,0 0,1 0,-1 0,3 3,8 5,0 0,0 0,18 19,-8-8,22 18,-30-21</inkml:trace>
</inkml:ink>
</file>

<file path=xl/ink/ink2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10-21T15:45:21.630"/>
    </inkml:context>
    <inkml:brush xml:id="br0">
      <inkml:brushProperty name="width" value="0.1" units="cm"/>
      <inkml:brushProperty name="height" value="0.2" units="cm"/>
      <inkml:brushProperty name="color" value="#00F900"/>
      <inkml:brushProperty name="tip" value="rectangle"/>
      <inkml:brushProperty name="rasterOp" value="maskPen"/>
      <inkml:brushProperty name="ignorePressure" value="1"/>
    </inkml:brush>
  </inkml:definitions>
  <inkml:trace contextRef="#ctx0" brushRef="#br0">245 1,'46'2,"-1"1,1 3,64 17,-43-12,1-3,1-2,109-6,-149 0,-9-1,-45 1,-872-1,1411 1,-484 0</inkml:trace>
</inkml:ink>
</file>

<file path=xl/ink/ink2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10-21T15:46:48.893"/>
    </inkml:context>
    <inkml:brush xml:id="br0">
      <inkml:brushProperty name="width" value="0.1" units="cm"/>
      <inkml:brushProperty name="height" value="0.2" units="cm"/>
      <inkml:brushProperty name="color" value="#00F900"/>
      <inkml:brushProperty name="tip" value="rectangle"/>
      <inkml:brushProperty name="rasterOp" value="maskPen"/>
      <inkml:brushProperty name="ignorePressure" value="1"/>
    </inkml:brush>
  </inkml:definitions>
  <inkml:trace contextRef="#ctx0" brushRef="#br0">0 89,'0'-4,"0"-8,5-1,7 2,6-2,5 1,3 2,3 3,0 3,1 2,1 2,-1 0,0 0,-1 1,0-1,0 1,1-1,-6 0</inkml:trace>
</inkml:ink>
</file>

<file path=xl/ink/ink2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10-21T15:46:51.981"/>
    </inkml:context>
    <inkml:brush xml:id="br0">
      <inkml:brushProperty name="width" value="0.1" units="cm"/>
      <inkml:brushProperty name="height" value="0.2" units="cm"/>
      <inkml:brushProperty name="color" value="#00F900"/>
      <inkml:brushProperty name="tip" value="rectangle"/>
      <inkml:brushProperty name="rasterOp" value="maskPen"/>
      <inkml:brushProperty name="ignorePressure" value="1"/>
    </inkml:brush>
  </inkml:definitions>
  <inkml:trace contextRef="#ctx0" brushRef="#br0">0 62,'5'0,"2"-6,4 0,1-6,3 1,4 1,3 2,3 4,3 1,1 2,0 0,1 2,0-1,-1 1,1-1,4 0,2 1,-6-1</inkml:trace>
</inkml:ink>
</file>

<file path=xl/ink/ink2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10-25T11:29:42.791"/>
    </inkml:context>
    <inkml:brush xml:id="br0">
      <inkml:brushProperty name="width" value="0.1" units="cm"/>
      <inkml:brushProperty name="height" value="0.2" units="cm"/>
      <inkml:brushProperty name="color" value="#00F900"/>
      <inkml:brushProperty name="tip" value="rectangle"/>
      <inkml:brushProperty name="rasterOp" value="maskPen"/>
      <inkml:brushProperty name="ignorePressure" value="1"/>
    </inkml:brush>
  </inkml:definitions>
  <inkml:trace contextRef="#ctx0" brushRef="#br0">0 76,'327'0,"-305"-2,0 0,0-2,0 0,25-9,-20 5,-1 2,32-4,32-3,-64 8,0 1,0 1,1 1,28 2,-51 1,-1-1,1 1,-1 0,1 0,-1 0,0 0,1 0,-1 1,0 0,0-1,0 1,0 0,0 1,0-1,-1 0,1 1,1 2,-3-3,0-1,0 1,0 0,-1-1,1 1,0-1,-1 1,0 0,1 0,-1-1,0 1,0 0,0 0,0-1,0 1,0 0,0 0,-1-1,1 1,-1 0,1-1,-1 1,0-1,1 1,-1 0,0-1,0 1,0-1,0 0,-1 1,1-1,0 0,0 0,-1 0,1 0,-2 1,-29 20,17-14</inkml:trace>
</inkml:ink>
</file>

<file path=xl/ink/ink28.xml><?xml version="1.0" encoding="utf-8"?>
<inkml:ink xmlns:inkml="http://www.w3.org/2003/InkML">
  <inkml:definitions>
    <inkml:context xml:id="ctx0">
      <inkml:inkSource xml:id="inkSrc0">
        <inkml:traceFormat>
          <inkml:channel name="X" type="integer" min="-3840" max="1920" units="cm"/>
          <inkml:channel name="Y" type="integer" min="-1089" max="1080" units="cm"/>
          <inkml:channel name="T" type="integer" max="2.14748E9" units="dev"/>
        </inkml:traceFormat>
        <inkml:channelProperties>
          <inkml:channelProperty channel="X" name="resolution" value="105.88235" units="1/cm"/>
          <inkml:channelProperty channel="Y" name="resolution" value="71.58416" units="1/cm"/>
          <inkml:channelProperty channel="T" name="resolution" value="1" units="1/dev"/>
        </inkml:channelProperties>
      </inkml:inkSource>
      <inkml:timestamp xml:id="ts0" timeString="2025-11-02T20:22:12.251"/>
    </inkml:context>
    <inkml:brush xml:id="br0">
      <inkml:brushProperty name="width" value="0.1" units="cm"/>
      <inkml:brushProperty name="height" value="0.1" units="cm"/>
      <inkml:brushProperty name="color" value="#FFFFFF"/>
    </inkml:brush>
  </inkml:definitions>
  <inkml:trace contextRef="#ctx0" brushRef="#br0">1812 794 0,'0'-21'78,"-21"21"-63,21-20 1,0 0 0,-20 20-16,20-21 15,0 1 1,-20 20-16,20-20 15,0 40 251,0 0-235,0 1-15,0-1 0,0 0-16,-21-20 15,21 21-15,0-1 16,0 0-1,0 1 17,-20-21-17,20 20 1,0 1 15,-21-21 0,21 20-31,0 0 63,-20-20-47,20 21 30,-20-21-30,20 20-16,0 0 47,-21-20-31,21 21 15,0-1 16,-20-20 0,20 20 46,20-20 17,-20-20-110,21 20 15,-1 0-15,-20-20 0,20 20 16,-20-21-16,21 21 0,-1-20 16,1 20-1,-21-20-15,20 20 31,-20-21-15,0 1 47,20 20-63,-20-20 15,0-1 16,0 1 1,21 20-17,-21-21 1,0 1 0,0 0 30,20 20 1,-20-21-15,0 1-1,0 0 16,-20 20 31,20-21-78,0 1 31,-21 20-31,21-20 16,0-1 15,-20 21-15,20-20-1,0 0 32,-20 20-16,20-21-15,0 1 78,-21 20-47,21-20-32,-20 20 16,20-21-31,0 1 32,-21 20-17,1 0 48,20-21-63,-20 21 62,20-20-30,-21 20-1,21-20-31,0-1 140,21 21-108,-21-20-17,20 20 1,0 0 0,1 0 124,-21 20-124,0 1 46,0-1-30,0 0-17,0 1 1,0-1-1,0 1 17,0-1-17,0 0 1,0 1 15,0-1 0,0 0 79,0-40 109,20 20-204,-20-20-15,0-1 16,0 1-16,0 0 15,0-1-15,0 1 16,0-1 0,0 1-1,0 0 1,0-1 0,0 1 171,0 40 63,0 1-234,0-1-1,0 0-15,0 1 16,0-1 0,21-20-16,-21 21 15,0-42 141,0 1-140,-21 20 0,21-21-16,-20 21 15,20-20-15,0 0 0,-21 20 0,21-21 16,-20 21-16,20-20 16,-20 20-16,20-20 31,-21 20 94,21-21-110,-20 21-15,20-20 32,-20 20-17,-1-20 48,1 20 31,0 0-63,20-21-16,-21 21-15,1 0 16,0-20 0,-1 20-1,1 0 1,20-20 0,-20 20 15,-1 0-16,1 0 17,20-21-32,-21 21 15,1 0 32,20-20-16,0 0 94,20 20-109,1 0 15,-1 0 1,1 0-1,-1 0 0,0 0-31,1 0 16,-1 0-1,-20 20 1,20-20 0,1 0 46,-21 20-31,20-20-15,0 0 0,-20 21-1,21-21-15,-1 0 0,-20 20 16,20-20-16,-20 20 172,21-20-125,-21 21-47,0-1 31,0 0 16,20-20 15,-40 0 157,20-20-172,-21 20-47,1 0 125,40 0 156,-20 20-250,21-20-15,-1 0 15,-20 21-15,0-42 156,0 1-157,-20 20 1,20-20 0,-21 20-1,21-21-15,-20 21 16,20-20-1,-20 20 1,20-20-16,-21 20 16,1 0 77,20-21-93,-20 21 16,-1 0 15,21-20-31,-20 20 0,0 0 16,-1 0 0,21-20-1,-20 20-15,0 0 16,-1 0-16,21-21 15,-20 21-15,-1 0 0,1 0 16,0 0 0,20-20-1,-21 20 79,1 0-63,20-21 110,-20 21-141,-1 0 47,1 0-16,0 0-31,20-20 16,-21 20-16,1 0 15,0 0 1,-1 0 0,21-20-16,-20 20 0,0 0 15,-1 0 1,1 0 62,-1 0-31,1 0-32,0 0 1,20-21 0,-21 21-16,1 0 15,0 0 1,-1 0 0,1 0-1,0 0 16,-1 0 1,1 0 15,20-20-32,-20 20-15,-1 0 47,1 0 0,0 0 0,-1 0 0,1 0-32,-1 0 1,1 0 0,0 0-16,-1 0 15,1 0 1,0 0-16,-1 0 15,1 0 1,0 0 0,-1 0 15,1 0-15,20 20-16,-20-20 15,-1 0 1,1 0-1,0 0-15,-1 0 16,1 0 15,-1 0-15,21 21 0,-20-21-16,0 0 15,-1 0 1,1 0 15,0 0-15,20 20-16,-21-20 15,1 0-15,0 0 16,-1 0 0,1 0-16,20 20 15,-20-20 1,-1 0-1,1 0 1,20 21 15,-20-21-31,-1 0 47,42 0 47,-1 0-78,-20-21-16,20 21 15,1 0-15,-21-20 0,20 20 16,0 0-1,-20-20-15,21 20 0,-1 0 16,-20-21-16,20 21 16,1 0-16,-21-20 15,20 20-15,0 0 16,-20-20-16,21 20 16,-1 0-1,0 0 1,-20-21-16,21 21 15,-1 0-15,1 0 16,-1 0 0,0 0-16,1 0 15,-21-20-15,20 20 0,0 0 16,1 0-16,-1 0 16,0 0-16,1 0 15,-1 0-15,0 0 16,1 0-1,-1 0-15,0 0 16,1 0-16,-1 0 16,1 0-16,-1 0 15,0 0-15,1 0 16,-1 0-16,0 0 16,1 0-16,-1 0 15,0 0-15,1 0 16,-1 0-16,0 0 15,1 0 1,-1 0-16,0 0 0,1 0 16,-1 0-1,1 0-15,-21 20 16,20-20-16,0 0 16,1 0-1,-1 21 1,0-21-1,1 0-15,-1 0 16,0 20-16,1-20 16,-1 0-16,0 0 15,1 0 1,-21 20-16,20-20 16,0 0-1,1 0 1,-21 21-16,20-21 15,1 0 1,-1 0 15,-20 20-15,20-20 0,-40 0 109,0 0-110,-1 0-15,21 20 16,-20-20-16,-1 0 15,1 0-15,0 0 0,-1 0 16,1 0-16,0 0 16,-1 0-16,1 0 0,20-20 0,-20 20 15,-1 0-15,1 0 16,0 0-16,-1 0 16,1-20-16,0 20 15,-1 0-15,1 0 16,-1 0-1,1 0 1,0 0 0,20-21-1,-21 21-15,1 0 16,0 0-16,-1 0 16,1 0-1,0 0 1,-1 0-1,1 0 1,0 0-16,-1 0 16,1 0-1,0 0 1,-1 0 0,1 0-1,20 21 110,20-21-109,1 0-16,-21 20 0,20-20 15,0 0-15,1 0 0,-1 0 16,0 0-16,-20 20 16,21-20-16,-1 0 0,0 0 0,1 0 15,-1 0-15,0 0 0,1 0 0,-21 21 16,20-21-16,0 0 0,1 0 0,-1 0 0,1 0 16,-1 0-16,0 0 0,1 0 0,-1 0 15,0 0-15,-20-21 141,-20 21-141,0 0 15,-1 0-15,21-20 16,-20 20-16,0 0 0,20-20 16,-21 20-16,1 0 0,-1 0 15,21-21-15,-20 21 0,0 0 0,-1-20 16,1 20-16,0 0 16,-1 0-16,21-20 0,-20 20 15,0 0 16,-1 0-15,1 0 0,0 0 15,40 0 31,0 0-46,1 0-16,-1 0 16,-20-21-16,20 21 15,1 0-15,-1 0 0,0 0 16,1 0-16,-1 0 16,-40 0 62,-1 0-78,21 21 15,-20-21-15,0 0 0,20 20 16,-21-20-16,1 0 0,20 20 16,-20-20-16,-1 0 0,21 21 15,-20-21-15,0 0 16,20 20-16,-21-20 15,1 0 17,20 20-32,-20-20 62,-1 0-31,1 0 1,20 21-17,-21-21 17,1 0 14,0 0-30,-1 0 0,21 20-1,-20-20-15,0 0 16,-1 0 0,1 0 15,0 0 31,20 21-62,-21-21 32,1 0-17,20 20 16,-20-20-15,-1 0 15,1 0-15,20 20-16,-20-20 47,-1 0-16,21 21-31,-20-21 16,-1 0-1,21 20-15,-20-20 16,0 0 0,20 20 30,-21-20-46,1 0 188,0 0-157,-1 0-15,1 0-1,0 0 1,20-20 265,0 0-234</inkml:trace>
</inkml:ink>
</file>

<file path=xl/ink/ink29.xml><?xml version="1.0" encoding="utf-8"?>
<inkml:ink xmlns:inkml="http://www.w3.org/2003/InkML">
  <inkml:definitions>
    <inkml:context xml:id="ctx0">
      <inkml:inkSource xml:id="inkSrc0">
        <inkml:traceFormat>
          <inkml:channel name="X" type="integer" min="-3840" max="1920" units="cm"/>
          <inkml:channel name="Y" type="integer" min="-1089" max="1080" units="cm"/>
          <inkml:channel name="T" type="integer" max="2.14748E9" units="dev"/>
        </inkml:traceFormat>
        <inkml:channelProperties>
          <inkml:channelProperty channel="X" name="resolution" value="105.88235" units="1/cm"/>
          <inkml:channelProperty channel="Y" name="resolution" value="71.58416" units="1/cm"/>
          <inkml:channelProperty channel="T" name="resolution" value="1" units="1/dev"/>
        </inkml:channelProperties>
      </inkml:inkSource>
      <inkml:timestamp xml:id="ts0" timeString="2025-11-02T20:22:54.034"/>
    </inkml:context>
    <inkml:brush xml:id="br0">
      <inkml:brushProperty name="width" value="0.1" units="cm"/>
      <inkml:brushProperty name="height" value="0.1" units="cm"/>
      <inkml:brushProperty name="color" value="#FFFFFF"/>
    </inkml:brush>
  </inkml:definitions>
  <inkml:trace contextRef="#ctx0" brushRef="#br0">1017 123 0,'20'0'0,"1"0"47,-1 0 16,1 0-48,-1 0 17,0 0 14,1 0-30,-1 0-16,0 0 16,1 0-1,-42 0 63,1 0-78,0 0 16,-1 0-16,1 0 0,0 0 16,-1 0-16,1 0 15,-1 0-15,1 0 16,0 0 0,-1 0-1,1 0 48,0 20 15,-1-20-63,21 20 1,-20-20 0,20 21-16,-20-21 62,20 20-62,-21-20 16,1 0 31,40 0 171,1 0-186,-1 0-17,0 0 1,1 0-16,-21-20 16,20 20-1,-20-21 1,0 1 31,0 0-32,0-1 1,0 1 15,0-1 16,-20 21 125,20-20-156,-21 20 15,1 0 31,0 0-15,20 20-47,-21-20 16,21 21-16,-20-21 0,0 0 15,20 20 1,-21-20-16,21 21 31,-20-21-15,20 20 46,-20-20-46,-1 0 47,21 20-63,-20-20 31,20 21 16,-21-21-32,1 0 95,20 20-79,20-20 78,1 0-109,-1 0 16,1 0-16,-1 0 16,0 0-16,-20-20 0,21 20 0,-1 0 15,0 0 1,1 0-1,-21-21 17,20 21-32,0 0 15,1 0-15,-1 0 32,0 0 30,1 0-46,-1 0 62,-20-20-31,0 40 46,-20-20-93,-1 0 0,1 0 16,0 0-16,-1 0 16,21 21-16,-20-21 0,0 0 15,-1 0-15,1 0 32,20 20-32,-20-20 31,-1 0-16,1 0 1,20 20 0,-20-20-16,-1 0 31,1 0 16,-1 0-32,1 0 17,0 0 30,20 21-62,-21-21 47,1 0 16,20-21 124,20 1-187,-20 0 16,21 20-16,-21-21 31,20 21-31,-20-20 31,20 20-31,1 0 31,-21-20-15,20 20 93,-20-21-109,0 1 32,21 20-1,-21-21-15,0 1-1,20 20-15,-20-20 16,20 20-16,-20-21 15,-20 21 189,0 0-204,-1 0 15,21 21-15,-20-21 0,-1 0 16,1 0-16,20 20 0,-20-20 0,-1 0 15,1 20-15,0-20 16,-1 21 0,1-21-1,20 20-15,-20-20 16,-1 0-16,21 21 16,-20-21-16,20 20 15,-20-20-15,-1 0 16,21 20-1,-20-20 1,20 21 0,-20-21-16,-1 0 31,21 20-31,21-20 109,-1 0-93,0 0 0,-20-20-16,21 20 15,-1 0-15,-20-21 0,20 21 0,1 0 16,-21-20-16,20 20 15,0 0 1,-20-20 0,21 20-16,-1 0 31,-20-21 31,-20 21 48,-1 0-110,1 0 15,0 0-15,-1 0 16,1 0-16,0 0 16,20 21-16,-21-21 0,1 0 15,0 0-15,-1 0 16,21 20-16,-20-20 31,0 0 0,20 20-31,-21-20 16,21 21 78,-20-21-94,40 0 140,1 0-124,-21-21-16,20 21 16,0 0-16,-20-20 0,21 20 0,-21-20 15,20 20-15,0 0 16,-20-21-16,0 1 16,21 20-1,-42 0 95,1 0-110,0 0 15,-1 0-15,1 0 16,20 20-16,-20-20 0,-1 0 15,1 21 1,-1-21 0,21 20-1,-20-20-15,20 20 16,-20-20 0,20 21-1,-21-21-15,21 20 16,-20-20-1,20 20 1,-20-20 15,20 21-15,0-1 0,-21-20-16,21 20 15,-20-20-15,20 21 16,0-1-16,20-20 140,-20-20-140,21 20 16,-1 0-16,-20-21 0,20 21 0,-20-20 16,21 20-16,-21-20 0,20 20 0,0-21 0,1 21 15,-21-20-15,20 20 0,-20-20 16,21 20-16,-21-21 0,20 21 16,-20-20-16,0 0 15,20 20-15,-20-21 16,-20 21 140,0 0-140,20 21-16,-21-21 15,21 20-15,-20-20 0,-1 0 16,21 20-16,-20-20 0,20 21 0,-20-21 16,20 20-16,-21-20 0,21 20 15,-20-20-15,20 21 0,-20-21 16,20 20-16,-21-20 15,21 20-15,0 1 16,-20-21-16,20 20 16,-20-20-16,20 20 15,0 1 1,-21-21 0,21 20-1,0 0 1,-20-20-1,20 21 1,0-1 15,-20-20-31,20 21 16,20-21 156,-20-21-157,20 21-15,-20-20 16,21 20-16,-21-21 16,20 21-16,-20-20 15,20 20-15,-20-20 16,0-1 0,21 21-16,-21-20 0,0 0 15,0-1 16,-21 21 126,21 21-142,-20-21-15,20 20 16,-20-20-16,20 20 16,-21-20-16,21 21 0,-20-1 15,20 0 1,-20-20-16,20 21 0,0-1 15,0 1 17,0-1 15,0 0-16,0 1-16,0-1 1,0 0 0,0 1-1,20-21 188,-20-21-203,0 1 16,0 0 0,0-1-1,0 1 1,0 0 15,0-1-31,0 1 16,0-1-1,0 1 17,0 40 108,-20-20-140,20 21 32,0-1-17,-21-20-15,21 21 16,0-1-1,0 0 1,0 1 78,0-1-63,0 0 32,0-40 124,0 0-171,0-1-1,0 1 17,0 0-32,0-1 31,-20 21-16,20-20 1,0 40 140,0 1-140,0-1 0,0 0-16,0 1 15,0-1 1,20-20-16,-20 20 0,0 1 31,21-21 63,-21 20-79,0 0 17,0 1-1,20-21 0,-20 20-31,0 0 63,0 1-48,20-21 1,-20 20-16,0 0 31,0 1 0,21-21 16,-21-21 203,-21 21-234,21-20 15,-20 20 0,20-20-15,-20 20 31,20-21-31,-21 21-1,21-20 1,0 0 124,-20 20-140,20-21 32,0 1-17,-20 20-15,20 20 344,0 1-313,0-1 16,0 0-31,20-20-1,-20 21 1,0-1 31,20-20-16,-20 20-15,0 1 31,0-1-16,0 1-15,21-21-16,-21 20 31,0 0 47,0 1 94,20-21-141,-20 20 0,0 0 110,0-40 187,-20 20-297,20-20-31,0-1 32,-21 21-17,21-20 1,-20 20 15,20-20-15,0-1 15,0 1-15,-20 20-16,20-21 31,0 1 0,0 0 0,0-1-15,0 1 15,0 40 172,20-20-203,-20 21 0,0-1 16,20-20-16,-20 20 16,21-20-16,-21 21 0,0-1 15,20-20 1,-20 21-16,0-1 0,20 0 15,-20 1-15,21-1 16,-21 0 0,20-20-16,-20 21 15,0-1 17,20-20-17,-20 20 1,0 1 15,21-21 0,-21 20-31,0-40 328,0-1-312,-21 21 0,21-20-16,0 0 0,-20 20 15,20-21-15,0 1 32,-20 20-32,20-20 15,0-1 16,-21 21-15,21-20 0,0 40 171,0 1-187,21-21 16,-21 20-16,0 0 15,20-20-15,-20 21 16,20-21-16,-20 20 16,21-20-1,-21 20 1,20-20 0,-20 21-1,20-21 1,-20 20-16,21-20 15,-21 20-15,20-20 16,-20 21 0,20-21-1,1 0 48,-21 20-48,20-20-15,1 0 32,-1 0 233,-20 20-249,20-20-16,1 0 31,-1 0 0,0 0-15,-20 21-16,21-21 16,-1 0 15,0 0 47,-40-21 63,0 21-126,-1 0-15,21-20 0,-20 20 16,0 0-16,-1-20 16,1 20-16,0 0 15,20-21 1,-21 21-16,1 0 62,-1 0-30,1 0-1,0 0 16,20-20-32,-21 20-15,1 0 32,0 0 108,20 20-109,20-20 1,-20 21-17,20-21-15,1 0 16,-21 20-16,20-20 0,0 20 16,1-20-16,-1 21 0,1-21 15,-21 20-15,20-20 0,-20 21 0,20-21 0,1 0 16,-21 20-16,20-20 0,-20 20 15,20-20-15,1 0 32,-21 21-32,20-21 15,0 0-15,-20 20 16,21-20-16,-1 0 0,0 0 16,-20 20-16,21-20 15,-21 21 48,20-21-48,0 0-15,-20 20 0,21-20 0,-1 20 16,0-20-16,1 0 0,-21 21 0,20-21 16,1 0-16,-1 0 0,0 20 15,1-20-15,-1 0 94,-20-20-78,0-1 15,-20 21-31,-1 0 15,1 0-15,0 0 16,-1 0-16,1 0 0,-1 0 16,1 0-16,0 0 0,-1-20 15,1 20-15,0 0 0,-1 0 0,1 0 16,0 0-16,20-20 0,-21 20 94,1 0-79,20-21 95,0 1-79,20 20-15,1 0-1,-1 0 1,0 0-16,-20 20 15,21-20-15,-1 0 0,-20 21 0,20-21 0,1 0 16,-21 20-16,20-20 0,0 0 0,-20 20 0,21-20 0,-1 0 16,1 0-16,-21 21 0,20-21 15,0 0 17,1 0-1,-1 0-31,-20-21 0,-20 21 187,20-20-187,-21 20 16,1 0-16,0 0 16,-1 0-16,1 0 15,-1 0-15,1 0 0,0 0 0,-1 0 16,1 0-16,0 0 0,-1 0 0,1 0 0,0 0 15,-1 0-15,1 0 0,0 0 0,-1 0 0,1 0 16,0 0-16,-1 0 0,21-20 0,-20 20 0,0 0 16,-1 0-16,21-21 172,21 21-157,-1 0 1,0 0-16,1 0 15,-1 0-15,0 0 0,1 0 0,-1 0 0,-20-20 16,20 20-16,1 0 0,-1 0 0,0 0 0,1 0 16,-1 0-16,0 0 0,1 0 15,-1 0 1,0 0 0,1 0-16,-1 0 15,1 0-15,-1 0 16,0 0-16,1 0 0,-1 0 0,0 0 15,1 0-15,-1 20 0,0-20 0,1 0 16,-21 21 125,-21-21-110,1 0-15,0 0-16,-1 0 0,1 0 15,0 0-15,-1 0 0,1 0 16,0 0-16,-1 0 0,1 0 0,-1 0 15,1 0-15,0 0 16,-1 0 0,1 0 15,0-21 0,-1 21-15,1 0-1,0 0 1,-1 0 0,1 0-16,0 0 0,-1 0 15,1 0-15,0 0 0,-1 0 16,1 0-16,20-20 0,-20 20 16,20-20 140,0-1-141,0 1 1,20 20 0,0-20-1,1 20 1,-1 0 0,0 0 62,1 0-63,-1 0 1,0 0 0,-20 20-1,21-20-15,-1 0 16,0 0-1,-20 20-15,21-20 0,-1 0 16,0 0-16,-20 21 16,21-21-16,-1 0 15,0 0 1,1 0 0,-21 20-16,20-20 0,1 0 15,-1 0-15,0 0 16,1 0-16,-21 20 0,20-20 0,0 0 0,1 0 15,-1 0-15,-20 21 188,-20-21-141,-1 0-32,1 0-15,0 0 16,-1 0-16,1 0 16,0 0-16,-1 0 0,1 0 0,-1 0 15,1 0-15,0 0 0,-1 0 0,1 0 16,0 0-16,-1 0 0,1 0 16,0 0-16,20-21 0,-21 21 15,1 0-15,0 0 0,20-20 16,-21 20-16,1 0 15,0 0 126,20-20-125,-21 20 46,21-21-46,0 42 171,21-21-187,-1 0 16,0 0 15,1 0-15,-21 20-1,20-20-15,0 0 16,1 0-16,-21 20 16,20-20-16,0 0 0,1 0 15,-1 0 32,0 0-16,1 0-31,-1 0 32,0 0 30,-20 21-46,21-21-16,-1 0 47,1 0-16,-1 0-15,0 0 46,1 0-31,-21 20-31,0-40 141,-21 20-141,1 0 16,0 0-1,-1 0-15,1 0 0,-1-21 16,1 21-16,0 0 0,-1 0 15,1 0-15,20-20 0,-20 20 0,-1 0 16,1 0-16,20-20 141,-20 20-141,-1 0 93,21-21 79,21 21-78,-1 0-94,0 0 16,1 0-16,-1 0 15,0 0-15,1 0 16,-1 0 62,0 0 0,1 0-15,-1 0 77,-40 0 48,-1 0-173,1 0-15,0 0 0,-1 0 16,1 0-16,0 0 0,20-20 0,-21 20 0,1 0 16,0 0-16,-1 0 15,42 0 376,-1 0-391,0 0 16,1 0-16,-1 0 15,0 0 1,1 0-16,-1 0 15,0 0-15,1 0 16,-1 0-16,1 0 0,-1 0 16,0 0-16,1 0 0,-1 0 15,-20 20-15,20-20 0,1 0 16,-1 0 156,-20 21-94,20-21-78,1 0 62,-1 0-46,0 0 0,1 0-16,-1 0 15,0 0-15,1 0 0,-21 20 0,20-20 16,1 0-16,-1 0 0,0 0 16,1 0-16,-1 0 15,0 0 1,1 0-16,-21 20 15,20-20-15,0 0 16,1 0 15,-1 0-15,0 0 0,1 0-1,-1 0 16,-20 21 126,-20-21-157,-1 0 15,1 0-15,20 20 0,-20-20 16,-1 0-16,1 0 0,0 0 16,20 20-16,-21-20 0,1 0 15,0 21-15,-1-21 0,1 0 16,0 0-16,-1 0 15,1 0 1,-1 0-16,1 0 16,0 0-16,-1 0 15,1 0-15,0 0 16,-1 0-16,1 0 0,0 0 16,-1 0 62,1 0-63,20 20 63,20-20-62,1 0-16,-1 0 0,0 0 16,1 0-16,-1 0 0,0 0 0,-20 20 0,41-20 0,-21 0 0,1 0 0,-1 0 15,1 0-15,-1 0 0,0 0 0,1 0 0,-1 0 0,-20 21 0,20-21 0,1 0 0,-1 0 0,0 0 0,1 0 16,-1 0-16,0 0 0,1 0 0,-1 0 0,0 0 0,1 0 16,-1 0-16,1 20 0,-42-20 171,1 0-171,-1 0 0,1 0 16,20-20-16,-20 20 0,-1 0 0,1 0 0,0 0 0,-1 0 0,1 0 16,0 0-16,20-21 0,-21 21 0,1 0 0,0 0 0,-1 0 0,1 0 0,0 0 15,-1 0-15,1 0 0,20-20 0,-21 20 0,1 0 0,0 0 0,-1 0 16,1 0-16,0 0 0,-1 0 0,1 0 16,0 0-16,20 20 125,20-20-94,0 0-16,-20 21-15,21-21 0,-1 0 0,0 0 0,1 0 16,-1 0-16,-20 20 0,20-20 0,1 0 0,-1 0 16,1 0-16,-1 0 0,0 0 15,1 0-15,-21 20 0,20-20 0,-40 0 94,-1 0-94,21-20 16,-20 20-16,0 0 0,-1 0 0,1 0 15,-1 0-15,1 0 0,0 0 16,-1 0-16,1 0 0,0 0 0,-1 0 16,1 0-16,0 0 0,-1 0 0,1 0 15,0 0-15,-1 0 16,21 20 156,21-20-157,-21 21-15,20-21 0,0 0 16,1 0-16,-1 0 0,-20 20 0,20-20 0,1 0 0,-1 0 16,0 0-16,1 0 0,-1 0 0,0 0 0,1 0 0,-1 0 0,1 0 0,-1 0 15,0 0-15,1 0 0,-21 21 0,20-21 0,0 0 0,1 0 0,-1 0 0,0 0 0,1 0 16,-1 0-16,0 0 0,1 0 0,-1 0 0,0 0 0,1 0 0,-1 0 15,1 0-15,-21 20 0,20-20 0,0 0 0,1 0 0,-1 0 16,0 0-16,1 0 0,-1 0 63,0 0-48,-20-20 48,-20-1-32,0 21-31,-1 0 0,1 0 16,20-20-16,-20 20 0,-1 0 0,1 0 0,0-21 0,-1 21 15,1 0-15,-1 0 0,21-20 0,-20 20 0,0 0 0,-1 0 0,1 0 0,0-20 0,-21 20 16,21 0-16,-1 0 0,21-21 0,-20 21 0,0 0 0,-1 0 0,1 0 0,0-20 0,-1 20 15,1 0-15,-1 0 0,1 0 0,20-20 0,-20 20 0,-1 0 0,1 0 16,20-21 0,20 21 31,-20-20-47,21 20 15,-1 0-15,0 0 0,1-20 16,-1 20-16,1 0 0,-1 0 0,0 0 15,1 0-15,-1 0 0,0 0 0,1 0 0,-1 0 16,0 0-16,1 0 0,-1 0 0,0 0 0,1 0 16,-1 0-16,0 0 0,1 0 15,-21 20 17,20-20-32,1 0 31,-21 20 78,-21-20-109,1 0 16,-1 0-16,21 21 0,-20-21 0,0 0 15,-1 0-15,21 20 16,-20-20-16,40 0 141,-20-20-141,21 20 15,-1 0 17,-20-21-17,20 21-15,1 0 16,-21-20-1,20 20-15,1 0 16,-21-20-16,-21 20 172,21-21-156,-20 21-16,-1 0 31,1 0-31,0 0 15,-1 0-15,21 21 0,-20-21 16,0 0 15,-1 0 16,42 0 47,-1 0-94,0 0 16,1 0-1,-1 0-15,0 0 0,1 0 16,-1 0-16,1 0 15,-1 0-15,0 0 16,1 0-16,-21-21 31,-21 21 63,1 0-78,0 0-16,-1 0 0,1 0 15,-1 0-15,1 0 16,0 0-16,-1 0 16,1 0-16,20 21 15,-20-21-15,-1 0 16,1 0-1,0 0 17,40 0 265,0 0-282,1 0 1,-21-21-1,20 21 1,0 0 47,1 0-48,-1 0 1,0 0-16,1 0 15,-1 0 64,1 0-64,-42 0 126,1 0-141,-1 0 15,1 0 1,0 0-16,-1 0 16,21-20 187,21 20-203,-1 0 15,-20-20-15,20 20 16,1 0-16,-1 0 16,-20-21-16,21 21 15,-1 0 79,0 0-63,1 0-15,-1 0 0,0 0 15,-20 21 31,21-21-46,-1 0 0,0 0 62,1 0-31,-1 0-16,0 0 63,1 0-63,-21-21-16,20 21 64,0 0-33,-20-20-46,21 20 32,-1 0-17,-20-20-15,21 20 16,-1 0 0,-20-21-1,20 21 32,1-20-16,-1 20-15,0 0 0,-20-21-1,21 21 16,-21-20 48,20 20-79,0 0 46,-20-20-30,-20 20 343,0 0-327,20 20-32,-21-20 47,21 20-47,-20-20 31,20 21-16,-20-21-15,-1 0 32,21 20-1,-20-20 16,20 21 78,-20-21-94,20 20-15,-21-20-1,21 20 17,-20-20-1,20 21-16,-21-21 1,1 0 31,20 20-31,-20-20 15,-1 0 47,21 20-31,-20-20-16,20-20 141,20 20-172,1 0 16,-21-20-1,20 20 1,0 0 15,-20-21-31,21 21 16,-1 0 15,-20-20 16,21 20-47,-1 0 31,0 0 16,1 0-16,-21-20 16,20 20-47,0 0 31,-20-21 47,21 21-78,-1 0 32,-20-20 46,20 20-47,-20-21 32,21 21-48,-21-20 1,-21 20 249,1 0-233,20 20-17,-20-20 32,-1 0 31,21 21-78,-20-21 32,20 20-17,-20-20 1,-1 0 31,21 21-47,-20-1 31,0-20 0,20 20 0,-21-20-31,1 0 16,20 21 0,-21-21-16,1 0 15,20 20 17,-20-20-17,-1 0 32,1 0 16,20 20-63,-20-20 31,-1 0 78,42 0 172,-21-20-281,20 20 16,-20-20 0,20 20-1,1 0 17,-21-21-17,20 21 48,0 0 30,-20-20-77,21 20 78,-21-20-79,20 20 95,-20-21 93,21 21-172,-21-20-31,20 20 16,-20-21-1,20 21 32,-20-20 94,21 20-47,-1 0-32,-20-20-62,20 20 31,-20-21 157,21 21-172,-1 0 77,-20-20-15,20 20-62,-20-20 500,0-1-391,21 21-125,-21-20 0,0 0 15,20 20 17,-40 0 171,20 20-125,-21-20-63,21 20 1,0 1 31,-20-21-31,20 20-1,-20-20 1,20 20-16,0 1 15,-21-21 1,21 20 0,-20-20 15,20 20 16,-20-20 0,-1 0 93,21 21-140,-20-21 63,20 20-63,-20-20 31,20 21-15,-21-21-1,1 0 17,20 20-32,-21-20 125,21 20-79,-20-20-14,20 21 30,-20-21-62,-1 0 63,21 20-48,-20-20 1,20 20 15,-20-20 16,20 21-16,-21-21-15,21 20 15,-20-20-15,20 20 93,-20-20-93,-1 21 46,1-21 1,20 20-48,-20-20 64,20 20-48,-21-20-31,1 0 15,20 21 1,-20-21-16,20-21 219,0 1-188,20 20-31,-20-20 31,20 20-31,-20-21 47,21 21-47,-1 0 78,-20-20-31,20 20-16,-20-20-15,21 20 0,-1 0 15,0 0 16,-20-21-16,21 21 63,-1 0-47,-20-20-32,0 0 32,20 20-47,1 0 78,-1 0-46,-20-21-32,20 21 78,-20-20-78,21 20 15,-21-20-15,20 20 16,-20-21 78,21 21-94,-42 0 281,1 0-265,-1 0-1,1 0-15,20 21 0,0-1 16,-20-20-16,-1 0 31,1 0 47,20 20-62,-20-20 31,40 0 171,0 0-202,-20-20 0,21 20-1,-1 0 1,-20-20 15,20 20-15,-20-21 93,21 21-109,-1 0 31,-20-20 1,21 20-1,-21-21 31,20 21-46,-40 0 281,20 21-297,-21-21 109,21 20-109,-20-20 16,20 21 0,-21-21-1,21 20 1,-20-20-16,20 20 109,-20-20-109,-1 21 78,1-21 172,20 20-250,0-40 203,20 20-203,1 0 16,-21-21 31,20 21-31,0 0 15,-20-20 16,21 20-16,-21-20-15,20 20 15,-40 0 281,20 20-296,-21-20 0,1 0-1,20 20-15,-20-20 78,20 21-62,-21-21 0,42 0 187,-21-21-172,20 21-31,-20-20 31,20 20-31,1 0 16,-21-20-1,20 20 17,-40 0 280,-1 0-296,21 20-16,-20-20 15,0 0-15,20 20 16,-21-20-16,21 21 109,-20-21-109,40 0 188,-20-21-172,21 21-16,-21-20 15,20 20-15,0 0 31,-20-20-31,21 20 32,-21-21-32,20 21 15,-20-20 110,21 20-125,-1-21 94,0 21-78,-20-20 202,21 20-202,-42 0 312,1 0-297,0 0 1,20 20-32,-21-20 78,21 21-63,-20-21-15,-1 0 32,21 20-32,-20-20 78,20 21-63,-20-21 157,20 20-140,-21-20 30,21 20-31,-20-20-15,20 21 171,-20-21-171,-1 0 0,21 20-1,-20-20 48,20 20-32,-20-20 16,-1 0 140,42 0-15,-21-20-172,20 20 94,-20-20-78,20 20-16,-40 0 390,0 0-374,-1 0 0,21 20-16,-20-20 203,40 0 78,-20-20-265,21 20-1,-1 0 32,-20-21-47,20 21 16,-20-20-1,21 20-15,-21-20 157</inkml:trace>
</inkml:ink>
</file>

<file path=xl/ink/ink3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1-02T20:25:07.263"/>
    </inkml:context>
    <inkml:brush xml:id="br0">
      <inkml:brushProperty name="width" value="0.1" units="cm"/>
      <inkml:brushProperty name="height" value="0.1" units="cm"/>
      <inkml:brushProperty name="color" value="#FFFFFF"/>
    </inkml:brush>
  </inkml:definitions>
  <inkml:trace contextRef="#ctx0" brushRef="#br0">543 58 9830,'-5'1'220,"1"0"0,-1 0-1,0 1 1,0-1 0,0 1 0,1 0-1,-1 0 1,1 1 0,-8 5 0,-41 31 1323,46-33-1188,-53 35 1630,49-36-1627,1 1 0,0 0 0,1 1 0,-1 0 0,1 0 0,1 1 0,-1 0 0,2 1 0,-1 0-1,1 0 1,-9 15 0,9-12 83,0-1 0,-1 0-1,-1-1 1,0 0 0,0 0-1,-16 13 1,-14 15 956,17-15-1221,17-19-101,-1 1 0,1 0 0,0 0 0,0 1 0,0 0 0,1 0 0,0 0 0,0 0 0,1 1 0,-1-1 0,1 1 0,1 0 0,-1 0 0,1 0 0,1 0 0,-1 0 0,0 15 0,2 0-75,1-1 0,-1 0 0,-1 1 0,-1-1 0,-1 1 0,-11 38 0,14-60-4,0 0 0,0 0 0,0 0 0,0 0 0,0 0 0,0 0 0,0-1 0,0 1 0,0 0 0,0 0 0,0 0 0,0 0 0,0 0 0,0 0 0,0-1 0,0 1 0,0 0 0,-1 0 0,1 0 0,0 0 1,0 0-1,0 0 0,0 0 0,0 0 0,0-1 0,0 1 0,0 0 0,-1 0 0,1 0 0,0 0 0,0 0 0,0 0 0,0 0 0,0 0 0,0 0 0,0 0 0,-1 0 0,1 0 0,0 0 0,0 0 0,0 0 0,0 0 0,0 0 0,0 0 1,-1 0-1,1 0 0,0 0 0,0 0 0,0 0 0,0 0 0,0 0 0,0 0 0,-1 0 0,1 0 0,0 1 0,0-1 0,0 0 0,0 0 0,0 0 0,0 0 0,0 0 0,0 0 0,0 0 0,-1 0 0,1 1 0,0-1 0,0 0 1,0 0-1,-7-19-611,-2-24-409,10 5 4,0 1 0,3-1-1,1 1 1,1 0 0,2 0 0,20-54-1,-27 133 1863,0-32-720,-1-1-1,1 1 1,-2-1 0,-1 14-1,-4 5 250,0-8-50,2 0 0,0 0 1,1 1-1,0 26 0,4-20-12,-1-9-178,0-45-578,-1 11 215,1 0 0,0 0 1,2 0-1,0 0 1,0 0-1,2 1 0,0-1 1,0 1-1,2 0 1,13-28-1,-14 32 47,0 1 0,0-1 0,-1 0 0,4-23 0,-9 46 426,0 0-1,1 0 0,0 0 1,3 15-1,-2-16-104,1-1 0,-2 0 0,1 0 0,-1 0 0,-1 1 0,0-1 0,0 0 0,-1 0 0,-1 0 0,-4 14 0,3-75-827,-1-10-78,3 53 662,1 0 0,0-1 0,0 1 0,1 0 0,0 0 0,0-1 0,1 1 0,0 0 0,0 0 0,1 0 0,0 0 0,6-13 0,25-67-689,-66 140 2241,26-43-1220,0 1 1,0 1-1,1-1 1,0 1-1,-5 14 1,6-4 142,1 0 1,0 0-1,2 1 1,1-1-1,2 38 1,-2 39 828,-19 24 297,12-87-709,2 0 0,-2 66 1,8-99-786,2 37 0,-2-38 0,0 1 0,0 0 0,0-1 0,1 1 0,-1-1 0,0 1 0,1-1 0,-1 0 0,1 1 0,-1-1 0,1 1 0,0-1 0,-1 0 0,1 1 0,0-1 0,0 0 0,0 0 0,0 0 0,3 2 0,-4-3-20,1 0 1,0-1 0,0 1-1,-1-1 1,1 1 0,0-1-1,-1 1 1,1-1 0,-1 1-1,1-1 1,-1 0-1,1 1 1,-1-1 0,1 0-1,-1 0 1,1 1 0,-1-1-1,0 0 1,0 0 0,1 1-1,-1-1 1,0 0 0,0 0-1,0 0 1,0 0 0,0 1-1,0-1 1,0 0 0,0-1-1,2-30-741,-2 31 737,13-156-3252,-13 65 1428,14 140 2549,-9 2-49,13 55 0,2 7 383,-4-31-271,-16-81-765,0 0 0,0 0 0,0 0 0,0 0 0,0 0 0,0 0 0,0 0 0,0-1 0,0 1 0,0 0 0,0 0 0,1 0-1,-1 0 1,0 0 0,0 0 0,0 0 0,0 0 0,0 0 0,0 0 0,0 0 0,0 0 0,1 0 0,-1 0 0,0 0 0,0 0 0,0 0 0,0 0 0,0 0-1,0 0 1,0 0 0,0 0 0,1 0 0,-1 0 0,0 0 0,0 0 0,0 0 0,0 0 0,0 0 0,0 0 0,0 0 0,0 0 0,0 0 0,0 1 0,1-1-1,-1 0 1,0 0 0,0 0 0,0 0 0,0 0 0,0 0 0,0 0 0,0 0 0,0 0 0,0 0 0,0 1 0,0-1 0,0 0 0,0 0 0,0 0 0,0 0-1,4-15-290,-1-20-292,-3 24 427,1-60-1900,-13-102 0,9 81 498,2 139 2437,2 0-1,10 53 1,0-46 91,3 0-1,3-1 1,23 52-1,-6-29 302,-34-76-1272,0 0 0,0 1 0,1-1 1,-1 0-1,0 0 0,0 0 0,0 0 0,0 0 1,0 0-1,1 0 0,-1 0 0,0 0 0,0 0 1,0 0-1,0 0 0,1 1 0,-1-1 0,0 0 1,0 0-1,0 0 0,0 0 0,1 0 0,-1-1 1,0 1-1,0 0 0,0 0 0,0 0 1,1 0-1,-1 0 0,0 0 0,0 0 0,0 0 1,0 0-1,0 0 0,1 0 0,-1 0 0,0-1 1,0 1-1,0 0 0,0 0 0,0 0 0,0 0 1,0 0-1,1-1 0,-1 1 0,0 0 0,0 0 1,0 0-1,0 0 0,0 0 0,0-1 0,0 1 1,0 0-1,0 0 0,0 0 0,0-1 0,0 1 1,0 0-1,8-21-429,2-23-467,-6-7-354,-3-1 0,-5-54 0,2 96 1018,1-1-1,-1 0 0,-1 1 1,0 0-1,0-1 0,-1 1 0,-1 1 1,1-1-1,-9-11 0,13 21 244,0-1-1,0 1 1,0 0-1,0 0 1,0 0 0,0-1-1,-1 1 1,1 0-1,0 0 1,0 0-1,0-1 1,0 1 0,-1 0-1,1 0 1,0 0-1,0 0 1,0 0-1,-1-1 1,1 1 0,0 0-1,0 0 1,-1 0-1,1 0 1,0 0-1,0 0 1,-1 0 0,1 0-1,0 0 1,0 0-1,-1 0 1,1 0 0,0 0-1,0 0 1,-1 0-1,1 0 1,0 0-1,0 0 1,-1 0 0,1 1-1,0-1 1,0 0-1,0 0 1,-1 0-1,1 0 1,0 1 0,-3 14 263,7 19 166,18 25 996,41 75 1,-21-46-242,-26-56-661,14 37 654,-32-77-1406,1-1 1,1 0-1,-1 0 0,1 0 0,2-11 0,-1 10-8,0-1 1,-1 0-1,0 1 0,-1-1 1,-3-16-1,-8-12-825,-1-1-1,-2 2 1,-31-58-1,34 75 1274,-2 0 0,0 1-1,-2 1 1,-21-22 0,36 40-206,1 1 0,0-1 0,0 1 0,-1-1 1,1 1-1,0 0 0,-1-1 0,1 1 0,0 0 1,-1-1-1,1 1 0,-1 0 0,1-1 0,-1 1 1,1 0-1,0 0 0,-1 0 0,1-1 0,-1 1 1,1 0-1,-1 0 0,1 0 0,-1 0 0,1 0 1,-1 0-1,1 0 0,-1 0 0,1 0 0,-1 0 1,1 0-1,-1 0 0,1 0 0,-1 1 0,1-1 1,-1 0-1,1 0 0,-1 0 0,1 1 0,-1 0 1,-7 23 373,11 33 220,75 174 2558,-32-128-1465,98 160 1,-144-262-1706,1-1 0,-1 0 1,0 0-1,0 1 0,0-1 1,0 0-1,0 0 0,0 0 0,0 1 1,0-1-1,0 0 0,1 0 1,-1 0-1,0 1 0,0-1 1,0 0-1,0 0 0,1 0 1,-1 0-1,0 0 0,0 0 1,0 1-1,1-1 0,-1 0 1,0 0-1,0 0 0,1 0 1,-1 0-1,0 0 0,0 0 0,0 0 1,1 0-1,-1 0 0,0 0 1,0 0-1,1 0 0,-1 0 1,0 0-1,0 0 0,0 0 1,1 0-1,-1 0 0,0-1 1,0 1-1,1 0 0,-1 0 1,0 0-1,0 0 0,0 0 1,1-1-1,6-15-423,-1-20-324,-5 0-232,-2 0 0,-2 0 0,-1 0 0,-12-50 0,15 82 832,-6-26-382,7 30 537,0-1 0,0 1 0,0 0 0,0-1 0,0 1 1,-1-1-1,1 1 0,0-1 0,0 1 0,0 0 0,0-1 1,0 1-1,-1-1 0,1 1 0,0 0 0,0-1 0,0 1 1,-1 0-1,1-1 0,0 1 0,-1 0 0,1-1 0,0 1 1,-1 0-1,1 0 0,0-1 0,-1 1 0,1 0 0,-1 0 0,1 0 1,0 0-1,-1 0 0,1-1 0,-1 1 0,1 0 0,0 0 1,-1 0-1,1 0 0,-1 0 0,1 0 0,-1 0 0,1 0 1,0 0-1,-1 1 0,1-1 0,-1 0 0,1 0 0,0 0 0,-1 0 1,1 1-1,-1-1 0,1 0 0,-1 2 19,0-1 1,1 1-1,0-1 1,-1 1-1,1-1 1,0 1-1,0-1 0,0 1 1,0-1-1,0 1 1,0-1-1,0 1 1,0-1-1,1 1 0,-1-1 1,0 1-1,1-1 1,0 0-1,-1 1 1,1-1-1,0 1 0,-1-1 1,2 1-1,21 35 374,-22-35-360,36 46 872,2-2-1,1-1 1,69 58 0,-39-48 79,-70-55-989,0 0 1,0 0 0,1 1 0,-1-1-1,0 0 1,0 0 0,0 0-1,1 0 1,-1 1 0,0-1 0,0 0-1,1 0 1,-1 0 0,0 0-1,1 0 1,-1 0 0,0 0 0,0 0-1,1 1 1,-1-1 0,0 0-1,1 0 1,-1 0 0,0 0-1,0-1 1,1 1 0,-1 0 0,0 0-1,1 0 1,-1 0 0,0 0-1,0 0 1,1 0 0,-1 0 0,0-1-1,0 1 1,1 0 0,-1 0-1,0 0 1,0-1 0,0 1 0,1 0-1,-1 0 1,0 0 0,0-1-1,1-17-424,-11-19-449,-62-104-807,9 23-181,47 90 1751,14 31 290,7 18 84,13 29 741,45 90 0,-23-59-143,-36-72-733,-6-13-276,-39-73-1574,19 50 1468,-2 0 0,0 1 0,-39-30 0,29 26 559,27 22-432,1 0 1,0 0-1,1-1 1,0 0-1,0 0 1,1 0-1,0 0 1,-4-16-1,-10-22-255,15 42 404,0-1 0,0 0 0,0 1 0,0-1 0,-1 1 0,0 0 0,0 0-1,-7-6 1,11 11-12,-1 1-1,1-1 0,-1 0 0,1 0 0,-1 0 0,1 1 0,0-1 0,-1 0 1,1 1-1,0-1 0,-1 0 0,1 1 0,0-1 0,-1 0 0,1 1 1,0-1-1,-1 1 0,1-1 0,0 0 0,0 1 0,0-1 0,0 1 0,-1-1 1,1 1-1,0-1 0,0 1 0,0-1 0,0 1 0,0-1 0,0 0 0,0 1 1,0-1-1,0 1 0,0-1 0,1 1 0,-1-1 0,0 1 0,0-1 1,0 1-1,0-1 0,1 0 0,-1 1 0,0-1 0,0 1 0,1 0 0,7 24 250,11 8 297,0 0 0,2-1 0,44 51 0,87 76 1894,-109-117-1735,-30-28-469,-11-11-215,1 1-1,0-1 1,1 1 0,-1-1 0,1 0-1,6 5 1,-9-8-38,-1 0 0,0 0 0,1 0 0,-1 0-1,1 0 1,-1 1 0,0-1 0,1 0 0,-1 0 0,0 0 0,1 0 0,-1 0 0,1 0-1,-1 0 1,0-1 0,1 1 0,-1 0 0,1 0 0,-1 0 0,0 0 0,1 0 0,-1-1-1,0 1 1,1 0 0,-1 0 0,0 0 0,0-1 0,1 1 0,-1 0 0,0 0 0,1-1-1,5-24-554,-5 7 203,0 1 0,-2 0 0,0-1 0,-1 1 0,0 0 0,-1 0-1,-2 0 1,1 1 0,-2-1 0,0 1 0,-1 0 0,-12-20 0,15 30 193,-13-25-79,17 31 251,0-1 1,0 0-1,0 1 1,-1-1-1,1 1 0,0-1 1,0 1-1,-1-1 1,1 1-1,-1-1 1,1 1-1,0-1 0,-1 1 1,1-1-1,-1 1 1,1-1-1,-1 1 1,1 0-1,-1-1 0,1 1 1,-1 0-1,1 0 1,-1-1-1,0 1 0,1 0 1,-1 0-1,1 0 1,-1 0-1,0-1 1,1 1-1,-1 0 0,0 0 1,1 0-1,-1 1 1,0-1-1,1 3 34,0 1 0,0-1 0,0 1 0,0-1 0,1 0-1,0 1 1,0-1 0,0 0 0,0 1 0,0-1 0,1 0 0,-1 0 0,1 0 0,3 4-1,-1 2 94,23 46 547,2 0 1,2-3-1,55 72 1,-86-124-678,0 1 0,0-1-1,0 1 1,1-1 0,-1 1 0,0-1 0,1 0-1,-1 1 1,0-1 0,1 1 0,-1-1-1,0 0 1,1 1 0,-1-1 0,1 0 0,-1 1-1,0-1 1,1 0 0,-1 0 0,1 0-1,-1 1 1,1-1 0,-1 0 0,1 0 0,-1 0-1,1 0 1,-1 0 0,1 0 0,-1 0-1,1 0 1,0 0 0,-1 0 0,1 0 0,-1 0-1,1 0 1,0-1 0,6-19-383,-6-39-648,-1 53 944,1-64-1088,-3-42-791,-1 98 1816,1 16 351,2 25 196,8 4 69,2-1 0,1 0 1,23 45-1,-30-67-369,-4-8-100,0 0-1,0 0 0,0 0 0,0 0 0,1 0 0,-1 0 0,0 0 0,0 0 0,0 0 0,0 0 0,0 0 1,0-1-1,0 1 0,0 0 0,0 0 0,0 0 0,0 0 0,0 0 0,1 0 0,-1 0 0,0 0 0,0 0 1,0 0-1,0 0 0,0 0 0,0 0 0,0 0 0,0 0 0,0 0 0,0 1 0,0-1 0,1 0 0,-1 0 1,0 0-1,0 0 0,0 0 0,0 0 0,0 0 0,0 0 0,0 0 0,0 0 0,0 0 0,0 0 0,0 0 1,0 0-1,0 0 0,0 0 0,0 1 0,0-1 0,0-14-330,-8-21-47,-3 11 154,-42-74-886,48 89 1187,-2 0 1,0 0 0,0 0 0,0 1-1,-1 0 1,0 1 0,-16-12 0,24 19-69,-1 0 1,1-1 0,0 1 0,-1 0 0,1 0 0,-1 0 0,1 0 0,-1 0 0,1-1 0,0 1 0,-1 0 0,1 0 0,-1 0 0,1 0 0,-1 0 0,1 0 0,0 0 0,-1 0 0,1 1 0,-1-1 0,1 0 0,0 0-1,-1 0 1,1 0 0,-1 1 0,1-1 0,0 0 0,-1 0 0,1 1 0,0-1 0,-1 0 0,1 0 0,0 1 0,-1-1 0,1 0 0,0 1 0,-10 22 250,3 23 130,7 140 748,0-220-1794,-3 1 0,0-1-1,-2 1 1,-2 0-1,-1 1 1,-1-1-1,-2 1 1,-18-37 0,29 69 663,0 0 1,0 1-1,0-1 1,0 0 0,0 0-1,0 0 1,0 0-1,0 0 1,-1 0 0,1 0-1,0 0 1,0 0-1,0 0 1,0 0 0,0 0-1,0 0 1,0 0-1,0 1 1,-1-1 0,1 0-1,0 0 1,0 0-1,0 0 1,0 0 0,0 0-1,0 0 1,0 0-1,-1-1 1,1 1 0,0 0-1,0 0 1,0 0-1,0 0 1,0 0 0,0 0-1,0 0 1,-1 0-1,1 0 1,0 0 0,0 0-1,0 0 1,0 0-1,0 0 1,0-1 0,0 1-1,0 0 1,0 0-1,0 0 1,0 0 0,0 0-1,0 0 1,-1 0 0,1 0-1,0-1 1,0 1-1,0 0 1,0 0 0,0 0-1,0 0 1,0 16 284,4 23 174,2-16-119,25 96 1137,-26-105-1238,0 0 0,1-1 0,0 1 0,1-1 0,1-1 0,9 13 0,-16-23-226,1-1 0,-1 0-1,0 0 1,1 0 0,0-1 0,-1 1-1,1 0 1,0 0 0,-1-1-1,1 1 1,0-1 0,0 0-1,-1 1 1,1-1 0,0 0-1,0 0 1,0 0 0,0 0 0,-1 0-1,1-1 1,0 1 0,0-1-1,-1 1 1,1-1 0,0 1-1,-1-1 1,1 0 0,0 0-1,-1 0 1,1 0 0,-1 0 0,1 0-1,-1 0 1,1-2 0,12-7-122,-1-1 1,19-21-1,-21 22 156,0-1-215,0-1 0,0 0 0,-2-1 0,1 1 0,-2-2 0,1 1 0,-2-1 1,9-22-1,-20 54 322,0 0 1,2-1-1,0 1 0,1 0 1,1 0-1,1 0 1,0 0-1,1 0 0,1 0 1,1 0-1,1-1 1,0 0-1,8 19 1,-13-36-158,0 1 0,0-1 0,0 0 1,0 1-1,0-1 0,0 0 1,0 1-1,1-1 0,-1 0 1,0 1-1,0-1 0,0 0 0,0 1 1,0-1-1,1 0 0,-1 1 1,0-1-1,0 0 0,1 0 0,-1 1 1,0-1-1,0 0 0,1 0 1,-1 0-1,0 1 0,1-1 1,-1 0-1,0 0 0,1 0 0,-1 0 1,0 0-1,1 1 0,-1-1 1,0 0-1,1 0 0,-1 0 0,0 0 1,1 0-1,-1 0 0,0 0 1,1 0-1,7-16-307,-2-24-381,7-145-2389,-7 152 2611,-1 30 621,-2 22 155,-5 67 477,0-57-340,1 0 1,6 49-1,-5-78-451,0 0 1,0 0-1,0 0 1,0 0-1,0 0 1,0 0-1,0 0 1,0 0-1,0 0 1,0 0-1,0-1 1,0 1-1,0 0 0,1 0 1,-1 0-1,0 0 1,0 0-1,0 0 1,0 0-1,0 0 1,0 0-1,0 0 1,0 0-1,0 0 1,0 0-1,0 0 0,1 0 1,-1 0-1,0 0 1,0 0-1,0 0 1,0 0-1,0 0 1,0 0-1,0 0 1,0 0-1,0 0 1,0 0-1,1 0 0,-1 0 1,0 0-1,0 0 1,0 0-1,0 0 1,0 0-1,0 0 1,0 0-1,0 0 1,0 0-1,0 1 1,0-1-1,0 0 0,0 0 1,0 0-1,1 0 1,4-15-255,5-18-281,-3 5 158,0-4-589,21-58 1,-26 90 1300,1 9-103,2 23 63,-1-2 41,3 7 92,-6-28-291,0 0 1,1 0-1,0 0 1,0-1-1,6 14 1,-8-22-138,1 0-1,-1 0 1,0 0 0,0 0 0,0 0-1,0 1 1,0-1 0,0 0 0,0 0 0,0 0-1,1 0 1,-1 0 0,0 0 0,0 0 0,0 0-1,0 0 1,0 0 0,0 0 0,1 0-1,-1 0 1,0 1 0,0-1 0,0 0 0,0 0-1,0 0 1,1 0 0,-1 0 0,0-1 0,0 1-1,0 0 1,0 0 0,0 0 0,1 0-1,-1 0 1,0 0 0,0 0 0,0 0 0,0 0-1,0 0 1,0 0 0,1 0 0,-1 0 0,0-1-1,0 1 1,0 0 0,0 0 0,0 0-1,0 0 1,0 0 0,0 0 0,0-1 0,0 1-1,1 0 1,-1 0 0,0 0 0,8-15-210,7-24-353,-14 33 470,37-101-1306,-32 102 1538,-1 15 30,1 29 206,-3-19-123,-3-20-253,0-1 1,0 1-1,0 0 1,0 0-1,0 0 1,0 0-1,0 0 1,0 0-1,0-1 1,0 1-1,0 0 1,0 0-1,1 0 1,-1 0-1,0 0 1,0 0-1,0 0 1,0 0-1,0 0 0,0-1 1,1 1-1,-1 0 1,0 0-1,0 0 1,0 0-1,0 0 1,0 0-1,1 0 1,-1 0-1,0 0 1,0 0-1,0 0 1,0 0-1,0 0 1,1 0-1,-1 0 1,0 0-1,0 0 0,0 0 1,0 0-1,0 0 1,1 1-1,-1-1 1,0 0-1,0 0 1,0 0-1,0 0 1,0 0-1,0 0 1,0 0-1,0 0 1,1 1-1,-1-1 1,0 0-1,0 0 1,0 0-1,0 0 0,0 0 1,0 0-1,0 1 1,0-1-1,0 0 1,0 0-1,0 0 1,0 0-1,0 0 1,0 1-1,0-1 1,0 0-1,9-19-240,3-23-282,-6 19 251,11-45-547,-16 63 744,-1 0 0,1-1 0,-1 1 0,0 0 0,0 0 0,0-1 0,-1 1 0,1 0 0,-4-10 0,3 14 102,0 0 1,0-1-1,0 1 0,0 0 0,0 0 0,0-1 0,-1 1 0,1 0 0,0 0 0,-1 1 0,1-1 0,-1 0 0,1 0 0,-1 1 0,1-1 0,-1 1 1,0-1-1,1 1 0,-1-1 0,1 1 0,-1 0 0,0 0 0,1 0 0,-1 0 0,0 0 0,1 0 0,-1 1 0,0-1 0,1 1 0,-1-1 0,0 1 1,-2 1-1,-61 25 832,52-20-620,-23 9 481,0 1 1,1 2 0,0 2-1,2 1 1,-32 28-1,132-90 928,-54 29-1524,0 0 1,0 1 0,1 1-1,1 0 1,-1 1-1,1 1 1,0 0 0,1 1-1,0 1 1,0 0-1,0 1 1,0 1-1,1 0 1,31 0 0,-78 2-125,-158 3 0,168 2-53,14-3 12,1 0 0,-1 0 0,0 0 0,0 0-1,1-1 1,-8 0 0,12 0 35,1-1 1,-1 1-1,1 0 1,-1 0-1,1 0 1,-1 0-1,1-1 1,-1 1-1,1 0 1,-1-1-1,1 1 1,-1 0-1,1-1 1,-1 1-1,1 0 1,0-1-1,-1 1 1,1-1-1,0 1 1,-1-1-1,1 1 1,0-1-1,-1 1 1,1-1-1,0 1 1,0-1-1,0-1-1,0 0 0,0 0 0,0 1 0,0-1-1,0 0 1,1 0 0,-1 1 0,1-1 0,-1 0 0,1 1-1,0-1 1,1-3 0,2-3-136,0 0 0,1 0 0,0 0 0,1 0 1,-1 1-1,1-1 0,1 2 0,6-8 0,-13 14 145,1 0 0,-1 0 0,0 0 0,0-1 0,0 1-1,0 0 1,0 0 0,1 0 0,-1 0 0,0-1 0,0 1 0,0 0 0,1 0 0,-1 0 0,0 0-1,0 0 1,0 0 0,1 0 0,-1 0 0,0-1 0,0 1 0,0 0 0,1 0 0,-1 0 0,0 0 0,0 0-1,1 0 1,-1 0 0,0 0 0,0 0 0,1 0 0,-1 1 0,0-1 0,0 0 0,0 0 0,1 0-1,-1 0 1,0 0 0,0 0 0,0 0 0,1 1 0,-1-1 0,0 0 0,0 0 0,0 0 0,0 0-1,1 1 1,-1-1 0,0 0 0,0 0 0,0 0 0,0 1 0,0-1 0,-2 18 71,-12 19 27,5-23-42,0 0 0,0-1-1,-2 0 1,1 0 0,-2-1 0,0-1 0,0 0 0,-1 0 0,0-1-1,-21 11 1,45-34-60,0 1-1,0 0 0,15-10 1,51-24 156,-77 46-153,0 0 0,0-1 0,0 1 0,0 0 0,0 0 0,1 0 0,-1 0 0,0 1 0,0-1 0,0 0 0,0 0 0,0 0 0,0 0 0,1 0 0,-1 0 0,0 0 0,0 0 0,0 0 0,0 0-1,0 0 1,0 0 0,0 0 0,0 0 0,1 0 0,-1 1 0,0-1 0,0 0 0,0 0 0,0 0 0,0 0 0,0 0 0,0 0 0,0 0 0,0 1 0,0-1 0,0 0 0,0 0 0,0 0 0,0 0 0,0 0 0,0 0 0,0 1 0,0-1 0,0 0-1,0 0 1,0 0 0,0 0 0,0 0 0,0 0 0,0 1 0,0-1 0,0 0 0,0 0 0,0 0 0,0 0 0,0 0 0,-1 0 0,1 0 0,0 1 0,0-1 0,0 0 0,-6 17 34,-8 14 17,6-15-7,1 0-1,-8 31 0,13-41-33,0 1-1,1-1 0,0 1 1,0-1-1,1 1 0,0-1 1,0 1-1,1 0 0,-1-1 1,4 11-1,-4-17-11,0 0 0,0 1 0,0-1 0,0 0 0,0 0 0,0 0 0,0 1 0,0-1 1,0 0-1,0 0 0,0 0 0,0 0 0,0 1 0,0-1 0,0 0 0,1 0 0,-1 0 0,0 1 0,0-1 0,0 0 0,0 0 0,0 0 0,1 0 0,-1 0 0,0 0 0,0 1 0,0-1 0,0 0 0,1 0 1,-1 0-1,0 0 0,0 0 0,0 0 0,1 0 0,-1 0 0,0 0 0,0 0 0,0 0 0,1 0 0,-1 0 0,0 0 0,0 0 0,0 0 0,1 0 0,-1 0 0,0 0 0,0 0 0,0 0 0,1 0 0,-1 0 0,0-1 1,0 1-1,0 0 0,0 0 0,1 0 0,9-15-378,4-20-469,-1-8-230,-7 22 448,1 0 1,19-39 0,-26 60 635,0 0 1,0 0 0,0 0 0,0 0 0,0 1 0,0-1 0,0 0-1,0 0 1,0 0 0,0 0 0,0 0 0,0 0 0,0 0 0,0 0-1,0 0 1,0 0 0,0 0 0,0 0 0,0 1 0,0-1 0,0 0-1,0 0 1,0 0 0,0 0 0,0 0 0,1 0 0,-1 0-1,0 0 1,0 0 0,0 0 0,0 0 0,0 0 0,0 0 0,0 0-1,0 0 1,0 0 0,-3 18 151,-6 20 90,0-7 41,-1 0 0,-2-1 1,-1 0-1,-21 33 0,34-63-292,-1 1 0,1-1 0,0 1 0,0-1-1,-1 1 1,1-1 0,0 0 0,-1 1 0,1-1 0,0 0 0,-1 1-1,1-1 1,-1 0 0,1 1 0,0-1 0,-1 0 0,1 0 0,-1 0 0,1 1-1,-1-1 1,1 0 0,-1 0 0,1 0 0,-1 0 0,1 0 0,-1 0-1,1 0 1,-1 0 0,1 0 0,-1 0 0,1 0 0,-1 0 0,1 0 0,-1 0-1,1-1 1,-1 1 0,1 0 0,-1 0 0,1-1 0,-1 1 0,1 0-1,0 0 1,-1-1 0,1 1 0,-1 0 0,1-1 0,0 1 0,-1-1-1,1 1 1,0 0 0,0-1 0,-1 1 0,1-1 0,0 1 0,0-1 0,0 1-1,0-1 1,-1 1 0,1-1 0,0 1 0,0-1 0,0 0 0,-14-43-949,10 32 696,-14-60-1227,14 55 995,0 0 0,-11-30 0,14 47 494,1 0-1,0-1 1,0 1 0,0 0-1,0 0 1,0 0 0,0 0-1,0-1 1,0 1 0,0 0-1,-1 0 1,1 0 0,0 0 0,0 0-1,0 0 1,0 0 0,0-1-1,-1 1 1,1 0 0,0 0-1,0 0 1,0 0 0,0 0 0,-1 0-1,1 0 1,0 0 0,0 0-1,0 0 1,-1 0 0,1 0-1,0 0 1,0 0 0,0 0 0,0 0-1,-1 0 1,1 0 0,0 0-1,0 0 1,0 0 0,0 1-1,-1-1 1,1 0 0,0 0 0,0 0-1,0 0 1,0 0 0,0 0-1,0 0 1,-1 1 0,1-1-1,0 0 1,0 0 0,0 0 0,0 0-1,0 1 1,0-1 0,0 0-1,0 0 1,0 0 0,0 0-1,0 1 1,0-1 0,-10 21 253,-4 23 158,2 10 60,9-34-155,-2 0-1,-13 37 1,18-57-323,0 1-1,0-1 1,0 0-1,0 0 1,0 0-1,0 0 1,0 0-1,0 0 1,0 1-1,-1-1 1,1 0-1,0 0 1,0 0-1,0 0 1,0 0-1,0 0 1,0 0-1,0 0 1,-1 0-1,1 1 1,0-1-1,0 0 1,0 0-1,0 0 1,0 0 0,-1 0-1,1 0 1,0 0-1,0 0 1,0 0-1,0 0 1,0 0-1,-1 0 1,1 0-1,0 0 1,0 0-1,0 0 1,0-1-1,0 1 1,-1 0-1,1 0 1,0 0-1,0 0 1,0 0-1,0 0 1,0 0-1,0 0 1,0 0-1,-1 0 1,1-1-1,0 1 1,0 0-1,0 0 1,0 0-1,0 0 1,0 0-1,0 0 1,0-1-1,0 1 1,0 0-1,0 0 1,0 0-1,0 0 1,0 0-1,0-1 1,0 1 0,-8-20-339,-2-23-291,7 11-113,1 1-1,5-62 1,-3 93 748,0-1 1,0 1-1,0 0 1,0-1-1,0 1 1,0 0-1,-1-1 0,1 1 1,0 0-1,0-1 1,0 1-1,0 0 1,0-1-1,1 1 0,-1 0 1,0-1-1,0 1 1,0 0-1,0 0 1,0-1-1,0 1 0,0 0 1,1-1-1,-1 1 1,0 0-1,0 0 1,0-1-1,1 1 0,-1 0 1,0 0-1,0-1 1,1 1-1,-1 0 1,0 0-1,0 0 0,1 0 1,-1-1-1,0 1 1,1 0-1,-1 0 1,8 15 250,9 39 278,-14-43-405,-1-2-7,1 0 1,0 0 0,0 0-1,1 0 1,0-1 0,1 0-1,0 0 1,0 0 0,8 9-1,-10-15-82,-1 0-1,1 0 1,-1 0-1,1-1 0,0 1 1,-1-1-1,1 0 1,0 1-1,0-1 1,0 0-1,0-1 0,0 1 1,0-1-1,1 1 1,-1-1-1,0 0 1,0 0-1,0 0 0,0 0 1,0-1-1,0 1 1,0-1-1,0 0 0,0 0 1,0 0-1,0 0 1,0-1-1,0 1 1,0-1-1,-1 1 0,4-4 1,18-11 179,0-2 1,0-1 0,-2-1-1,26-29 1,-13 12-1279,-33 36 1054,-1-1 0,1 0-1,-1 1 1,1-1 0,0 1 0,-1 0 0,1-1 0,0 1 0,0 0 0,0 0-1,0 0 1,0 0 0,0 1 0,1-1 0,-1 0 0,0 1 0,0 0 0,0-1-1,1 1 1,1 0 0,-2 1 20,-1 0 1,1 0-1,-1-1 0,0 1 0,1 0 0,-1 1 0,0-1 1,0 0-1,1 0 0,-1 0 0,0 1 0,0-1 1,-1 1-1,1-1 0,0 1 0,0-1 0,-1 1 1,1-1-1,-1 1 0,1-1 0,-1 1 0,1 0 0,-1-1 1,0 1-1,0 0 0,0 0 0,0 2 0,0-1 11,7 55 312,-6-55-315,-1 0 1,1-1 0,-1 1 0,1 0 0,0 0-1,0-1 1,0 1 0,0 0 0,1-1-1,-1 1 1,1-1 0,0 0 0,-1 1 0,1-1-1,0 0 1,4 3 0,-4-4-7,-1-1-1,1 0 1,-1 0 0,1 0 0,0 0 0,-1 0-1,1 0 1,-1 0 0,1-1 0,-1 1-1,1 0 1,0-1 0,-1 1 0,1-1 0,-1 0-1,0 1 1,1-1 0,-1 0 0,0 0-1,1 0 1,0-2 0,35-30 291,-18 15-107,-4 6-96,14-8 230,-19 24-162,-5 18-33,-5-10-71,0-9-49,-1-1 1,1 1-1,0 0 0,0-1 0,1 1 1,-1 0-1,1-1 0,-1 1 0,1 0 1,0-1-1,1 4 0,15-52-1212,-13 28 805,-1 8 127,0 0-1,0-1 1,-2 1-1,1-1 0,-1 1 1,-1-1-1,-1-18 1,1 28 267,0 1 0,0-1 0,0 1-1,0-1 1,0 1 0,-1-1 0,1 1 0,0-1 0,0 1 0,-1 0 0,1-1 0,0 1-1,-1-1 1,1 1 0,0 0 0,-1-1 0,1 1 0,0 0 0,-1 0 0,1-1 0,-1 1-1,1 0 1,-1 0 0,1-1 0,0 1 0,-1 0 0,1 0 0,-1 0 0,1 0 0,-1 0 0,1 0-1,-1 0 1,1 0 0,-1 0 0,0 0 0,-20 11 182,-15 22 163,35-33-330,-18 20 197,-77 75 833,136-152-2106,8 3 448,-44 50 650,0 1-1,-1 0 0,1 0 1,0 0-1,1 0 1,-1 0-1,0 1 1,1 0-1,-1 0 0,1 0 1,0 0-1,6-1 1,-7 3-56,-1 0 1,1-1 0,0 1-1,-1-1 1,1 0 0,-1 0-1,1-1 1,-1 1 0,0-1 0,1 0-1,-1 1 1,0-1 0,0-1-1,0 1 1,0 0 0,-1-1-1,1 1 1,-1-1 0,1 0-1,-1 0 1,0 0 0,0 0-1,0 0 1,2-6 0,13-19-393,2 0 1,41-46-1,-60 74 408,0 0-1,0 0 1,0 0 0,0 1-1,0-1 1,0 0 0,0 0-1,0 0 1,0 0 0,0 0-1,0 0 1,0 0 0,0 0-1,0 0 1,0 0 0,0 1-1,0-1 1,0 0 0,0 0 0,0 0-1,1 0 1,-1 0 0,0 0-1,0 0 1,0 0 0,0 0-1,0 0 1,0 0 0,0 0-1,0 0 1,0 0 0,0 1-1,0-1 1,0 0 0,0 0-1,1 0 1,-1 0 0,0 0-1,0 0 1,0 0 0,0 0-1,0 0 1,0 0 0,0 0-1,0 0 1,0 0 0,0 0-1,1 0 1,-1 0 0,0 0-1,0 0 1,0 0 0,0 0-1,0 0 1,0 0 0,0-1-1,0 1 1,0 0 0,0 0-1,0 0 1,1 0 0,-1 0-1,0 0 1,0 0 0,0 0-1,0 0 1,0 0 0,-1 13 128,-4 11 64,-13 39 316,9-31-7,-12 62 0,60-170-1840,-7 15 451,20-32-658,-67 152 2453,13-53-853,-62 173 2095,72-272-3765,10-61-743,-16 126 1964,-2 19 250,0 0 0,1 0 0,0 1 0,0-1-1,1 0 1,0 1 0,0-1 0,1 1 0,0 0 0,1 0 0,5-9-1,-9 17 152,0 0 0,0 0 0,0 0 0,0-1 0,0 1-1,0 0 1,0 0 0,0 0 0,0 0 0,0-1-1,1 1 1,-1 0 0,0 0 0,0 0 0,0 0 0,0 0-1,0 0 1,1 0 0,-1-1 0,0 1 0,0 0 0,0 0-1,0 0 1,1 0 0,-1 0 0,0 0 0,0 0 0,0 0-1,0 0 1,1 0 0,-1 0 0,0 0 0,0 0-1,0 0 1,1 0 0,-1 0 0,0 0 0,0 0 0,0 0-1,0 0 1,1 0 0,-1 1 0,0-1 0,0 0 0,0 0-1,0 0 1,1 0 0,-1 0 0,0 0 0,0 1 0,0-1-1,0 0 1,0 0 0,0 0 0,0 0 0,1 1-1,3 16 289,-1 19 112,-4 180 2175,2-244-3070,2 0 1,1 0 0,9-29 0,-7 29-177,0-1 0,3-56 0,-9 79 588,0 0 0,1 0 0,0 0 1,0 0-1,0 0 0,5-11 0,-3 82 1360,-3 164 1690,11-370-4759,-9 123 1502,0-72-891,-2 53 786,-1 31 447,1 12 246,0 238 2702,14-415-5189,-8 105 1329,-4 54 664,0 1 0,-1-1 0,-1 1 0,0-1 0,0 1-1,-1-1 1,-3-14 0,0 12-15,-2-12-21,-1 1-1,-1-1 1,-1 1 0,-19-34 0,16 36 250,8 15 98,0 1 0,0 0 0,0-1 0,-1 1 1,0 1-1,-1-1 0,0 1 0,0 0 0,0 0 0,-10-7 0,3 5 174,1-1 0,0 0 1,1-1-1,-1 0 0,-11-16 0,19 21-340,0-1 0,0 0 0,0-1 0,1 1 0,0-1 0,1 1 0,-1-1 0,1 0 0,1 0 0,-1 0 0,1 0 0,0 0-1,0-10 1,-2-2-137,2 16 182,0 0 1,0 0 0,1 0-1,-1 0 1,1 0-1,0 0 1,0 0 0,0 0-1,0 0 1,0 0-1,0 0 1,2-3 0,-1 6 22,-1 0 0,1 0 0,0 0 0,0 0 0,0 0 0,0 0 0,0 0 0,0 0 1,-1 0-1,1 1 0,0-1 0,0 0 0,0 1 0,-1-1 0,1 1 0,0-1 0,0 1 0,-1-1 1,1 1-1,0-1 0,-1 1 0,1 0 0,-1-1 0,2 2 0,19 20 394,-17-18-292,11 15 498,0 1 1,-1 1 0,21 43-1,-13-23 193,-13-21-431,0 1 0,-2 0 0,0 0 0,-2 0 0,0 1 0,1 23 0,10 40 919,-14-74-1147,0 0 0,-2 0 0,1 0 0,-2 17 0,0-18-32,0-1-1,1 1 1,1 0 0,0-1 0,3 16 0,2-22-157,6-12-37,13-19-72,-19 20 116,-3 6-34,-1 0 0,1-1 0,-1 1 1,0-1-1,0 1 0,0-1 0,0 0 0,0 0 0,-1 0 0,0 0 0,1 0 0,-1 0 0,0 0 0,0 0 0,0 0 0,-1-1 0,1 1 0,-1 0 1,0-1-1,0 1 0,0 0 0,0-1 0,-1 1 0,1 0 0,-1 0 0,0-1 0,0 1 0,0 0 0,0 0 0,-1 0 0,1 0 0,-4-5 0,-7-17-538,10 18 525,-1 0-1,-1 0 1,1 0 0,-1 1 0,0-1 0,-1 1 0,0 0 0,-5-5 0,5 5-37,0 0 0,0 0 0,1-1 0,0 1 0,0-1 0,0 0 0,1 0 0,0 0 0,-3-15 1,-24-6 618,16 17-370,-134-122 1320,124 112-1143,-2 2-1,0 1 0,-51-27 0,-7-5 321,67 40-619,0 0 0,0 1 0,-1 0 1,0 2-1,-1 0 0,-37-8 0,19 9 18,0 2 0,-64 0 0,35-3-40,55 5 0,1 0 0,0 1 0,-1 0 0,1 0 0,-1 1 0,1 1 0,-1 0 0,-15 3 0,7 0 0,-1-1 0,0-1 0,1 0 0,-1-2 0,-28-2 0,-48 2 0,80 4 0,29 1 0,29 0 0,-14-5 0,-1 0 0,1-3 0,-1 0 0,53-14 0,-41 9 0,0 2 0,0 1 0,0 2 0,73 4 0,-37 1 0,-53-1 0,-1 2 0,1 0 0,36 12 0,17 2 0,-45-12 0,1-1 0,1 2 0,58 19 0,-89-25 0,-1 0 0,1 0 0,-1 0 0,1 0 0,-1 0 0,1 0 0,-1 1 0,1-1 0,-1 0 0,1 0 0,-1 0 0,1 1 0,-1-1 0,1 0 0,-1 1 0,0-1 0,1 0 0,-1 1 0,1-1 0,-1 1 0,0-1 0,1 0 0,-1 1 0,0-1 0,0 1 0,1-1 0,-1 1 0,0-1 0,0 2 0,-14 3 0,-28-3 0,-9-12 0,-1 3 0,-85-3 0,55 9 0,-73 3 0,44 12 0,43 0 0,54-10 0,-1-1 0,0 0 0,-26 1 0,17-3 0,1 2 0,0 1 0,0 0 0,0 2 0,-34 12 0,52-15 0,0 0 0,0 1 0,0-1 0,0 1 0,0 0 0,1 0 0,0 1 0,0-1 0,0 1 0,0 0 0,1 0 0,0 0 0,-4 9 0,4-8 0,0 0 0,-1-1 0,1 1 0,-1-1 0,0 0 0,0 0 0,-1 0 0,0 0 0,1-1 0,-2 0 0,1 0 0,-9 5 0,6-5 0</inkml:trace>
</inkml:ink>
</file>

<file path=xl/persons/person.xml><?xml version="1.0" encoding="utf-8"?>
<personList xmlns="http://schemas.microsoft.com/office/spreadsheetml/2018/threadedcomments" xmlns:x="http://schemas.openxmlformats.org/spreadsheetml/2006/main">
  <person displayName="Mohamed Chaibi" id="{605BFFB2-6BCA-48C3-88C2-28044B094B06}" userId="S::21066@ecam.be::5d82ad00-7328-4f7c-99c2-86d7c94e6958" providerId="AD"/>
  <person displayName="Marouane Azouaoui" id="{E5F4D052-F64A-8F4B-8B5F-51F377B6E666}" userId="S::22148@ecam.be::821cbf8e-82bf-4456-ab57-2784dc835c48" providerId="AD"/>
  <person displayName="Salma Nadi" id="{E95AD256-8A38-704E-8743-CA2472EB467E}" userId="S::22181@ecam.be::06026c94-3851-4edd-b3af-57fed6990f70" providerId="AD"/>
</personList>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M46" dT="2024-09-25T08:12:29.51" personId="{605BFFB2-6BCA-48C3-88C2-28044B094B06}" id="{94CBD0FB-CC7D-A947-90D6-1F40BE013A0D}">
    <text xml:space="preserve">https://energie.wallonie.be/servlet/Repository/agw-150514-annexe-b1-drt-fr.pdf?ID=32299
</text>
    <extLst>
      <x:ext xmlns:xltc2="http://schemas.microsoft.com/office/spreadsheetml/2020/threadedcomments2" uri="{F7C98A9C-CBB3-438F-8F68-D28B6AF4A901}">
        <xltc2:checksum>4214481887</xltc2:checksum>
        <xltc2:hyperlink startIndex="0" length="87" url="https://energie.wallonie.be/servlet/Repository/agw-150514-annexe-b1-drt-fr.pdf?ID=32299"/>
        <xltc2:hyperlink startIndex="87" length="1" url="https://energie.wallonie.be/servlet/Repository/agw-150514-annexe-b1-drt-fr.pdf?ID=32299"/>
      </x:ext>
    </extLst>
  </threadedComment>
  <threadedComment ref="M55" dT="2024-09-25T08:13:55.87" personId="{605BFFB2-6BCA-48C3-88C2-28044B094B06}" id="{CEE7B8A1-5084-364D-824A-3952889283C1}">
    <text>https://energie.wallonie.be/servlet/Repository/agw-150514-annexe-b1-drt-fr.pdf?ID=32299</text>
    <extLst>
      <x:ext xmlns:xltc2="http://schemas.microsoft.com/office/spreadsheetml/2020/threadedcomments2" uri="{F7C98A9C-CBB3-438F-8F68-D28B6AF4A901}">
        <xltc2:checksum>680655655</xltc2:checksum>
        <xltc2:hyperlink startIndex="0" length="87" url="https://energie.wallonie.be/servlet/Repository/agw-150514-annexe-b1-drt-fr.pdf?ID=32299"/>
      </x:ext>
    </extLst>
  </threadedComment>
  <threadedComment ref="N96" dT="2024-09-25T08:12:29.51" personId="{605BFFB2-6BCA-48C3-88C2-28044B094B06}" id="{855DA0DC-D76C-4173-833A-B991B4F5813C}">
    <text xml:space="preserve">https://energie.wallonie.be/servlet/Repository/agw-150514-annexe-b1-drt-fr.pdf?ID=32299
</text>
    <extLst>
      <x:ext xmlns:xltc2="http://schemas.microsoft.com/office/spreadsheetml/2020/threadedcomments2" uri="{F7C98A9C-CBB3-438F-8F68-D28B6AF4A901}">
        <xltc2:checksum>4214481887</xltc2:checksum>
        <xltc2:hyperlink startIndex="0" length="87" url="https://energie.wallonie.be/servlet/Repository/agw-150514-annexe-b1-drt-fr.pdf?ID=32299"/>
        <xltc2:hyperlink startIndex="87" length="1" url="https://energie.wallonie.be/servlet/Repository/agw-150514-annexe-b1-drt-fr.pdf?ID=32299"/>
      </x:ext>
    </extLst>
  </threadedComment>
</ThreadedComments>
</file>

<file path=xl/threadedComments/threadedComment2.xml><?xml version="1.0" encoding="utf-8"?>
<ThreadedComments xmlns="http://schemas.microsoft.com/office/spreadsheetml/2018/threadedcomments" xmlns:x="http://schemas.openxmlformats.org/spreadsheetml/2006/main">
  <threadedComment ref="I7" dT="2024-09-26T12:12:18.39" personId="{E95AD256-8A38-704E-8743-CA2472EB467E}" id="{4EE8E295-0C13-4D48-821A-905AFA4D1C6C}">
    <text>Pour une porte en acier massif non isolée 
U = 5,5 à 6</text>
  </threadedComment>
</ThreadedComments>
</file>

<file path=xl/threadedComments/threadedComment3.xml><?xml version="1.0" encoding="utf-8"?>
<ThreadedComments xmlns="http://schemas.microsoft.com/office/spreadsheetml/2018/threadedcomments" xmlns:x="http://schemas.openxmlformats.org/spreadsheetml/2006/main">
  <threadedComment ref="G60" dT="2024-09-25T19:51:41.88" personId="{E95AD256-8A38-704E-8743-CA2472EB467E}" id="{77C012D1-714C-7140-B6E2-AB46D9776CBC}">
    <text>fij = (teta int - teta espace adj)/(teta int - teta ext)</text>
  </threadedComment>
  <threadedComment ref="G60" dT="2024-09-26T12:31:11.06" personId="{E5F4D052-F64A-8F4B-8B5F-51F377B6E666}" id="{766BC14E-134E-42B4-8D0B-AAA39A1D215A}" parentId="{77C012D1-714C-7140-B6E2-AB46D9776CBC}">
    <text xml:space="preserve">??????
</text>
  </threadedComment>
</ThreadedComments>
</file>

<file path=xl/threadedComments/threadedComment4.xml><?xml version="1.0" encoding="utf-8"?>
<ThreadedComments xmlns="http://schemas.microsoft.com/office/spreadsheetml/2018/threadedcomments" xmlns:x="http://schemas.openxmlformats.org/spreadsheetml/2006/main">
  <threadedComment ref="H21" dT="2024-09-27T22:32:37.64" personId="{E95AD256-8A38-704E-8743-CA2472EB467E}" id="{FD37D097-5D3B-1A44-928F-D106B5DE9ADE}">
    <text xml:space="preserve">p.79
</text>
  </threadedComment>
  <threadedComment ref="J21" dT="2024-09-27T22:50:21.24" personId="{E95AD256-8A38-704E-8743-CA2472EB467E}" id="{49525729-00BF-E14A-90AA-368C70B96C7C}">
    <text>hyp:- Site très abrité (loc au centre ville)</text>
  </threadedComment>
  <threadedComment ref="M21" dT="2024-09-29T21:38:41.42" personId="{E95AD256-8A38-704E-8743-CA2472EB467E}" id="{26F6B0B2-3B8F-B044-89BD-B66ED483FA6A}">
    <text xml:space="preserve">jsp pour les locaux non chauffé
</text>
  </threadedComment>
  <threadedComment ref="M21" dT="2024-10-01T12:18:56.18" personId="{E95AD256-8A38-704E-8743-CA2472EB467E}" id="{D98E04A6-2F57-6646-A012-0C335DC1BA94}" parentId="{26F6B0B2-3B8F-B044-89BD-B66ED483FA6A}">
    <text xml:space="preserve">faire comme si ct chauffé
</text>
  </threadedComment>
  <threadedComment ref="G112" dT="2024-09-27T22:32:10.42" personId="{E95AD256-8A38-704E-8743-CA2472EB467E}" id="{F39FCFEE-E4AF-CB4C-8A34-2F3BB111A944}">
    <text xml:space="preserve">p.79 NBN
hyp: qualité des joints élevé
</text>
  </threadedComment>
  <threadedComment ref="G113" dT="2024-09-27T22:32:37.64" personId="{E95AD256-8A38-704E-8743-CA2472EB467E}" id="{6AD615C2-0973-A44E-A609-170156E90EA0}">
    <text xml:space="preserve">p.79
</text>
  </threadedComment>
  <threadedComment ref="I113" dT="2024-09-27T22:50:21.24" personId="{E95AD256-8A38-704E-8743-CA2472EB467E}" id="{A000473F-7D68-A94D-A436-5ECE4F54CF0C}">
    <text>hyp:- Site très abrité (loc au centre ville)</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2.xml"/><Relationship Id="rId4" Type="http://schemas.microsoft.com/office/2017/10/relationships/threadedComment" Target="../threadedComments/threadedComment1.xml"/></Relationships>
</file>

<file path=xl/worksheets/_rels/sheet7.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 Id="rId4" Type="http://schemas.microsoft.com/office/2017/10/relationships/threadedComment" Target="../threadedComments/threadedComment2.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2.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6.xml"/><Relationship Id="rId4" Type="http://schemas.microsoft.com/office/2017/10/relationships/threadedComment" Target="../threadedComments/threadedComment3.xml"/></Relationships>
</file>

<file path=xl/worksheets/_rels/sheet13.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7.xml"/><Relationship Id="rId4" Type="http://schemas.microsoft.com/office/2017/10/relationships/threadedComment" Target="../threadedComments/threadedComment4.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Feuil1"/>
  <dimension ref="A6:K81"/>
  <sheetViews>
    <sheetView topLeftCell="B1" zoomScale="70" zoomScaleNormal="70" zoomScaleSheetLayoutView="79" workbookViewId="0">
      <selection activeCell="E35" sqref="E34:E35"/>
    </sheetView>
  </sheetViews>
  <sheetFormatPr baseColWidth="10" defaultColWidth="24" defaultRowHeight="15.75"/>
  <cols>
    <col min="4" max="4" width="50.5" bestFit="1" customWidth="1"/>
    <col min="5" max="5" width="20.375" bestFit="1" customWidth="1"/>
    <col min="6" max="6" width="18.625" bestFit="1" customWidth="1"/>
    <col min="7" max="7" width="16.625" bestFit="1" customWidth="1"/>
    <col min="8" max="8" width="20.75" bestFit="1" customWidth="1"/>
    <col min="10" max="10" width="31.5" bestFit="1" customWidth="1"/>
    <col min="11" max="11" width="37.625" bestFit="1" customWidth="1"/>
    <col min="12" max="12" width="20.875" bestFit="1" customWidth="1"/>
  </cols>
  <sheetData>
    <row r="6" spans="4:10">
      <c r="J6" t="s">
        <v>0</v>
      </c>
    </row>
    <row r="9" spans="4:10" ht="26.25">
      <c r="D9" s="304" t="s">
        <v>1</v>
      </c>
      <c r="E9" s="304"/>
      <c r="F9" s="304"/>
      <c r="G9" s="304"/>
      <c r="H9" s="304"/>
    </row>
    <row r="10" spans="4:10" ht="18.75">
      <c r="D10" s="8" t="s">
        <v>2</v>
      </c>
      <c r="E10" s="9" t="s">
        <v>3</v>
      </c>
      <c r="F10" s="9" t="s">
        <v>4</v>
      </c>
      <c r="G10" s="9" t="s">
        <v>5</v>
      </c>
      <c r="H10" s="213"/>
    </row>
    <row r="11" spans="4:10" ht="18.75">
      <c r="D11" s="8" t="s">
        <v>6</v>
      </c>
      <c r="E11" s="6" t="s">
        <v>7</v>
      </c>
      <c r="F11" s="6" t="s">
        <v>8</v>
      </c>
      <c r="G11" s="6">
        <f xml:space="preserve"> -8</f>
        <v>-8</v>
      </c>
      <c r="H11" s="307"/>
    </row>
    <row r="12" spans="4:10" ht="18.75">
      <c r="D12" s="8" t="s">
        <v>9</v>
      </c>
      <c r="E12" s="6" t="s">
        <v>10</v>
      </c>
      <c r="F12" s="6" t="s">
        <v>8</v>
      </c>
      <c r="G12" s="6">
        <v>10</v>
      </c>
      <c r="H12" s="12"/>
      <c r="I12" s="3"/>
    </row>
    <row r="13" spans="4:10" ht="18.75">
      <c r="D13" s="303" t="s">
        <v>11</v>
      </c>
      <c r="E13" s="303"/>
      <c r="F13" s="303"/>
      <c r="G13" s="303"/>
      <c r="H13" s="303"/>
    </row>
    <row r="14" spans="4:10" ht="18.75">
      <c r="D14" s="13" t="s">
        <v>12</v>
      </c>
      <c r="E14" s="13"/>
      <c r="F14" s="13"/>
      <c r="G14" s="9" t="s">
        <v>5</v>
      </c>
      <c r="H14" s="213"/>
    </row>
    <row r="15" spans="4:10" ht="16.5" customHeight="1">
      <c r="D15" s="13"/>
      <c r="E15" s="13"/>
      <c r="F15" s="13"/>
      <c r="G15" s="6" t="s">
        <v>13</v>
      </c>
      <c r="H15" s="307"/>
      <c r="J15" t="s">
        <v>14</v>
      </c>
    </row>
    <row r="16" spans="4:10" ht="18.75">
      <c r="D16" s="13" t="s">
        <v>15</v>
      </c>
      <c r="E16" s="13"/>
      <c r="F16" s="13"/>
      <c r="G16" s="6" t="s">
        <v>16</v>
      </c>
      <c r="H16" s="12"/>
    </row>
    <row r="17" spans="1:11" ht="18.75">
      <c r="D17" s="11" t="s">
        <v>17</v>
      </c>
      <c r="E17" s="308"/>
      <c r="F17" s="309"/>
      <c r="G17" s="309"/>
      <c r="H17" s="310"/>
    </row>
    <row r="18" spans="1:11" ht="16.5" customHeight="1">
      <c r="D18" s="10" t="s">
        <v>18</v>
      </c>
      <c r="E18" s="305" t="s">
        <v>19</v>
      </c>
      <c r="F18" s="13" t="s">
        <v>20</v>
      </c>
      <c r="G18" s="13" t="s">
        <v>21</v>
      </c>
      <c r="H18" s="13" t="s">
        <v>22</v>
      </c>
    </row>
    <row r="19" spans="1:11" ht="16.5" customHeight="1">
      <c r="D19" s="10"/>
      <c r="E19" s="306"/>
      <c r="F19" s="13"/>
      <c r="G19" s="13"/>
      <c r="H19" s="13"/>
      <c r="K19" s="4" t="s">
        <v>23</v>
      </c>
    </row>
    <row r="20" spans="1:11" ht="18.75">
      <c r="D20" s="10"/>
      <c r="E20" s="10" t="s">
        <v>24</v>
      </c>
      <c r="F20" s="320" t="s">
        <v>24</v>
      </c>
      <c r="G20" s="320" t="s">
        <v>25</v>
      </c>
      <c r="H20" s="320" t="s">
        <v>26</v>
      </c>
      <c r="K20" s="3" t="s">
        <v>27</v>
      </c>
    </row>
    <row r="21" spans="1:11" ht="16.5" customHeight="1">
      <c r="D21" s="10"/>
      <c r="E21" s="14" t="s">
        <v>8</v>
      </c>
      <c r="F21" s="6" t="s">
        <v>8</v>
      </c>
      <c r="G21" s="6" t="s">
        <v>28</v>
      </c>
      <c r="H21" s="6" t="s">
        <v>29</v>
      </c>
      <c r="K21" s="3" t="s">
        <v>30</v>
      </c>
    </row>
    <row r="22" spans="1:11">
      <c r="D22" s="7" t="s">
        <v>31</v>
      </c>
      <c r="E22" s="6">
        <v>20</v>
      </c>
      <c r="F22" s="6">
        <v>24</v>
      </c>
      <c r="G22" s="708">
        <v>33.501799999999996</v>
      </c>
      <c r="H22" s="708">
        <f t="shared" ref="H22:H36" si="0">G22*3.6</f>
        <v>120.60647999999999</v>
      </c>
      <c r="K22" s="3" t="s">
        <v>32</v>
      </c>
    </row>
    <row r="23" spans="1:11">
      <c r="D23" s="7" t="s">
        <v>33</v>
      </c>
      <c r="E23" s="6">
        <v>22</v>
      </c>
      <c r="F23" s="6">
        <v>26</v>
      </c>
      <c r="G23" s="692">
        <v>31.170400000000001</v>
      </c>
      <c r="H23" s="708">
        <f t="shared" si="0"/>
        <v>112.21344000000001</v>
      </c>
      <c r="K23" s="3" t="s">
        <v>34</v>
      </c>
    </row>
    <row r="24" spans="1:11">
      <c r="D24" s="7" t="s">
        <v>35</v>
      </c>
      <c r="E24" s="6">
        <v>22</v>
      </c>
      <c r="F24" s="6">
        <v>26</v>
      </c>
      <c r="G24" s="708">
        <v>20.16</v>
      </c>
      <c r="H24" s="708">
        <f t="shared" si="0"/>
        <v>72.576000000000008</v>
      </c>
      <c r="K24" t="s">
        <v>36</v>
      </c>
    </row>
    <row r="25" spans="1:11">
      <c r="D25" s="7" t="s">
        <v>37</v>
      </c>
      <c r="E25" s="6">
        <v>20</v>
      </c>
      <c r="F25" s="6">
        <v>26</v>
      </c>
      <c r="G25" s="708">
        <v>50.024600760456273</v>
      </c>
      <c r="H25" s="708">
        <f t="shared" si="0"/>
        <v>180.08856273764258</v>
      </c>
    </row>
    <row r="26" spans="1:11">
      <c r="D26" s="7" t="s">
        <v>38</v>
      </c>
      <c r="E26" s="6">
        <v>22</v>
      </c>
      <c r="F26" s="6">
        <v>26</v>
      </c>
      <c r="G26" s="708">
        <v>20.16</v>
      </c>
      <c r="H26" s="708">
        <f t="shared" si="0"/>
        <v>72.576000000000008</v>
      </c>
      <c r="J26" s="15" t="s">
        <v>39</v>
      </c>
    </row>
    <row r="27" spans="1:11">
      <c r="D27" s="7" t="s">
        <v>40</v>
      </c>
      <c r="E27" s="6">
        <v>22</v>
      </c>
      <c r="F27" s="6">
        <v>26</v>
      </c>
      <c r="G27" s="708">
        <v>21.52</v>
      </c>
      <c r="H27" s="708">
        <f t="shared" si="0"/>
        <v>77.471999999999994</v>
      </c>
      <c r="J27" s="15" t="s">
        <v>41</v>
      </c>
    </row>
    <row r="28" spans="1:11">
      <c r="D28" s="7" t="s">
        <v>42</v>
      </c>
      <c r="E28" s="6">
        <v>20</v>
      </c>
      <c r="F28" s="6">
        <v>24</v>
      </c>
      <c r="G28" s="692">
        <v>36.099600000000002</v>
      </c>
      <c r="H28" s="708">
        <f t="shared" si="0"/>
        <v>129.95856000000001</v>
      </c>
      <c r="J28" s="15" t="s">
        <v>43</v>
      </c>
      <c r="K28">
        <v>1.3</v>
      </c>
    </row>
    <row r="29" spans="1:11">
      <c r="D29" s="7" t="s">
        <v>44</v>
      </c>
      <c r="E29" s="6">
        <v>22</v>
      </c>
      <c r="F29" s="6">
        <v>26</v>
      </c>
      <c r="G29" s="708">
        <v>32.174999999999997</v>
      </c>
      <c r="H29" s="708">
        <f t="shared" si="0"/>
        <v>115.83</v>
      </c>
      <c r="J29" s="15" t="s">
        <v>45</v>
      </c>
      <c r="K29">
        <v>0.93</v>
      </c>
    </row>
    <row r="30" spans="1:11">
      <c r="D30" s="7" t="s">
        <v>46</v>
      </c>
      <c r="E30" s="6">
        <v>20</v>
      </c>
      <c r="F30" s="6">
        <v>24</v>
      </c>
      <c r="G30" s="709">
        <v>52.62</v>
      </c>
      <c r="H30" s="708">
        <f t="shared" si="0"/>
        <v>189.43199999999999</v>
      </c>
      <c r="J30" s="15" t="s">
        <v>47</v>
      </c>
      <c r="K30">
        <v>1.7</v>
      </c>
    </row>
    <row r="31" spans="1:11">
      <c r="D31" s="198" t="s">
        <v>48</v>
      </c>
      <c r="E31" s="6">
        <v>20</v>
      </c>
      <c r="F31" s="129">
        <v>20</v>
      </c>
      <c r="G31" s="708"/>
      <c r="H31" s="708">
        <f t="shared" si="0"/>
        <v>0</v>
      </c>
      <c r="J31" s="15" t="s">
        <v>49</v>
      </c>
      <c r="K31">
        <v>4.4999999999999998E-2</v>
      </c>
    </row>
    <row r="32" spans="1:11">
      <c r="A32" t="s">
        <v>50</v>
      </c>
      <c r="B32" t="s">
        <v>51</v>
      </c>
      <c r="D32" s="198" t="s">
        <v>52</v>
      </c>
      <c r="E32" s="6">
        <v>20</v>
      </c>
      <c r="F32" s="6">
        <v>20</v>
      </c>
      <c r="G32" s="708"/>
      <c r="H32" s="708">
        <f t="shared" si="0"/>
        <v>0</v>
      </c>
      <c r="J32" s="15" t="s">
        <v>53</v>
      </c>
    </row>
    <row r="33" spans="1:11">
      <c r="A33" t="s">
        <v>54</v>
      </c>
      <c r="B33" t="s">
        <v>55</v>
      </c>
      <c r="D33" s="321" t="s">
        <v>56</v>
      </c>
      <c r="E33" s="2">
        <f>18</f>
        <v>18</v>
      </c>
      <c r="F33" s="6">
        <v>25</v>
      </c>
      <c r="G33" s="708">
        <v>49.0625</v>
      </c>
      <c r="H33" s="708">
        <f t="shared" si="0"/>
        <v>176.625</v>
      </c>
      <c r="J33" s="15" t="s">
        <v>57</v>
      </c>
      <c r="K33">
        <v>1.0900000000000001</v>
      </c>
    </row>
    <row r="34" spans="1:11">
      <c r="A34" s="322" t="s">
        <v>58</v>
      </c>
      <c r="B34" t="s">
        <v>59</v>
      </c>
      <c r="D34" s="7" t="s">
        <v>60</v>
      </c>
      <c r="E34" s="312">
        <v>16</v>
      </c>
      <c r="F34" s="497">
        <v>26</v>
      </c>
      <c r="G34" s="692">
        <v>17.399999999999999</v>
      </c>
      <c r="H34" s="708">
        <f t="shared" si="0"/>
        <v>62.639999999999993</v>
      </c>
      <c r="J34" s="16" t="s">
        <v>61</v>
      </c>
    </row>
    <row r="35" spans="1:11">
      <c r="D35" s="7" t="s">
        <v>62</v>
      </c>
      <c r="E35" s="62">
        <v>16</v>
      </c>
      <c r="F35" s="14">
        <v>26</v>
      </c>
      <c r="G35" s="710">
        <v>12.27</v>
      </c>
      <c r="H35" s="708">
        <f t="shared" si="0"/>
        <v>44.171999999999997</v>
      </c>
      <c r="J35" s="16" t="s">
        <v>63</v>
      </c>
    </row>
    <row r="36" spans="1:11">
      <c r="D36" s="7" t="s">
        <v>64</v>
      </c>
      <c r="E36" s="302">
        <v>18</v>
      </c>
      <c r="F36" s="14">
        <v>25</v>
      </c>
      <c r="G36" s="710">
        <v>23.080500000000001</v>
      </c>
      <c r="H36" s="708">
        <f t="shared" si="0"/>
        <v>83.089800000000011</v>
      </c>
      <c r="J36" s="16" t="s">
        <v>65</v>
      </c>
    </row>
    <row r="37" spans="1:11">
      <c r="D37" s="1"/>
      <c r="E37" s="1"/>
      <c r="F37" s="1"/>
      <c r="G37" s="1"/>
      <c r="H37" s="1"/>
      <c r="J37" s="16" t="s">
        <v>66</v>
      </c>
    </row>
    <row r="38" spans="1:11">
      <c r="D38" s="1"/>
      <c r="E38" s="1"/>
      <c r="F38" s="1"/>
      <c r="G38" s="1"/>
      <c r="H38" s="1"/>
      <c r="J38" s="16" t="s">
        <v>67</v>
      </c>
    </row>
    <row r="39" spans="1:11">
      <c r="A39" t="s">
        <v>68</v>
      </c>
      <c r="B39">
        <f>(52.73-0.1)*3.78-0.02*2.1</f>
        <v>198.89939999999996</v>
      </c>
      <c r="D39" s="1"/>
      <c r="E39" s="1"/>
      <c r="F39" s="1"/>
      <c r="G39" s="1"/>
      <c r="H39" s="1"/>
      <c r="J39" s="16" t="s">
        <v>69</v>
      </c>
    </row>
    <row r="40" spans="1:11" ht="18.75">
      <c r="A40" t="s">
        <v>70</v>
      </c>
      <c r="B40">
        <f>4.73*3.6</f>
        <v>17.028000000000002</v>
      </c>
      <c r="D40" s="487" t="s">
        <v>71</v>
      </c>
      <c r="E40" s="233">
        <v>18</v>
      </c>
      <c r="F40" s="488"/>
      <c r="G40" s="288">
        <f>SUM(G22:G31)</f>
        <v>297.43140076045631</v>
      </c>
      <c r="H40" s="719">
        <f>SUM(H22:H36)</f>
        <v>1437.2798427376426</v>
      </c>
    </row>
    <row r="41" spans="1:11" ht="18.75">
      <c r="A41" t="s">
        <v>72</v>
      </c>
      <c r="B41">
        <f>(4.37-0.16)*3.78-0.02*2.1</f>
        <v>15.871799999999999</v>
      </c>
      <c r="D41" s="10"/>
      <c r="E41" s="10"/>
      <c r="F41" s="10"/>
      <c r="G41" s="10"/>
      <c r="H41" s="10"/>
      <c r="J41" s="16"/>
    </row>
    <row r="42" spans="1:11" ht="18.75">
      <c r="A42" t="s">
        <v>73</v>
      </c>
      <c r="B42">
        <f>(17.4-0.16-0.16)*3.78-0.02*2.1</f>
        <v>64.520399999999995</v>
      </c>
      <c r="D42" s="10" t="s">
        <v>18</v>
      </c>
      <c r="E42" s="13" t="s">
        <v>74</v>
      </c>
      <c r="F42" s="13" t="s">
        <v>20</v>
      </c>
      <c r="G42" s="9" t="s">
        <v>75</v>
      </c>
      <c r="H42" s="9" t="s">
        <v>76</v>
      </c>
    </row>
    <row r="43" spans="1:11" ht="18.75">
      <c r="A43" t="s">
        <v>77</v>
      </c>
      <c r="B43">
        <f>(12.27-0.16)*3.78-0.02*2.1</f>
        <v>45.733799999999995</v>
      </c>
      <c r="D43" s="11"/>
      <c r="E43" s="14" t="s">
        <v>78</v>
      </c>
      <c r="F43" s="320" t="s">
        <v>24</v>
      </c>
      <c r="G43" s="6" t="s">
        <v>79</v>
      </c>
      <c r="H43" s="6" t="s">
        <v>26</v>
      </c>
      <c r="I43" t="s">
        <v>366</v>
      </c>
    </row>
    <row r="44" spans="1:11" ht="18.75">
      <c r="A44" t="s">
        <v>80</v>
      </c>
      <c r="B44">
        <f>3.78*(5.08+0.14+26.02+21.74+1.4+0.54+0.24)-0.02*2.1*6</f>
        <v>208.25279999999998</v>
      </c>
      <c r="D44" s="11"/>
      <c r="E44" s="14" t="s">
        <v>81</v>
      </c>
      <c r="F44" s="6" t="s">
        <v>8</v>
      </c>
      <c r="G44" s="6" t="s">
        <v>8</v>
      </c>
      <c r="H44" s="6" t="s">
        <v>82</v>
      </c>
    </row>
    <row r="45" spans="1:11">
      <c r="D45" s="7" t="s">
        <v>83</v>
      </c>
      <c r="E45" s="6">
        <v>37.053750000000008</v>
      </c>
      <c r="F45" s="6">
        <v>26</v>
      </c>
      <c r="G45" s="6">
        <v>16</v>
      </c>
      <c r="H45" s="6">
        <f t="shared" ref="H45:H52" si="1">E45*3.6</f>
        <v>133.39350000000005</v>
      </c>
    </row>
    <row r="46" spans="1:11">
      <c r="A46" t="s">
        <v>84</v>
      </c>
      <c r="B46">
        <f>30.36*3.78</f>
        <v>114.76079999999999</v>
      </c>
      <c r="D46" s="7" t="s">
        <v>85</v>
      </c>
      <c r="E46" s="6">
        <v>14.515999999999998</v>
      </c>
      <c r="F46" s="6">
        <v>25</v>
      </c>
      <c r="G46" s="6">
        <v>16</v>
      </c>
      <c r="H46" s="6">
        <f t="shared" si="1"/>
        <v>52.257599999999996</v>
      </c>
    </row>
    <row r="47" spans="1:11">
      <c r="A47" t="s">
        <v>86</v>
      </c>
      <c r="B47">
        <f>3.6*(2.7+0.57+37.4+0.22+4.31)-0.02*2.1*9</f>
        <v>162.34200000000004</v>
      </c>
      <c r="D47" s="7" t="s">
        <v>87</v>
      </c>
      <c r="E47" s="101">
        <v>4.7300000000000004</v>
      </c>
      <c r="F47" s="6">
        <v>26</v>
      </c>
      <c r="G47" s="6">
        <v>16</v>
      </c>
      <c r="H47" s="6">
        <f t="shared" si="1"/>
        <v>17.028000000000002</v>
      </c>
    </row>
    <row r="48" spans="1:11">
      <c r="A48" t="s">
        <v>88</v>
      </c>
      <c r="D48" s="7" t="s">
        <v>89</v>
      </c>
      <c r="E48" s="101">
        <v>4.37</v>
      </c>
      <c r="F48" s="6">
        <v>26</v>
      </c>
      <c r="G48" s="6">
        <v>16</v>
      </c>
      <c r="H48" s="6">
        <f t="shared" si="1"/>
        <v>15.732000000000001</v>
      </c>
    </row>
    <row r="49" spans="1:8">
      <c r="A49" t="s">
        <v>90</v>
      </c>
      <c r="B49">
        <f>3.78*(22.8-0.16)-0.02*2.1</f>
        <v>85.537199999999999</v>
      </c>
      <c r="D49" s="198" t="s">
        <v>91</v>
      </c>
      <c r="E49" s="101">
        <v>10.89</v>
      </c>
      <c r="F49" s="129"/>
      <c r="G49" s="52">
        <f>10</f>
        <v>10</v>
      </c>
      <c r="H49" s="6">
        <f t="shared" si="1"/>
        <v>39.204000000000001</v>
      </c>
    </row>
    <row r="50" spans="1:8">
      <c r="D50" s="198" t="s">
        <v>92</v>
      </c>
      <c r="E50" s="1">
        <v>3.5139999999999993</v>
      </c>
      <c r="F50" s="323"/>
      <c r="G50" s="486">
        <v>10</v>
      </c>
      <c r="H50" s="6">
        <f t="shared" si="1"/>
        <v>12.650399999999998</v>
      </c>
    </row>
    <row r="51" spans="1:8">
      <c r="D51" s="198" t="s">
        <v>93</v>
      </c>
      <c r="E51" s="454">
        <v>8.5905000000000005</v>
      </c>
      <c r="F51" s="323">
        <v>25</v>
      </c>
      <c r="G51" s="486">
        <v>18</v>
      </c>
      <c r="H51" s="6">
        <f t="shared" si="1"/>
        <v>30.925800000000002</v>
      </c>
    </row>
    <row r="52" spans="1:8">
      <c r="D52" s="7" t="s">
        <v>94</v>
      </c>
      <c r="E52" s="919">
        <v>18.2075</v>
      </c>
      <c r="F52" s="14">
        <v>25</v>
      </c>
      <c r="G52" s="14">
        <v>18</v>
      </c>
      <c r="H52" s="919">
        <f t="shared" si="1"/>
        <v>65.546999999999997</v>
      </c>
    </row>
    <row r="53" spans="1:8">
      <c r="D53" s="7" t="s">
        <v>95</v>
      </c>
      <c r="E53" s="920"/>
      <c r="F53" s="14">
        <v>25</v>
      </c>
      <c r="G53" s="14">
        <v>18</v>
      </c>
      <c r="H53" s="920"/>
    </row>
    <row r="54" spans="1:8">
      <c r="D54" s="286" t="s">
        <v>96</v>
      </c>
      <c r="E54" s="921"/>
      <c r="F54" s="213">
        <v>25</v>
      </c>
      <c r="G54" s="213">
        <v>18</v>
      </c>
      <c r="H54" s="921"/>
    </row>
    <row r="55" spans="1:8">
      <c r="D55" s="1" t="s">
        <v>97</v>
      </c>
      <c r="E55" s="1"/>
      <c r="F55" s="1">
        <v>20</v>
      </c>
      <c r="G55" s="2">
        <v>10</v>
      </c>
      <c r="H55" s="1"/>
    </row>
    <row r="56" spans="1:8">
      <c r="D56" s="1" t="s">
        <v>98</v>
      </c>
      <c r="E56" s="1"/>
      <c r="F56" s="1">
        <v>20</v>
      </c>
      <c r="G56" s="2">
        <v>10</v>
      </c>
      <c r="H56" s="1"/>
    </row>
    <row r="57" spans="1:8">
      <c r="D57" s="1" t="s">
        <v>99</v>
      </c>
      <c r="E57" s="1"/>
      <c r="F57" s="1">
        <v>20</v>
      </c>
      <c r="G57" s="2">
        <v>10</v>
      </c>
      <c r="H57" s="1"/>
    </row>
    <row r="58" spans="1:8">
      <c r="D58" s="101" t="s">
        <v>100</v>
      </c>
      <c r="E58" s="101"/>
      <c r="F58" s="101">
        <v>20</v>
      </c>
      <c r="G58" s="220">
        <v>10</v>
      </c>
      <c r="H58" s="101"/>
    </row>
    <row r="59" spans="1:8">
      <c r="D59" s="1"/>
      <c r="E59" s="1"/>
      <c r="F59" s="1"/>
      <c r="G59" s="1"/>
      <c r="H59" s="1"/>
    </row>
    <row r="60" spans="1:8">
      <c r="D60" s="1"/>
      <c r="E60" s="1"/>
      <c r="F60" s="1"/>
      <c r="G60" s="1"/>
      <c r="H60" s="1"/>
    </row>
    <row r="61" spans="1:8" ht="16.5" thickBot="1">
      <c r="G61" s="717">
        <f>SUM(G22:G39)+SUM(E45:E54)</f>
        <v>501.11615076045632</v>
      </c>
      <c r="H61">
        <f>SUM(H45:H54)+H40</f>
        <v>1804.0181427376426</v>
      </c>
    </row>
    <row r="62" spans="1:8" ht="16.5" thickBot="1">
      <c r="D62" s="525" t="s">
        <v>101</v>
      </c>
      <c r="E62" s="525" t="s">
        <v>102</v>
      </c>
      <c r="F62" s="525" t="s">
        <v>103</v>
      </c>
      <c r="G62" s="525" t="s">
        <v>104</v>
      </c>
      <c r="H62" s="526" t="s">
        <v>105</v>
      </c>
    </row>
    <row r="63" spans="1:8" ht="16.5" thickBot="1">
      <c r="D63" s="525"/>
      <c r="E63" s="718">
        <f>'Charge therm. total'!E30</f>
        <v>11442.941828738316</v>
      </c>
      <c r="F63" s="525">
        <f>'Renouvellement d''air'!AE28</f>
        <v>14880.271020000002</v>
      </c>
      <c r="G63" s="525">
        <f>'(Surpuissance de relance)'!H34</f>
        <v>9952.043015209123</v>
      </c>
      <c r="H63" s="527">
        <f>E63+F63+G63</f>
        <v>36275.255863947437</v>
      </c>
    </row>
    <row r="69" spans="4:9">
      <c r="D69" t="s">
        <v>106</v>
      </c>
      <c r="E69" t="s">
        <v>107</v>
      </c>
      <c r="F69" t="s">
        <v>108</v>
      </c>
      <c r="G69" t="s">
        <v>109</v>
      </c>
    </row>
    <row r="70" spans="4:9">
      <c r="D70">
        <v>21</v>
      </c>
      <c r="E70">
        <v>3.6</v>
      </c>
      <c r="F70">
        <v>3.7450000000000001</v>
      </c>
      <c r="I70" t="s">
        <v>110</v>
      </c>
    </row>
    <row r="71" spans="4:9">
      <c r="I71" t="s">
        <v>111</v>
      </c>
    </row>
    <row r="72" spans="4:9">
      <c r="I72" t="s">
        <v>112</v>
      </c>
    </row>
    <row r="74" spans="4:9">
      <c r="I74" t="s">
        <v>113</v>
      </c>
    </row>
    <row r="79" spans="4:9">
      <c r="E79" t="s">
        <v>114</v>
      </c>
    </row>
    <row r="80" spans="4:9">
      <c r="E80" t="s">
        <v>115</v>
      </c>
    </row>
    <row r="81" spans="5:5">
      <c r="E81" t="s">
        <v>115</v>
      </c>
    </row>
  </sheetData>
  <mergeCells count="2">
    <mergeCell ref="E52:E54"/>
    <mergeCell ref="H52:H54"/>
  </mergeCells>
  <pageMargins left="0.7" right="0.7" top="0.75" bottom="0.75" header="0.3" footer="0.3"/>
  <pageSetup paperSize="9" orientation="portrait" r:id="rId1"/>
  <rowBreaks count="1" manualBreakCount="1">
    <brk id="19" max="16383" man="1"/>
  </rowBreaks>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887DBC-4655-5E48-BFF6-33DFE2793E57}">
  <sheetPr codeName="Feuil2"/>
  <dimension ref="A1:AN99"/>
  <sheetViews>
    <sheetView zoomScale="53" zoomScaleNormal="53" workbookViewId="0">
      <selection activeCell="S4" sqref="S4"/>
    </sheetView>
  </sheetViews>
  <sheetFormatPr baseColWidth="10" defaultColWidth="10.625" defaultRowHeight="15.75"/>
  <cols>
    <col min="1" max="1" width="13.5" customWidth="1"/>
    <col min="4" max="4" width="9.375" customWidth="1"/>
    <col min="5" max="5" width="4.625" hidden="1" customWidth="1"/>
    <col min="6" max="6" width="0.125" hidden="1" customWidth="1"/>
    <col min="7" max="7" width="0.875" hidden="1" customWidth="1"/>
    <col min="8" max="8" width="0.875" customWidth="1"/>
    <col min="9" max="9" width="6" bestFit="1" customWidth="1"/>
    <col min="10" max="10" width="9.125" bestFit="1" customWidth="1"/>
    <col min="11" max="11" width="7.625" bestFit="1" customWidth="1"/>
    <col min="12" max="12" width="12" bestFit="1" customWidth="1"/>
    <col min="13" max="13" width="32.5" bestFit="1" customWidth="1"/>
    <col min="14" max="14" width="6.5" customWidth="1"/>
    <col min="17" max="17" width="23.625" bestFit="1" customWidth="1"/>
    <col min="18" max="18" width="31.5" bestFit="1" customWidth="1"/>
    <col min="19" max="19" width="12" bestFit="1" customWidth="1"/>
    <col min="22" max="22" width="8.625" customWidth="1"/>
    <col min="23" max="23" width="15.5" customWidth="1"/>
    <col min="24" max="24" width="13.5" customWidth="1"/>
    <col min="25" max="25" width="15.625" customWidth="1"/>
    <col min="26" max="26" width="16.625" bestFit="1" customWidth="1"/>
    <col min="27" max="27" width="21" customWidth="1"/>
    <col min="28" max="28" width="12.75" customWidth="1"/>
    <col min="29" max="29" width="17.375" customWidth="1"/>
    <col min="30" max="30" width="19.5" customWidth="1"/>
    <col min="31" max="32" width="8.875" customWidth="1"/>
    <col min="33" max="33" width="17.5" customWidth="1"/>
    <col min="35" max="35" width="24" bestFit="1" customWidth="1"/>
    <col min="36" max="36" width="10.625" customWidth="1"/>
  </cols>
  <sheetData>
    <row r="1" spans="1:40" ht="16.5" thickBot="1">
      <c r="A1" s="5"/>
      <c r="B1" s="5"/>
      <c r="C1" s="5"/>
      <c r="D1" s="5"/>
      <c r="E1" s="5"/>
      <c r="F1" s="5"/>
      <c r="G1" s="5"/>
      <c r="H1" s="5"/>
      <c r="I1" s="5"/>
      <c r="J1" s="5"/>
      <c r="K1" s="5"/>
      <c r="L1" s="5"/>
      <c r="N1" s="5"/>
      <c r="O1" s="5"/>
      <c r="P1" s="5"/>
      <c r="Q1" s="5"/>
      <c r="R1" s="5"/>
      <c r="S1" s="5"/>
      <c r="T1" s="5"/>
      <c r="U1" s="5"/>
      <c r="V1" s="5"/>
      <c r="W1" s="5"/>
      <c r="X1" s="5"/>
      <c r="Y1" s="5"/>
      <c r="Z1" s="5"/>
      <c r="AA1" s="5"/>
      <c r="AB1" s="5"/>
      <c r="AC1" s="5"/>
      <c r="AD1" s="5"/>
      <c r="AE1" s="5"/>
      <c r="AF1" s="5"/>
      <c r="AG1" s="5"/>
      <c r="AH1" s="5"/>
      <c r="AI1" s="5"/>
      <c r="AJ1" s="5"/>
      <c r="AK1" s="5"/>
      <c r="AL1" s="5"/>
      <c r="AM1" s="5"/>
      <c r="AN1" s="5"/>
    </row>
    <row r="2" spans="1:40" ht="16.5" thickBot="1">
      <c r="A2" s="5"/>
      <c r="B2" s="5"/>
      <c r="C2" s="5"/>
      <c r="D2" s="5"/>
      <c r="E2" s="5"/>
      <c r="F2" s="5"/>
      <c r="G2" s="5"/>
      <c r="H2" s="5"/>
      <c r="I2" s="5"/>
      <c r="J2" s="5"/>
      <c r="K2" s="5"/>
      <c r="L2" s="5"/>
      <c r="M2" s="147" t="s">
        <v>116</v>
      </c>
      <c r="N2" s="139" t="s">
        <v>117</v>
      </c>
      <c r="O2" s="5"/>
      <c r="P2" s="5"/>
      <c r="R2" s="147" t="s">
        <v>118</v>
      </c>
      <c r="S2" s="139" t="s">
        <v>119</v>
      </c>
      <c r="T2" s="5" t="s">
        <v>120</v>
      </c>
      <c r="V2" s="5"/>
      <c r="W2" s="5"/>
      <c r="X2" s="5" t="s">
        <v>121</v>
      </c>
      <c r="Y2" s="5">
        <v>0.13</v>
      </c>
      <c r="Z2" s="5"/>
      <c r="AA2" s="5"/>
      <c r="AB2" s="5"/>
      <c r="AC2" s="5"/>
      <c r="AD2" s="5"/>
      <c r="AE2" s="5"/>
      <c r="AF2" s="5"/>
      <c r="AG2" s="5"/>
      <c r="AH2" s="5"/>
      <c r="AI2" s="5"/>
      <c r="AJ2" s="5"/>
      <c r="AK2" s="5"/>
      <c r="AL2" s="5"/>
      <c r="AM2" s="5"/>
      <c r="AN2" s="5"/>
    </row>
    <row r="3" spans="1:40">
      <c r="A3" s="5"/>
      <c r="B3" s="5"/>
      <c r="C3" s="5"/>
      <c r="D3" s="5" t="s">
        <v>122</v>
      </c>
      <c r="E3" s="5"/>
      <c r="F3" s="5"/>
      <c r="G3" s="5"/>
      <c r="H3" s="5"/>
      <c r="I3" s="5"/>
      <c r="J3" s="5"/>
      <c r="K3" s="5"/>
      <c r="L3" s="5"/>
      <c r="M3" s="137" t="s">
        <v>123</v>
      </c>
      <c r="N3" s="138">
        <f>1/0.04</f>
        <v>25</v>
      </c>
      <c r="O3" s="5"/>
      <c r="P3" s="5"/>
      <c r="Q3" s="148"/>
      <c r="R3" s="137" t="s">
        <v>123</v>
      </c>
      <c r="S3" s="149">
        <f>1/0.13</f>
        <v>7.6923076923076916</v>
      </c>
      <c r="T3" s="5"/>
      <c r="U3" s="5"/>
      <c r="V3" s="5"/>
      <c r="W3" s="5"/>
      <c r="X3" s="5" t="s">
        <v>124</v>
      </c>
      <c r="Y3" s="5">
        <v>0.04</v>
      </c>
      <c r="Z3" s="5"/>
      <c r="AA3" s="5"/>
      <c r="AB3" s="5"/>
      <c r="AC3" s="5"/>
      <c r="AD3" s="5"/>
      <c r="AE3" s="5"/>
      <c r="AF3" s="5"/>
      <c r="AG3" s="5"/>
      <c r="AH3" s="5"/>
      <c r="AI3" s="5"/>
      <c r="AJ3" s="5"/>
      <c r="AK3" s="5"/>
      <c r="AL3" s="5"/>
      <c r="AM3" s="5"/>
      <c r="AN3" s="5"/>
    </row>
    <row r="4" spans="1:40">
      <c r="A4" s="5"/>
      <c r="B4" s="5"/>
      <c r="C4" s="5"/>
      <c r="D4" s="5" t="s">
        <v>125</v>
      </c>
      <c r="E4" s="5"/>
      <c r="F4" s="5"/>
      <c r="G4" s="5"/>
      <c r="H4" s="5"/>
      <c r="I4" s="5"/>
      <c r="J4" s="5"/>
      <c r="K4" s="5"/>
      <c r="L4" s="5"/>
      <c r="M4" s="133" t="s">
        <v>126</v>
      </c>
      <c r="N4" s="134">
        <v>25</v>
      </c>
      <c r="O4" s="5"/>
      <c r="P4" s="5"/>
      <c r="Q4" s="5"/>
      <c r="R4" s="133" t="s">
        <v>127</v>
      </c>
      <c r="S4" s="150">
        <f>1/0.1</f>
        <v>10</v>
      </c>
      <c r="T4" s="5"/>
      <c r="U4" s="5"/>
      <c r="V4" s="5"/>
      <c r="W4" s="5"/>
      <c r="X4" s="5"/>
      <c r="Y4" s="5"/>
      <c r="Z4" s="5"/>
      <c r="AA4" s="5"/>
      <c r="AB4" s="5"/>
      <c r="AC4" s="5"/>
      <c r="AD4" s="5"/>
      <c r="AE4" s="5"/>
      <c r="AF4" s="5"/>
      <c r="AG4" s="5"/>
      <c r="AH4" s="5"/>
      <c r="AI4" s="5"/>
      <c r="AJ4" s="5"/>
      <c r="AK4" s="5"/>
      <c r="AL4" s="5"/>
      <c r="AM4" s="5"/>
      <c r="AN4" s="5"/>
    </row>
    <row r="5" spans="1:40" ht="16.5" thickBot="1">
      <c r="A5" s="5"/>
      <c r="B5" s="5"/>
      <c r="C5" s="5"/>
      <c r="D5" s="5" t="s">
        <v>128</v>
      </c>
      <c r="E5" s="5"/>
      <c r="F5" s="5"/>
      <c r="G5" s="5"/>
      <c r="H5" s="5"/>
      <c r="I5" s="5"/>
      <c r="J5" s="5"/>
      <c r="K5" s="5"/>
      <c r="L5" s="5"/>
      <c r="M5" s="135" t="s">
        <v>129</v>
      </c>
      <c r="N5" s="136">
        <v>25</v>
      </c>
      <c r="O5" s="5"/>
      <c r="P5" s="5"/>
      <c r="Q5" s="5"/>
      <c r="R5" s="135" t="s">
        <v>129</v>
      </c>
      <c r="S5" s="151">
        <f>1/0.17</f>
        <v>5.8823529411764701</v>
      </c>
      <c r="T5" s="5"/>
      <c r="U5" s="5"/>
      <c r="V5" s="5"/>
      <c r="W5" s="5"/>
      <c r="X5" s="5"/>
      <c r="Y5" s="5"/>
      <c r="Z5" s="5"/>
      <c r="AA5" s="5"/>
      <c r="AB5" s="5"/>
      <c r="AC5" s="5"/>
      <c r="AD5" s="5"/>
      <c r="AE5" s="5"/>
      <c r="AF5" s="5"/>
      <c r="AG5" s="5"/>
      <c r="AH5" s="5"/>
      <c r="AI5" s="5"/>
      <c r="AJ5" s="5"/>
      <c r="AK5" s="5"/>
      <c r="AL5" s="5"/>
      <c r="AM5" s="5"/>
      <c r="AN5" s="5"/>
    </row>
    <row r="6" spans="1:40" ht="16.5" thickBot="1">
      <c r="A6" s="5"/>
      <c r="B6" s="5"/>
      <c r="C6" s="5"/>
      <c r="D6" s="5"/>
      <c r="E6" s="5"/>
      <c r="F6" s="5"/>
      <c r="G6" s="5"/>
      <c r="H6" s="5"/>
      <c r="I6" s="5"/>
      <c r="J6" s="5"/>
      <c r="K6" s="5"/>
      <c r="L6" s="5"/>
      <c r="M6" s="5"/>
      <c r="N6" s="5"/>
      <c r="O6" s="5"/>
      <c r="P6" s="5"/>
      <c r="Q6" s="5"/>
      <c r="R6" s="5"/>
      <c r="S6" s="5"/>
      <c r="T6" s="5"/>
      <c r="U6" s="5"/>
      <c r="V6" s="5"/>
      <c r="W6" s="5"/>
      <c r="X6" s="76" t="s">
        <v>130</v>
      </c>
      <c r="Y6" s="76" t="s">
        <v>131</v>
      </c>
      <c r="Z6" s="76" t="s">
        <v>132</v>
      </c>
      <c r="AA6" s="76" t="s">
        <v>133</v>
      </c>
      <c r="AB6" s="76" t="s">
        <v>134</v>
      </c>
      <c r="AC6" s="76" t="s">
        <v>135</v>
      </c>
      <c r="AD6" s="77" t="s">
        <v>136</v>
      </c>
      <c r="AE6" s="960" t="s">
        <v>137</v>
      </c>
      <c r="AF6" s="961"/>
      <c r="AG6" s="531" t="s">
        <v>138</v>
      </c>
      <c r="AH6" s="5"/>
      <c r="AI6" s="958" t="s">
        <v>139</v>
      </c>
      <c r="AJ6" s="958"/>
      <c r="AK6" s="958"/>
      <c r="AL6" s="958"/>
      <c r="AM6" s="5"/>
    </row>
    <row r="7" spans="1:40" ht="16.5" thickBot="1">
      <c r="A7" s="5"/>
      <c r="B7" s="942" t="s">
        <v>140</v>
      </c>
      <c r="C7" s="943"/>
      <c r="D7" s="943"/>
      <c r="E7" s="943"/>
      <c r="F7" s="943"/>
      <c r="G7" s="943"/>
      <c r="H7" s="943"/>
      <c r="I7" s="943"/>
      <c r="J7" s="943"/>
      <c r="K7" s="943"/>
      <c r="L7" s="943"/>
      <c r="M7" s="943"/>
      <c r="N7" s="943"/>
      <c r="O7" s="943"/>
      <c r="P7" s="943"/>
      <c r="Q7" s="944"/>
      <c r="R7" s="929" t="s">
        <v>141</v>
      </c>
      <c r="S7" s="931"/>
      <c r="T7" s="5"/>
      <c r="U7" s="5"/>
      <c r="V7" s="5"/>
      <c r="W7" s="5"/>
      <c r="X7" s="64" t="s">
        <v>142</v>
      </c>
      <c r="Y7" s="64" t="s">
        <v>142</v>
      </c>
      <c r="Z7" s="64" t="s">
        <v>142</v>
      </c>
      <c r="AA7" s="64" t="s">
        <v>142</v>
      </c>
      <c r="AB7" s="64" t="s">
        <v>143</v>
      </c>
      <c r="AC7" s="64" t="s">
        <v>143</v>
      </c>
      <c r="AD7" s="60" t="s">
        <v>142</v>
      </c>
      <c r="AE7" s="962" t="s">
        <v>144</v>
      </c>
      <c r="AF7" s="963"/>
      <c r="AG7" s="530"/>
      <c r="AH7" s="5"/>
      <c r="AI7" s="62" t="s">
        <v>145</v>
      </c>
      <c r="AJ7" s="62">
        <v>1.1000000000000001</v>
      </c>
      <c r="AK7" s="957" t="s">
        <v>146</v>
      </c>
      <c r="AL7" s="810"/>
      <c r="AM7" s="5"/>
      <c r="AN7" s="5"/>
    </row>
    <row r="8" spans="1:40" ht="16.5" thickBot="1">
      <c r="A8" s="5"/>
      <c r="B8" s="929" t="s">
        <v>147</v>
      </c>
      <c r="C8" s="930"/>
      <c r="D8" s="930"/>
      <c r="E8" s="930"/>
      <c r="F8" s="930"/>
      <c r="G8" s="930"/>
      <c r="H8" s="931"/>
      <c r="I8" s="23" t="s">
        <v>148</v>
      </c>
      <c r="J8" s="24" t="s">
        <v>149</v>
      </c>
      <c r="K8" s="23" t="s">
        <v>150</v>
      </c>
      <c r="L8" s="23" t="s">
        <v>151</v>
      </c>
      <c r="M8" s="929" t="s">
        <v>152</v>
      </c>
      <c r="N8" s="930"/>
      <c r="O8" s="930"/>
      <c r="P8" s="930"/>
      <c r="Q8" s="931"/>
      <c r="R8" s="23" t="s">
        <v>153</v>
      </c>
      <c r="S8" s="25" t="s">
        <v>154</v>
      </c>
      <c r="T8" s="5"/>
      <c r="U8" s="5"/>
      <c r="V8" s="5"/>
      <c r="W8" s="78" t="s">
        <v>155</v>
      </c>
      <c r="X8" s="66">
        <v>2.44</v>
      </c>
      <c r="Y8" s="66">
        <v>0.74</v>
      </c>
      <c r="Z8" s="67">
        <v>2.65</v>
      </c>
      <c r="AA8" s="67">
        <v>0.9</v>
      </c>
      <c r="AB8" s="73">
        <f t="shared" ref="AB8:AB24" si="0">X8*Y8</f>
        <v>1.8055999999999999</v>
      </c>
      <c r="AC8" s="73">
        <f t="shared" ref="AC8:AC24" si="1">Z8*AA8-AB8</f>
        <v>0.57939999999999992</v>
      </c>
      <c r="AD8" s="529">
        <f>2*X8+2*Y8</f>
        <v>6.3599999999999994</v>
      </c>
      <c r="AE8" s="964">
        <f>(AB8*AJ$7+AC8*AJ$8+AD8*AJ$9)/(AB8+AC8)</f>
        <v>1.9229316561844865</v>
      </c>
      <c r="AF8" s="965"/>
      <c r="AG8">
        <f>1/(1/AE8+1/N$3+1/S$3)</f>
        <v>1.4491928567553625</v>
      </c>
      <c r="AH8" s="5"/>
      <c r="AI8" s="62" t="s">
        <v>156</v>
      </c>
      <c r="AJ8" s="62">
        <v>3.28</v>
      </c>
      <c r="AK8" s="957" t="s">
        <v>778</v>
      </c>
      <c r="AL8" s="810"/>
      <c r="AM8" s="5"/>
      <c r="AN8" s="5"/>
    </row>
    <row r="9" spans="1:40">
      <c r="A9" s="5"/>
      <c r="B9" s="935" t="s">
        <v>157</v>
      </c>
      <c r="C9" s="936"/>
      <c r="D9" s="936"/>
      <c r="E9" s="936"/>
      <c r="F9" s="936"/>
      <c r="G9" s="936"/>
      <c r="H9" s="936"/>
      <c r="I9" s="26">
        <v>7.0000000000000007E-2</v>
      </c>
      <c r="J9" s="26">
        <v>1.19</v>
      </c>
      <c r="K9" s="27">
        <f>I9/J9</f>
        <v>5.8823529411764712E-2</v>
      </c>
      <c r="L9" s="17">
        <f>1/(K9)</f>
        <v>17</v>
      </c>
      <c r="M9" s="937" t="s">
        <v>158</v>
      </c>
      <c r="N9" s="938"/>
      <c r="O9" s="938"/>
      <c r="P9" s="938"/>
      <c r="Q9" s="939"/>
      <c r="R9" s="28">
        <v>1700</v>
      </c>
      <c r="S9" s="29">
        <f>R9*I9</f>
        <v>119.00000000000001</v>
      </c>
      <c r="T9" s="5"/>
      <c r="U9" s="5"/>
      <c r="V9" s="5"/>
      <c r="W9" s="79" t="s">
        <v>159</v>
      </c>
      <c r="X9" s="68">
        <v>3.5649999999999999</v>
      </c>
      <c r="Y9" s="68">
        <v>0.74</v>
      </c>
      <c r="Z9" s="69">
        <v>3.7250000000000001</v>
      </c>
      <c r="AA9" s="69">
        <v>0.9</v>
      </c>
      <c r="AB9" s="65">
        <f t="shared" si="0"/>
        <v>2.6381000000000001</v>
      </c>
      <c r="AC9" s="65">
        <f t="shared" si="1"/>
        <v>0.71439999999999992</v>
      </c>
      <c r="AD9" s="282">
        <f t="shared" ref="AD9:AD24" si="2">2*X9+2*Y9</f>
        <v>8.61</v>
      </c>
      <c r="AE9" s="945">
        <f>(AB9*AJ$7+AC9*AJ$8+AD9*AJ$9)/(AB9+AC9)</f>
        <v>1.8470520507084263</v>
      </c>
      <c r="AF9" s="946"/>
      <c r="AG9">
        <f t="shared" ref="AG9:AG25" si="3">1/(1/AE9+1/N$3+1/S$3)</f>
        <v>1.405672503174296</v>
      </c>
      <c r="AH9" s="5"/>
      <c r="AI9" s="63" t="s">
        <v>160</v>
      </c>
      <c r="AJ9" s="63">
        <v>0.11</v>
      </c>
      <c r="AK9" s="959" t="s">
        <v>161</v>
      </c>
      <c r="AL9" s="959"/>
      <c r="AM9" s="5"/>
      <c r="AN9" s="5"/>
    </row>
    <row r="10" spans="1:40">
      <c r="A10" s="5"/>
      <c r="B10" s="922" t="s">
        <v>162</v>
      </c>
      <c r="C10" s="923"/>
      <c r="D10" s="923"/>
      <c r="E10" s="923"/>
      <c r="F10" s="923"/>
      <c r="G10" s="923"/>
      <c r="H10" s="923"/>
      <c r="I10" s="6">
        <v>0.13</v>
      </c>
      <c r="J10" s="6">
        <v>4.4999999999999998E-2</v>
      </c>
      <c r="K10" s="30">
        <f t="shared" ref="K10:K12" si="4">I10/J10</f>
        <v>2.8888888888888893</v>
      </c>
      <c r="L10" s="18">
        <f>1/K10</f>
        <v>0.34615384615384609</v>
      </c>
      <c r="M10" s="924" t="s">
        <v>163</v>
      </c>
      <c r="N10" s="848"/>
      <c r="O10" s="848"/>
      <c r="P10" s="848"/>
      <c r="Q10" s="925"/>
      <c r="R10" s="31">
        <v>20</v>
      </c>
      <c r="S10" s="32">
        <f>R10*I10</f>
        <v>2.6</v>
      </c>
      <c r="T10" s="5"/>
      <c r="U10" s="5"/>
      <c r="V10" s="5"/>
      <c r="W10" s="79" t="s">
        <v>164</v>
      </c>
      <c r="X10" s="68">
        <v>3.44</v>
      </c>
      <c r="Y10" s="68">
        <v>0.74</v>
      </c>
      <c r="Z10" s="69">
        <v>3.65</v>
      </c>
      <c r="AA10" s="69">
        <v>0.9</v>
      </c>
      <c r="AB10" s="65">
        <f t="shared" si="0"/>
        <v>2.5455999999999999</v>
      </c>
      <c r="AC10" s="65">
        <f t="shared" si="1"/>
        <v>0.73940000000000028</v>
      </c>
      <c r="AD10" s="282">
        <f>2*X10+2*Y10</f>
        <v>8.36</v>
      </c>
      <c r="AE10" s="945">
        <f t="shared" ref="AE10:AE22" si="5">(AB10*AJ$7+AC10*AJ$8+AD10*AJ$9)/(AB10+AC10)</f>
        <v>1.8706216133942164</v>
      </c>
      <c r="AF10" s="946"/>
      <c r="AG10">
        <f t="shared" si="3"/>
        <v>1.4192819119844331</v>
      </c>
      <c r="AH10" s="5"/>
      <c r="AI10" s="307" t="s">
        <v>165</v>
      </c>
      <c r="AJ10" s="307">
        <v>2.9</v>
      </c>
      <c r="AK10" s="950" t="s">
        <v>166</v>
      </c>
      <c r="AL10" s="951"/>
      <c r="AM10" s="5"/>
      <c r="AN10" s="5"/>
    </row>
    <row r="11" spans="1:40">
      <c r="A11" s="5"/>
      <c r="B11" s="922" t="s">
        <v>167</v>
      </c>
      <c r="C11" s="923"/>
      <c r="D11" s="923"/>
      <c r="E11" s="923"/>
      <c r="F11" s="923"/>
      <c r="G11" s="923"/>
      <c r="H11" s="923"/>
      <c r="I11" s="6">
        <v>0.14000000000000001</v>
      </c>
      <c r="J11" s="6">
        <v>1.7</v>
      </c>
      <c r="K11" s="30">
        <f t="shared" si="4"/>
        <v>8.2352941176470601E-2</v>
      </c>
      <c r="L11" s="18">
        <f>1/K11</f>
        <v>12.142857142857141</v>
      </c>
      <c r="M11" s="924" t="s">
        <v>168</v>
      </c>
      <c r="N11" s="848"/>
      <c r="O11" s="848"/>
      <c r="P11" s="848"/>
      <c r="Q11" s="925"/>
      <c r="R11" s="31">
        <v>2400</v>
      </c>
      <c r="S11" s="32">
        <f>R11*I11</f>
        <v>336.00000000000006</v>
      </c>
      <c r="T11" s="5"/>
      <c r="U11" s="5"/>
      <c r="V11" s="5"/>
      <c r="W11" s="79" t="s">
        <v>169</v>
      </c>
      <c r="X11" s="68">
        <v>2.44</v>
      </c>
      <c r="Y11" s="68">
        <v>0.74</v>
      </c>
      <c r="Z11" s="69">
        <v>2.65</v>
      </c>
      <c r="AA11" s="69">
        <v>0.9</v>
      </c>
      <c r="AB11" s="65">
        <f t="shared" si="0"/>
        <v>1.8055999999999999</v>
      </c>
      <c r="AC11" s="65">
        <f t="shared" si="1"/>
        <v>0.57939999999999992</v>
      </c>
      <c r="AD11" s="282">
        <f t="shared" si="2"/>
        <v>6.3599999999999994</v>
      </c>
      <c r="AE11" s="945">
        <f>(AB11*AJ$7+AC11*AJ$8+AD11*AJ$9)/(AB11+AC11)</f>
        <v>1.9229316561844865</v>
      </c>
      <c r="AF11" s="946"/>
      <c r="AG11">
        <f t="shared" si="3"/>
        <v>1.4491928567553625</v>
      </c>
      <c r="AH11" s="5"/>
      <c r="AM11" s="5"/>
      <c r="AN11" s="5"/>
    </row>
    <row r="12" spans="1:40" ht="16.5" thickBot="1">
      <c r="A12" s="5"/>
      <c r="B12" s="952" t="s">
        <v>170</v>
      </c>
      <c r="C12" s="953"/>
      <c r="D12" s="953"/>
      <c r="E12" s="953"/>
      <c r="F12" s="953"/>
      <c r="G12" s="953"/>
      <c r="H12" s="953"/>
      <c r="I12" s="34">
        <v>5.0000000000000001E-3</v>
      </c>
      <c r="J12" s="34">
        <v>0.93</v>
      </c>
      <c r="K12" s="35">
        <f t="shared" si="4"/>
        <v>5.3763440860215049E-3</v>
      </c>
      <c r="L12" s="19">
        <f>1/K12</f>
        <v>186.00000000000003</v>
      </c>
      <c r="M12" s="954" t="s">
        <v>171</v>
      </c>
      <c r="N12" s="955"/>
      <c r="O12" s="955"/>
      <c r="P12" s="955"/>
      <c r="Q12" s="956"/>
      <c r="R12" s="36">
        <v>1400</v>
      </c>
      <c r="S12" s="37">
        <f>R12*I12</f>
        <v>7</v>
      </c>
      <c r="T12" s="5" t="s">
        <v>172</v>
      </c>
      <c r="U12" s="5"/>
      <c r="V12" s="5"/>
      <c r="W12" s="79" t="s">
        <v>173</v>
      </c>
      <c r="X12" s="68">
        <v>0.44</v>
      </c>
      <c r="Y12" s="68">
        <v>0.74</v>
      </c>
      <c r="Z12" s="69">
        <v>0.65</v>
      </c>
      <c r="AA12" s="69">
        <v>0.9</v>
      </c>
      <c r="AB12" s="65">
        <f t="shared" si="0"/>
        <v>0.3256</v>
      </c>
      <c r="AC12" s="65">
        <f t="shared" si="1"/>
        <v>0.25940000000000007</v>
      </c>
      <c r="AD12" s="282">
        <f t="shared" si="2"/>
        <v>2.36</v>
      </c>
      <c r="AE12" s="945">
        <f>(AB12*AJ$7+AC12*AJ$8+AD12*AJ$9)/(AB12+AC12)</f>
        <v>2.5104136752136754</v>
      </c>
      <c r="AF12" s="946"/>
      <c r="AG12">
        <f t="shared" si="3"/>
        <v>1.7595079121018575</v>
      </c>
      <c r="AH12" s="5"/>
      <c r="AI12" s="119"/>
      <c r="AJ12" s="7"/>
      <c r="AK12" s="848"/>
      <c r="AL12" s="849"/>
      <c r="AM12" s="5"/>
      <c r="AN12" s="5"/>
    </row>
    <row r="13" spans="1:40" ht="16.5" thickBot="1">
      <c r="A13" s="5"/>
      <c r="B13" s="926"/>
      <c r="C13" s="927"/>
      <c r="D13" s="927"/>
      <c r="E13" s="927"/>
      <c r="F13" s="927"/>
      <c r="G13" s="927"/>
      <c r="H13" s="927"/>
      <c r="I13" s="927"/>
      <c r="J13" s="927"/>
      <c r="K13" s="927"/>
      <c r="L13" s="21">
        <f>1/(K9+K10+K11+K12+N3^-1+S3^-1)</f>
        <v>0.31196948579298983</v>
      </c>
      <c r="M13" s="926" t="s">
        <v>174</v>
      </c>
      <c r="N13" s="927"/>
      <c r="O13" s="927"/>
      <c r="P13" s="927"/>
      <c r="Q13" s="928"/>
      <c r="R13" s="22">
        <f>SUM(R9:R12)</f>
        <v>5520</v>
      </c>
      <c r="S13" s="22">
        <f>SUM(S9:S12)</f>
        <v>464.60000000000008</v>
      </c>
      <c r="T13" s="5"/>
      <c r="U13" s="5"/>
      <c r="V13" s="5"/>
      <c r="W13" s="79" t="s">
        <v>175</v>
      </c>
      <c r="X13" s="68">
        <v>1.44</v>
      </c>
      <c r="Y13" s="68">
        <v>0.74</v>
      </c>
      <c r="Z13" s="69">
        <v>1.65</v>
      </c>
      <c r="AA13" s="69">
        <v>0.9</v>
      </c>
      <c r="AB13" s="65">
        <f t="shared" si="0"/>
        <v>1.0655999999999999</v>
      </c>
      <c r="AC13" s="65">
        <f t="shared" si="1"/>
        <v>0.4194</v>
      </c>
      <c r="AD13" s="282">
        <f t="shared" si="2"/>
        <v>4.3599999999999994</v>
      </c>
      <c r="AE13" s="945">
        <f t="shared" si="5"/>
        <v>2.0386478114478117</v>
      </c>
      <c r="AF13" s="946"/>
      <c r="AG13">
        <f t="shared" si="3"/>
        <v>1.5139559159516507</v>
      </c>
      <c r="AH13" s="5"/>
    </row>
    <row r="14" spans="1:40">
      <c r="A14" s="5"/>
      <c r="B14" s="5"/>
      <c r="C14" s="5"/>
      <c r="D14" s="5"/>
      <c r="E14" s="5"/>
      <c r="F14" s="5"/>
      <c r="G14" s="5"/>
      <c r="H14" s="5"/>
      <c r="I14" s="5"/>
      <c r="J14" s="5"/>
      <c r="K14" s="5"/>
      <c r="L14" s="5"/>
      <c r="M14" s="5"/>
      <c r="N14" s="5"/>
      <c r="O14" s="5"/>
      <c r="P14" s="5"/>
      <c r="Q14" s="5"/>
      <c r="R14" s="5"/>
      <c r="S14" s="5"/>
      <c r="T14" s="5"/>
      <c r="U14" s="5"/>
      <c r="V14" s="5"/>
      <c r="W14" s="79" t="s">
        <v>176</v>
      </c>
      <c r="X14" s="68">
        <v>1.44</v>
      </c>
      <c r="Y14" s="70">
        <v>0.74</v>
      </c>
      <c r="Z14" s="71">
        <v>1.65</v>
      </c>
      <c r="AA14" s="71">
        <v>0.9</v>
      </c>
      <c r="AB14" s="74">
        <f t="shared" si="0"/>
        <v>1.0655999999999999</v>
      </c>
      <c r="AC14" s="74">
        <f t="shared" si="1"/>
        <v>0.4194</v>
      </c>
      <c r="AD14" s="481">
        <f t="shared" si="2"/>
        <v>4.3599999999999994</v>
      </c>
      <c r="AE14" s="945">
        <f t="shared" si="5"/>
        <v>2.0386478114478117</v>
      </c>
      <c r="AF14" s="946"/>
      <c r="AG14">
        <f t="shared" si="3"/>
        <v>1.5139559159516507</v>
      </c>
      <c r="AH14" s="5"/>
    </row>
    <row r="15" spans="1:40" ht="16.5" thickBot="1">
      <c r="A15" s="5"/>
      <c r="B15" s="5"/>
      <c r="C15" s="5"/>
      <c r="D15" s="5"/>
      <c r="E15" s="5"/>
      <c r="F15" s="5"/>
      <c r="G15" s="5"/>
      <c r="H15" s="5"/>
      <c r="I15" s="5"/>
      <c r="J15" s="5"/>
      <c r="K15" s="5"/>
      <c r="L15" s="5"/>
      <c r="M15" s="5"/>
      <c r="N15" s="5"/>
      <c r="O15" s="5"/>
      <c r="P15" s="5"/>
      <c r="Q15" s="5"/>
      <c r="R15" s="5"/>
      <c r="S15" s="5"/>
      <c r="T15" s="5"/>
      <c r="U15" s="5"/>
      <c r="V15" s="5"/>
      <c r="W15" s="79" t="s">
        <v>177</v>
      </c>
      <c r="X15" s="72">
        <v>3.94</v>
      </c>
      <c r="Y15" s="69">
        <v>0.74</v>
      </c>
      <c r="Z15" s="69">
        <v>4.0999999999999996</v>
      </c>
      <c r="AA15" s="69">
        <v>0.95</v>
      </c>
      <c r="AB15" s="65">
        <f t="shared" si="0"/>
        <v>2.9156</v>
      </c>
      <c r="AC15" s="65">
        <f t="shared" si="1"/>
        <v>0.9793999999999996</v>
      </c>
      <c r="AD15" s="282">
        <f t="shared" si="2"/>
        <v>9.36</v>
      </c>
      <c r="AE15" s="945">
        <f t="shared" si="5"/>
        <v>1.9125011553273426</v>
      </c>
      <c r="AF15" s="946"/>
      <c r="AG15">
        <f t="shared" si="3"/>
        <v>1.4432607277523128</v>
      </c>
      <c r="AH15" s="5"/>
    </row>
    <row r="16" spans="1:40" ht="16.5" thickBot="1">
      <c r="A16" s="5"/>
      <c r="B16" s="942" t="s">
        <v>178</v>
      </c>
      <c r="C16" s="943"/>
      <c r="D16" s="943"/>
      <c r="E16" s="943"/>
      <c r="F16" s="943"/>
      <c r="G16" s="943"/>
      <c r="H16" s="943"/>
      <c r="I16" s="943"/>
      <c r="J16" s="943"/>
      <c r="K16" s="943"/>
      <c r="L16" s="943"/>
      <c r="M16" s="943"/>
      <c r="N16" s="943"/>
      <c r="O16" s="943"/>
      <c r="P16" s="943"/>
      <c r="Q16" s="944"/>
      <c r="R16" s="324" t="s">
        <v>141</v>
      </c>
      <c r="S16" s="325"/>
      <c r="T16" s="5"/>
      <c r="U16" s="5"/>
      <c r="V16" s="5"/>
      <c r="W16" s="79" t="s">
        <v>179</v>
      </c>
      <c r="X16" s="68">
        <v>0.755</v>
      </c>
      <c r="Y16" s="69">
        <v>3.36</v>
      </c>
      <c r="Z16" s="69">
        <v>1.0449999999999999</v>
      </c>
      <c r="AA16" s="69">
        <v>3.6</v>
      </c>
      <c r="AB16" s="65">
        <f t="shared" si="0"/>
        <v>2.5367999999999999</v>
      </c>
      <c r="AC16" s="65">
        <f t="shared" si="1"/>
        <v>1.2252000000000001</v>
      </c>
      <c r="AD16" s="282">
        <f t="shared" si="2"/>
        <v>8.23</v>
      </c>
      <c r="AE16" s="945">
        <f t="shared" si="5"/>
        <v>2.0506209463051572</v>
      </c>
      <c r="AF16" s="946"/>
      <c r="AG16">
        <f t="shared" si="3"/>
        <v>1.5205490810666877</v>
      </c>
      <c r="AH16" s="5"/>
    </row>
    <row r="17" spans="1:34" ht="16.5" thickBot="1">
      <c r="A17" s="5"/>
      <c r="B17" s="324" t="s">
        <v>147</v>
      </c>
      <c r="C17" s="331"/>
      <c r="D17" s="331"/>
      <c r="E17" s="331"/>
      <c r="F17" s="331"/>
      <c r="G17" s="331"/>
      <c r="H17" s="325"/>
      <c r="I17" s="23" t="s">
        <v>148</v>
      </c>
      <c r="J17" s="24" t="s">
        <v>149</v>
      </c>
      <c r="K17" s="23" t="s">
        <v>150</v>
      </c>
      <c r="L17" s="23" t="s">
        <v>151</v>
      </c>
      <c r="M17" s="332" t="s">
        <v>152</v>
      </c>
      <c r="N17" s="333"/>
      <c r="O17" s="333"/>
      <c r="P17" s="333"/>
      <c r="Q17" s="340"/>
      <c r="R17" s="23" t="s">
        <v>180</v>
      </c>
      <c r="S17" s="25" t="s">
        <v>154</v>
      </c>
      <c r="T17" s="5"/>
      <c r="U17" s="5"/>
      <c r="V17" s="5"/>
      <c r="W17" s="79" t="s">
        <v>181</v>
      </c>
      <c r="X17" s="68">
        <v>1.26</v>
      </c>
      <c r="Y17" s="69">
        <v>3.36</v>
      </c>
      <c r="Z17" s="69">
        <v>1.5</v>
      </c>
      <c r="AA17" s="69">
        <v>3.6</v>
      </c>
      <c r="AB17" s="65">
        <f t="shared" si="0"/>
        <v>4.2336</v>
      </c>
      <c r="AC17" s="65">
        <f t="shared" si="1"/>
        <v>1.1664000000000003</v>
      </c>
      <c r="AD17" s="282">
        <f t="shared" si="2"/>
        <v>9.24</v>
      </c>
      <c r="AE17" s="946">
        <f>(AB17*AJ$7+AC17*AJ$8+AD17*AJ$9)/(AB17+AC17)</f>
        <v>1.7591022222222226</v>
      </c>
      <c r="AF17" s="968"/>
      <c r="AG17">
        <f t="shared" si="3"/>
        <v>1.354147856586601</v>
      </c>
      <c r="AH17" s="5"/>
    </row>
    <row r="18" spans="1:34">
      <c r="A18" s="5"/>
      <c r="B18" s="334" t="s">
        <v>170</v>
      </c>
      <c r="C18" s="26"/>
      <c r="D18" s="26"/>
      <c r="E18" s="26"/>
      <c r="F18" s="26"/>
      <c r="G18" s="26"/>
      <c r="H18" s="26"/>
      <c r="I18" s="26">
        <v>5.0000000000000001E-3</v>
      </c>
      <c r="J18" s="26">
        <v>0.93</v>
      </c>
      <c r="K18" s="27">
        <f>I18/J18</f>
        <v>5.3763440860215049E-3</v>
      </c>
      <c r="L18" s="20">
        <f>1/K18</f>
        <v>186.00000000000003</v>
      </c>
      <c r="M18" s="335" t="s">
        <v>182</v>
      </c>
      <c r="N18" s="336"/>
      <c r="O18" s="336"/>
      <c r="P18" s="336"/>
      <c r="Q18" s="337"/>
      <c r="R18" s="28">
        <v>1600</v>
      </c>
      <c r="S18" s="29">
        <f>R18*I18</f>
        <v>8</v>
      </c>
      <c r="T18" s="5"/>
      <c r="U18" s="5"/>
      <c r="V18" s="5"/>
      <c r="W18" s="79" t="s">
        <v>183</v>
      </c>
      <c r="X18" s="68">
        <v>0.96</v>
      </c>
      <c r="Y18" s="69">
        <v>3.36</v>
      </c>
      <c r="Z18" s="69">
        <v>1.19</v>
      </c>
      <c r="AA18" s="69">
        <v>3.6</v>
      </c>
      <c r="AB18" s="65">
        <f t="shared" si="0"/>
        <v>3.2255999999999996</v>
      </c>
      <c r="AC18" s="65">
        <f t="shared" si="1"/>
        <v>1.0584000000000002</v>
      </c>
      <c r="AD18" s="282">
        <f t="shared" si="2"/>
        <v>8.64</v>
      </c>
      <c r="AE18" s="945">
        <f t="shared" si="5"/>
        <v>1.8604369747899161</v>
      </c>
      <c r="AF18" s="946"/>
      <c r="AG18">
        <f t="shared" si="3"/>
        <v>1.4134113193439286</v>
      </c>
      <c r="AH18" s="5"/>
    </row>
    <row r="19" spans="1:34" ht="16.5" thickBot="1">
      <c r="A19" s="5"/>
      <c r="B19" s="327" t="s">
        <v>184</v>
      </c>
      <c r="C19" s="6"/>
      <c r="D19" s="6"/>
      <c r="E19" s="6"/>
      <c r="F19" s="6"/>
      <c r="G19" s="6"/>
      <c r="H19" s="6"/>
      <c r="I19" s="6">
        <v>0.14000000000000001</v>
      </c>
      <c r="J19" s="6">
        <v>1.3</v>
      </c>
      <c r="K19" s="30">
        <f>I19/J19</f>
        <v>0.1076923076923077</v>
      </c>
      <c r="L19" s="19">
        <f>1/K19</f>
        <v>9.2857142857142847</v>
      </c>
      <c r="M19" s="328" t="s">
        <v>185</v>
      </c>
      <c r="N19" s="128"/>
      <c r="O19" s="128"/>
      <c r="P19" s="128"/>
      <c r="Q19" s="338"/>
      <c r="R19" s="31">
        <v>2400</v>
      </c>
      <c r="S19" s="32">
        <f>R19*I19</f>
        <v>336.00000000000006</v>
      </c>
      <c r="T19" s="5"/>
      <c r="U19" s="5"/>
      <c r="V19" s="5"/>
      <c r="W19" s="79" t="s">
        <v>186</v>
      </c>
      <c r="X19" s="68">
        <v>1.26</v>
      </c>
      <c r="Y19" s="69">
        <v>3.36</v>
      </c>
      <c r="Z19" s="69">
        <v>1.5</v>
      </c>
      <c r="AA19" s="69">
        <v>3.6</v>
      </c>
      <c r="AB19" s="65">
        <f t="shared" si="0"/>
        <v>4.2336</v>
      </c>
      <c r="AC19" s="65">
        <f t="shared" si="1"/>
        <v>1.1664000000000003</v>
      </c>
      <c r="AD19" s="282">
        <f t="shared" si="2"/>
        <v>9.24</v>
      </c>
      <c r="AE19" s="947">
        <f t="shared" si="5"/>
        <v>1.7591022222222226</v>
      </c>
      <c r="AF19" s="948"/>
      <c r="AG19">
        <f t="shared" si="3"/>
        <v>1.354147856586601</v>
      </c>
    </row>
    <row r="20" spans="1:34" ht="16.5" thickBot="1">
      <c r="A20" s="5"/>
      <c r="B20" s="334" t="s">
        <v>170</v>
      </c>
      <c r="C20" s="26"/>
      <c r="D20" s="26"/>
      <c r="E20" s="26"/>
      <c r="F20" s="26"/>
      <c r="G20" s="26"/>
      <c r="H20" s="26"/>
      <c r="I20" s="26">
        <v>5.0000000000000001E-3</v>
      </c>
      <c r="J20" s="26">
        <v>0.93</v>
      </c>
      <c r="K20" s="27">
        <f>I20/J20</f>
        <v>5.3763440860215049E-3</v>
      </c>
      <c r="L20" s="20">
        <f>1/K20</f>
        <v>186.00000000000003</v>
      </c>
      <c r="M20" s="335" t="s">
        <v>182</v>
      </c>
      <c r="N20" s="336"/>
      <c r="O20" s="336"/>
      <c r="P20" s="336"/>
      <c r="Q20" s="337"/>
      <c r="R20" s="28">
        <v>1600</v>
      </c>
      <c r="S20" s="29">
        <f>R20*I20</f>
        <v>8</v>
      </c>
      <c r="T20" s="5"/>
      <c r="U20" s="5"/>
      <c r="V20" s="5"/>
      <c r="W20" s="79" t="s">
        <v>187</v>
      </c>
      <c r="X20" s="61">
        <v>1.18</v>
      </c>
      <c r="Y20" s="62">
        <v>3.32</v>
      </c>
      <c r="Z20" s="62">
        <v>1.4</v>
      </c>
      <c r="AA20" s="69">
        <v>3.6</v>
      </c>
      <c r="AB20" s="62">
        <v>3.37</v>
      </c>
      <c r="AC20" s="62">
        <f>Z20*AA20-AB20</f>
        <v>1.67</v>
      </c>
      <c r="AD20" s="282">
        <f t="shared" si="2"/>
        <v>9</v>
      </c>
      <c r="AE20" s="948">
        <f>(AB20*AJ$7+AC20*AJ$8+AD20*AJ$9)/(AB20+AC20)</f>
        <v>2.0187698412698412</v>
      </c>
      <c r="AF20" s="949"/>
      <c r="AG20">
        <f t="shared" si="3"/>
        <v>1.5029657227621622</v>
      </c>
      <c r="AH20" s="5"/>
    </row>
    <row r="21" spans="1:34" ht="16.5" thickBot="1">
      <c r="A21" s="5"/>
      <c r="B21" s="329"/>
      <c r="C21" s="330"/>
      <c r="D21" s="330"/>
      <c r="E21" s="330"/>
      <c r="F21" s="330"/>
      <c r="G21" s="330"/>
      <c r="H21" s="330"/>
      <c r="I21" s="330"/>
      <c r="J21" s="330"/>
      <c r="K21" s="330"/>
      <c r="L21" s="21">
        <f>1/(SUM(K18:K20)+N3^-1+S3^-1)</f>
        <v>3.4668654833252091</v>
      </c>
      <c r="M21" s="329" t="s">
        <v>174</v>
      </c>
      <c r="N21" s="330"/>
      <c r="O21" s="330"/>
      <c r="P21" s="330"/>
      <c r="Q21" s="339"/>
      <c r="R21" s="22">
        <f>SUM(R18:R20)</f>
        <v>5600</v>
      </c>
      <c r="S21" s="22">
        <f>SUM(S18:S20)</f>
        <v>352.00000000000006</v>
      </c>
      <c r="T21" s="5"/>
      <c r="U21" s="5"/>
      <c r="V21" s="5"/>
      <c r="W21" s="79" t="s">
        <v>188</v>
      </c>
      <c r="X21" s="68">
        <v>1.26</v>
      </c>
      <c r="Y21" s="69">
        <v>3.36</v>
      </c>
      <c r="Z21" s="69">
        <v>1.5</v>
      </c>
      <c r="AA21" s="69">
        <v>3.6</v>
      </c>
      <c r="AB21" s="65">
        <f t="shared" si="0"/>
        <v>4.2336</v>
      </c>
      <c r="AC21" s="65">
        <f t="shared" si="1"/>
        <v>1.1664000000000003</v>
      </c>
      <c r="AD21" s="282">
        <f t="shared" si="2"/>
        <v>9.24</v>
      </c>
      <c r="AE21" s="948">
        <f t="shared" si="5"/>
        <v>1.7591022222222226</v>
      </c>
      <c r="AF21" s="949"/>
      <c r="AG21">
        <f t="shared" si="3"/>
        <v>1.354147856586601</v>
      </c>
      <c r="AH21" s="5"/>
    </row>
    <row r="22" spans="1:34" ht="16.5" thickBot="1">
      <c r="A22" s="5"/>
      <c r="B22" s="5"/>
      <c r="C22" s="5"/>
      <c r="D22" s="5"/>
      <c r="E22" s="5"/>
      <c r="F22" s="5"/>
      <c r="G22" s="5"/>
      <c r="H22" s="5"/>
      <c r="I22" s="5"/>
      <c r="J22" s="5"/>
      <c r="K22" s="5"/>
      <c r="L22" s="5"/>
      <c r="M22" s="5"/>
      <c r="N22" s="5"/>
      <c r="O22" s="5"/>
      <c r="P22" s="5"/>
      <c r="Q22" s="5"/>
      <c r="R22" s="5"/>
      <c r="S22" s="5"/>
      <c r="T22" s="5"/>
      <c r="U22" s="5"/>
      <c r="V22" s="5"/>
      <c r="W22" s="80" t="s">
        <v>189</v>
      </c>
      <c r="X22" s="68">
        <v>0.98</v>
      </c>
      <c r="Y22" s="69">
        <v>2.15</v>
      </c>
      <c r="Z22" s="69">
        <v>1.08</v>
      </c>
      <c r="AA22" s="69">
        <v>2.25</v>
      </c>
      <c r="AB22" s="65">
        <f t="shared" si="0"/>
        <v>2.1069999999999998</v>
      </c>
      <c r="AC22" s="65">
        <f t="shared" si="1"/>
        <v>0.3230000000000004</v>
      </c>
      <c r="AD22" s="282">
        <f t="shared" si="2"/>
        <v>6.26</v>
      </c>
      <c r="AE22" s="947">
        <f t="shared" si="5"/>
        <v>1.673144032921811</v>
      </c>
      <c r="AF22" s="948"/>
      <c r="AG22">
        <f t="shared" si="3"/>
        <v>1.3026308867318528</v>
      </c>
      <c r="AH22" s="5"/>
    </row>
    <row r="23" spans="1:34" ht="16.5" thickBot="1">
      <c r="A23" s="5"/>
      <c r="B23" s="942" t="s">
        <v>190</v>
      </c>
      <c r="C23" s="943"/>
      <c r="D23" s="943"/>
      <c r="E23" s="943"/>
      <c r="F23" s="943"/>
      <c r="G23" s="943"/>
      <c r="H23" s="943"/>
      <c r="I23" s="943"/>
      <c r="J23" s="943"/>
      <c r="K23" s="943"/>
      <c r="L23" s="943"/>
      <c r="M23" s="943"/>
      <c r="N23" s="943"/>
      <c r="O23" s="943"/>
      <c r="P23" s="943"/>
      <c r="Q23" s="944"/>
      <c r="R23" s="324" t="s">
        <v>141</v>
      </c>
      <c r="S23" s="325"/>
      <c r="T23" s="5"/>
      <c r="U23" s="5"/>
      <c r="V23" s="5"/>
      <c r="W23" s="79" t="s">
        <v>191</v>
      </c>
      <c r="X23" s="75">
        <v>0.96</v>
      </c>
      <c r="Y23" s="63">
        <v>3.36</v>
      </c>
      <c r="Z23" s="63">
        <v>1.0900000000000001</v>
      </c>
      <c r="AA23" s="71">
        <v>3.6</v>
      </c>
      <c r="AB23" s="63">
        <f t="shared" si="0"/>
        <v>3.2255999999999996</v>
      </c>
      <c r="AC23" s="63">
        <f t="shared" si="1"/>
        <v>0.6984000000000008</v>
      </c>
      <c r="AD23" s="481">
        <f t="shared" si="2"/>
        <v>8.64</v>
      </c>
      <c r="AE23" s="966">
        <f>(AB23*AJ$7+AC23*AJ$8+AD23*AJ$9)/(AB23+AC23)</f>
        <v>1.7302018348623858</v>
      </c>
      <c r="AF23" s="967"/>
      <c r="AG23">
        <f t="shared" si="3"/>
        <v>1.3369569285946812</v>
      </c>
      <c r="AH23" s="5"/>
    </row>
    <row r="24" spans="1:34" ht="16.5" thickBot="1">
      <c r="A24" s="5"/>
      <c r="B24" s="324" t="s">
        <v>147</v>
      </c>
      <c r="C24" s="331"/>
      <c r="D24" s="331"/>
      <c r="E24" s="331"/>
      <c r="F24" s="331"/>
      <c r="G24" s="331"/>
      <c r="H24" s="325"/>
      <c r="I24" s="23" t="s">
        <v>148</v>
      </c>
      <c r="J24" s="24" t="s">
        <v>149</v>
      </c>
      <c r="K24" s="23" t="s">
        <v>150</v>
      </c>
      <c r="L24" s="23" t="s">
        <v>151</v>
      </c>
      <c r="M24" s="332" t="s">
        <v>152</v>
      </c>
      <c r="N24" s="333"/>
      <c r="O24" s="333"/>
      <c r="P24" s="333"/>
      <c r="Q24" s="340"/>
      <c r="R24" s="23" t="s">
        <v>180</v>
      </c>
      <c r="S24" s="25" t="s">
        <v>154</v>
      </c>
      <c r="T24" s="5"/>
      <c r="U24" s="5"/>
      <c r="V24" s="5"/>
      <c r="W24" s="80" t="s">
        <v>192</v>
      </c>
      <c r="X24" s="75">
        <v>1.26</v>
      </c>
      <c r="Y24" s="63">
        <v>3.36</v>
      </c>
      <c r="Z24" s="71">
        <v>1.49</v>
      </c>
      <c r="AA24" s="71">
        <v>3.6</v>
      </c>
      <c r="AB24" s="63">
        <f t="shared" si="0"/>
        <v>4.2336</v>
      </c>
      <c r="AC24" s="63">
        <f t="shared" si="1"/>
        <v>1.1303999999999998</v>
      </c>
      <c r="AD24" s="481">
        <f t="shared" si="2"/>
        <v>9.24</v>
      </c>
      <c r="AE24" s="966">
        <f>(AB24*AJ$7+AC24*AJ$8+AD24*AJ$9)/(AB24+AC24)</f>
        <v>1.7488948545861298</v>
      </c>
      <c r="AF24" s="967"/>
      <c r="AG24">
        <f t="shared" si="3"/>
        <v>1.3480910418602208</v>
      </c>
      <c r="AH24" s="5"/>
    </row>
    <row r="25" spans="1:34" ht="16.5" thickBot="1">
      <c r="A25" s="5"/>
      <c r="B25" s="334" t="s">
        <v>170</v>
      </c>
      <c r="C25" s="26"/>
      <c r="D25" s="26"/>
      <c r="E25" s="26"/>
      <c r="F25" s="26"/>
      <c r="G25" s="26"/>
      <c r="H25" s="26"/>
      <c r="I25" s="26">
        <v>5.0000000000000001E-3</v>
      </c>
      <c r="J25" s="26">
        <v>0.93</v>
      </c>
      <c r="K25" s="27">
        <f>I25/J25</f>
        <v>5.3763440860215049E-3</v>
      </c>
      <c r="L25" s="144">
        <f>1/K25</f>
        <v>186.00000000000003</v>
      </c>
      <c r="M25" s="335" t="s">
        <v>171</v>
      </c>
      <c r="N25" s="336"/>
      <c r="O25" s="336"/>
      <c r="P25" s="336"/>
      <c r="Q25" s="337"/>
      <c r="R25" s="28">
        <v>1600</v>
      </c>
      <c r="S25" s="29">
        <f>R25*I25</f>
        <v>8</v>
      </c>
      <c r="T25" s="5"/>
      <c r="U25" s="5"/>
      <c r="V25" s="5"/>
      <c r="W25" s="81" t="s">
        <v>193</v>
      </c>
      <c r="X25" s="261">
        <v>0.51900000000000002</v>
      </c>
      <c r="Y25" s="262">
        <v>2.2000000000000002</v>
      </c>
      <c r="Z25" s="262">
        <v>0.56899999999999995</v>
      </c>
      <c r="AA25" s="262">
        <v>2.25</v>
      </c>
      <c r="AB25" s="263">
        <f>X25*Y25</f>
        <v>1.1418000000000001</v>
      </c>
      <c r="AC25" s="219">
        <f>Z25*AA25-AB25</f>
        <v>0.13844999999999974</v>
      </c>
      <c r="AD25" s="263">
        <f>2*X25+2*Y25</f>
        <v>5.4380000000000006</v>
      </c>
      <c r="AE25" s="940">
        <f>(AB25*AJ7+AC25*AJ$8+AD25*AJ$9)/(AB25+AC25)</f>
        <v>1.8029884788127315</v>
      </c>
      <c r="AF25" s="941"/>
      <c r="AG25">
        <f t="shared" si="3"/>
        <v>1.3800056499332807</v>
      </c>
      <c r="AH25" s="5"/>
    </row>
    <row r="26" spans="1:34" ht="16.5" thickBot="1">
      <c r="A26" s="5"/>
      <c r="B26" s="327" t="s">
        <v>184</v>
      </c>
      <c r="C26" s="6"/>
      <c r="D26" s="6"/>
      <c r="E26" s="6"/>
      <c r="F26" s="6"/>
      <c r="G26" s="6"/>
      <c r="H26" s="6"/>
      <c r="I26" s="6">
        <v>0.14000000000000001</v>
      </c>
      <c r="J26" s="6">
        <v>1.3</v>
      </c>
      <c r="K26" s="33">
        <f>I26/J26</f>
        <v>0.1076923076923077</v>
      </c>
      <c r="L26" s="145">
        <f>1/K26</f>
        <v>9.2857142857142847</v>
      </c>
      <c r="M26" s="328" t="s">
        <v>185</v>
      </c>
      <c r="N26" s="128"/>
      <c r="O26" s="128"/>
      <c r="P26" s="128"/>
      <c r="Q26" s="338"/>
      <c r="R26" s="31">
        <v>2400</v>
      </c>
      <c r="S26" s="32">
        <f>R26*I26</f>
        <v>336.00000000000006</v>
      </c>
      <c r="T26" s="5"/>
      <c r="U26" s="5"/>
      <c r="V26" s="5"/>
      <c r="W26" s="40"/>
      <c r="X26" s="40"/>
      <c r="Y26" s="40"/>
      <c r="Z26" s="40"/>
      <c r="AA26" s="40"/>
      <c r="AB26" s="5"/>
      <c r="AC26" s="5"/>
      <c r="AD26" s="5"/>
      <c r="AE26" s="5"/>
      <c r="AF26" s="5"/>
      <c r="AG26" s="5"/>
      <c r="AH26" s="5"/>
    </row>
    <row r="27" spans="1:34" ht="16.5" thickBot="1">
      <c r="A27" s="5"/>
      <c r="B27" s="334" t="s">
        <v>170</v>
      </c>
      <c r="C27" s="26"/>
      <c r="D27" s="26"/>
      <c r="E27" s="26"/>
      <c r="F27" s="26"/>
      <c r="G27" s="26"/>
      <c r="H27" s="26"/>
      <c r="I27" s="26">
        <v>5.0000000000000001E-3</v>
      </c>
      <c r="J27" s="26">
        <v>0.93</v>
      </c>
      <c r="K27" s="27">
        <f>I27/J27</f>
        <v>5.3763440860215049E-3</v>
      </c>
      <c r="L27" s="144">
        <f>1/K27</f>
        <v>186.00000000000003</v>
      </c>
      <c r="M27" s="335" t="s">
        <v>171</v>
      </c>
      <c r="N27" s="336"/>
      <c r="O27" s="336"/>
      <c r="P27" s="336"/>
      <c r="Q27" s="337"/>
      <c r="R27" s="28">
        <v>1600</v>
      </c>
      <c r="S27" s="29">
        <f>R27*I27</f>
        <v>8</v>
      </c>
      <c r="T27" s="5"/>
      <c r="U27" s="5"/>
      <c r="V27" s="5"/>
      <c r="W27" s="40"/>
      <c r="X27" s="40"/>
      <c r="Y27" s="40"/>
      <c r="Z27" s="40"/>
      <c r="AA27" s="40"/>
      <c r="AB27" s="5"/>
      <c r="AC27" s="5"/>
      <c r="AD27" s="5"/>
      <c r="AE27" s="5"/>
      <c r="AF27" s="5"/>
      <c r="AG27" s="5"/>
      <c r="AH27" s="5"/>
    </row>
    <row r="28" spans="1:34" ht="16.5" thickBot="1">
      <c r="A28" s="5"/>
      <c r="B28" s="926"/>
      <c r="C28" s="927"/>
      <c r="D28" s="927"/>
      <c r="E28" s="927"/>
      <c r="F28" s="927"/>
      <c r="G28" s="927"/>
      <c r="H28" s="927"/>
      <c r="I28" s="927"/>
      <c r="J28" s="927"/>
      <c r="K28" s="927"/>
      <c r="L28" s="21">
        <f>1/(K25+K26+K27+2*S3^-1)</f>
        <v>2.642391922017747</v>
      </c>
      <c r="M28" s="926" t="s">
        <v>174</v>
      </c>
      <c r="N28" s="927"/>
      <c r="O28" s="927"/>
      <c r="P28" s="927"/>
      <c r="Q28" s="928"/>
      <c r="R28" s="22">
        <f>SUM(R25:R27)</f>
        <v>5600</v>
      </c>
      <c r="S28" s="22">
        <f>SUM(S25:S27)</f>
        <v>352.00000000000006</v>
      </c>
      <c r="T28" s="5"/>
      <c r="U28" s="5"/>
      <c r="V28" s="5"/>
      <c r="W28" s="40"/>
      <c r="X28" s="40"/>
      <c r="Y28" s="40"/>
      <c r="Z28" s="40"/>
      <c r="AA28" s="40"/>
      <c r="AB28" s="5"/>
      <c r="AC28" s="5"/>
      <c r="AD28" s="5"/>
      <c r="AE28" s="5"/>
      <c r="AF28" s="5"/>
      <c r="AG28" s="5"/>
      <c r="AH28" s="5"/>
    </row>
    <row r="29" spans="1:34" ht="16.5" thickBot="1">
      <c r="A29" s="5"/>
      <c r="B29" s="5"/>
      <c r="C29" s="5"/>
      <c r="D29" s="5"/>
      <c r="E29" s="5"/>
      <c r="F29" s="5"/>
      <c r="G29" s="5"/>
      <c r="H29" s="5"/>
      <c r="I29" s="5"/>
      <c r="J29" s="5"/>
      <c r="K29" s="5"/>
      <c r="L29" s="5"/>
      <c r="M29" s="5"/>
      <c r="N29" s="5"/>
      <c r="O29" s="5"/>
      <c r="P29" s="5"/>
      <c r="Q29" s="5"/>
      <c r="R29" s="5"/>
      <c r="S29" s="5"/>
      <c r="T29" s="5"/>
      <c r="U29" s="5"/>
      <c r="V29" s="5"/>
      <c r="W29" s="40"/>
      <c r="X29" s="40"/>
      <c r="Y29" s="40"/>
      <c r="Z29" s="40"/>
      <c r="AA29" s="40"/>
      <c r="AB29" s="5"/>
      <c r="AC29" s="5"/>
      <c r="AD29" s="5"/>
      <c r="AE29" s="5"/>
      <c r="AF29" s="5"/>
      <c r="AG29" s="5"/>
      <c r="AH29" s="5"/>
    </row>
    <row r="30" spans="1:34" ht="16.5" thickBot="1">
      <c r="A30" s="5"/>
      <c r="B30" s="942" t="s">
        <v>194</v>
      </c>
      <c r="C30" s="943"/>
      <c r="D30" s="943"/>
      <c r="E30" s="943"/>
      <c r="F30" s="943"/>
      <c r="G30" s="943"/>
      <c r="H30" s="943"/>
      <c r="I30" s="943"/>
      <c r="J30" s="943"/>
      <c r="K30" s="943"/>
      <c r="L30" s="943"/>
      <c r="M30" s="943"/>
      <c r="N30" s="943"/>
      <c r="O30" s="943"/>
      <c r="P30" s="943"/>
      <c r="Q30" s="944"/>
      <c r="R30" s="929" t="s">
        <v>141</v>
      </c>
      <c r="S30" s="931"/>
      <c r="T30" s="5"/>
      <c r="U30" s="5"/>
      <c r="V30" s="5"/>
      <c r="W30" s="5"/>
      <c r="X30" s="5"/>
      <c r="Y30" s="5"/>
      <c r="Z30" s="5"/>
      <c r="AA30" s="5"/>
      <c r="AB30" s="5"/>
      <c r="AC30" s="5"/>
      <c r="AD30" s="5"/>
      <c r="AE30" s="5"/>
      <c r="AF30" s="5"/>
      <c r="AG30" s="5"/>
      <c r="AH30" s="5"/>
    </row>
    <row r="31" spans="1:34" ht="16.5" thickBot="1">
      <c r="A31" s="5"/>
      <c r="B31" s="929" t="s">
        <v>147</v>
      </c>
      <c r="C31" s="930"/>
      <c r="D31" s="930"/>
      <c r="E31" s="930"/>
      <c r="F31" s="930"/>
      <c r="G31" s="930"/>
      <c r="H31" s="931"/>
      <c r="I31" s="23" t="s">
        <v>148</v>
      </c>
      <c r="J31" s="24" t="s">
        <v>149</v>
      </c>
      <c r="K31" s="23" t="s">
        <v>150</v>
      </c>
      <c r="L31" s="23" t="s">
        <v>151</v>
      </c>
      <c r="M31" s="932" t="s">
        <v>152</v>
      </c>
      <c r="N31" s="933"/>
      <c r="O31" s="933"/>
      <c r="P31" s="933"/>
      <c r="Q31" s="934"/>
      <c r="R31" s="23" t="s">
        <v>180</v>
      </c>
      <c r="S31" s="25" t="s">
        <v>154</v>
      </c>
      <c r="T31" s="5"/>
      <c r="U31" s="5"/>
      <c r="V31" s="5"/>
      <c r="W31" s="5"/>
      <c r="X31" s="5"/>
      <c r="Y31" s="5"/>
      <c r="Z31" s="5"/>
      <c r="AA31" s="5"/>
      <c r="AB31" s="5"/>
      <c r="AC31" s="5"/>
      <c r="AD31" s="5"/>
      <c r="AE31" s="5"/>
      <c r="AF31" s="5"/>
      <c r="AG31" s="5"/>
      <c r="AH31" s="5"/>
    </row>
    <row r="32" spans="1:34">
      <c r="A32" s="5"/>
      <c r="B32" s="935" t="s">
        <v>170</v>
      </c>
      <c r="C32" s="936"/>
      <c r="D32" s="936"/>
      <c r="E32" s="936"/>
      <c r="F32" s="936"/>
      <c r="G32" s="936"/>
      <c r="H32" s="936"/>
      <c r="I32" s="26">
        <v>5.0000000000000001E-3</v>
      </c>
      <c r="J32" s="26">
        <v>0.93</v>
      </c>
      <c r="K32" s="27">
        <f>I32/J32</f>
        <v>5.3763440860215049E-3</v>
      </c>
      <c r="L32" s="20">
        <f>1/K32</f>
        <v>186.00000000000003</v>
      </c>
      <c r="M32" s="937" t="s">
        <v>171</v>
      </c>
      <c r="N32" s="938"/>
      <c r="O32" s="938"/>
      <c r="P32" s="938"/>
      <c r="Q32" s="939"/>
      <c r="R32" s="28">
        <v>2500</v>
      </c>
      <c r="S32" s="29">
        <f>R32*I32</f>
        <v>12.5</v>
      </c>
      <c r="T32" s="5"/>
      <c r="U32" s="5"/>
      <c r="V32" s="5"/>
      <c r="W32" s="5"/>
      <c r="X32" s="5"/>
      <c r="Y32" s="5"/>
      <c r="Z32" s="5"/>
      <c r="AA32" s="5"/>
      <c r="AB32" s="5"/>
      <c r="AC32" s="5"/>
      <c r="AD32" s="5"/>
      <c r="AE32" s="5"/>
      <c r="AF32" s="5"/>
      <c r="AG32" s="5"/>
      <c r="AH32" s="5"/>
    </row>
    <row r="33" spans="1:20" ht="16.5" thickBot="1">
      <c r="A33" s="5"/>
      <c r="B33" s="922" t="s">
        <v>195</v>
      </c>
      <c r="C33" s="923"/>
      <c r="D33" s="923"/>
      <c r="E33" s="923"/>
      <c r="F33" s="923"/>
      <c r="G33" s="923"/>
      <c r="H33" s="923"/>
      <c r="I33" s="6">
        <v>0.5</v>
      </c>
      <c r="J33" s="6">
        <v>1.7</v>
      </c>
      <c r="K33" s="33">
        <f>I33/J33</f>
        <v>0.29411764705882354</v>
      </c>
      <c r="L33" s="19">
        <f>1/K33</f>
        <v>3.4</v>
      </c>
      <c r="M33" s="924" t="s">
        <v>196</v>
      </c>
      <c r="N33" s="848"/>
      <c r="O33" s="848"/>
      <c r="P33" s="848"/>
      <c r="Q33" s="925"/>
      <c r="R33" s="31">
        <v>2400</v>
      </c>
      <c r="S33" s="32">
        <f>R33*I33</f>
        <v>1200</v>
      </c>
      <c r="T33" s="5"/>
    </row>
    <row r="34" spans="1:20" ht="16.5" thickBot="1">
      <c r="A34" s="5"/>
      <c r="B34" s="935" t="s">
        <v>170</v>
      </c>
      <c r="C34" s="936"/>
      <c r="D34" s="936"/>
      <c r="E34" s="936"/>
      <c r="F34" s="936"/>
      <c r="G34" s="936"/>
      <c r="H34" s="936"/>
      <c r="I34" s="26">
        <v>5.0000000000000001E-3</v>
      </c>
      <c r="J34" s="26">
        <v>0.93</v>
      </c>
      <c r="K34" s="27">
        <f>I34/J34</f>
        <v>5.3763440860215049E-3</v>
      </c>
      <c r="L34" s="20">
        <f>1/K34</f>
        <v>186.00000000000003</v>
      </c>
      <c r="M34" s="937" t="s">
        <v>171</v>
      </c>
      <c r="N34" s="938"/>
      <c r="O34" s="938"/>
      <c r="P34" s="938"/>
      <c r="Q34" s="939"/>
      <c r="R34" s="28">
        <v>2500</v>
      </c>
      <c r="S34" s="29">
        <f>R34*I34</f>
        <v>12.5</v>
      </c>
      <c r="T34" s="5"/>
    </row>
    <row r="35" spans="1:20" ht="16.5" thickBot="1">
      <c r="A35" s="5"/>
      <c r="B35" s="926"/>
      <c r="C35" s="927"/>
      <c r="D35" s="927"/>
      <c r="E35" s="927"/>
      <c r="F35" s="927"/>
      <c r="G35" s="927"/>
      <c r="H35" s="927"/>
      <c r="I35" s="927"/>
      <c r="J35" s="927"/>
      <c r="K35" s="927"/>
      <c r="L35" s="21">
        <f>1/(K32+K33+K34+2*S3^-1)</f>
        <v>1.7703177837995205</v>
      </c>
      <c r="M35" s="926" t="s">
        <v>174</v>
      </c>
      <c r="N35" s="927"/>
      <c r="O35" s="927"/>
      <c r="P35" s="927"/>
      <c r="Q35" s="928"/>
      <c r="R35" s="22">
        <f>SUM(R32:R34)</f>
        <v>7400</v>
      </c>
      <c r="S35" s="22">
        <f>SUM(S32:S34)</f>
        <v>1225</v>
      </c>
      <c r="T35" s="5"/>
    </row>
    <row r="36" spans="1:20" ht="16.5" thickBot="1">
      <c r="A36" s="5"/>
      <c r="B36" s="5"/>
      <c r="C36" s="5"/>
      <c r="D36" s="5"/>
      <c r="E36" s="5"/>
      <c r="F36" s="5"/>
      <c r="G36" s="5"/>
      <c r="H36" s="5"/>
      <c r="I36" s="5"/>
      <c r="J36" s="5"/>
      <c r="K36" s="5"/>
      <c r="L36" s="5"/>
      <c r="M36" s="5"/>
      <c r="N36" s="5"/>
      <c r="O36" s="5"/>
      <c r="P36" s="5"/>
      <c r="Q36" s="5"/>
      <c r="R36" s="5"/>
      <c r="S36" s="5"/>
      <c r="T36" s="5"/>
    </row>
    <row r="37" spans="1:20" ht="16.5" thickBot="1">
      <c r="A37" s="5"/>
      <c r="B37" s="942" t="s">
        <v>197</v>
      </c>
      <c r="C37" s="943"/>
      <c r="D37" s="943"/>
      <c r="E37" s="943"/>
      <c r="F37" s="943"/>
      <c r="G37" s="943"/>
      <c r="H37" s="943"/>
      <c r="I37" s="943"/>
      <c r="J37" s="943"/>
      <c r="K37" s="943"/>
      <c r="L37" s="943"/>
      <c r="M37" s="943"/>
      <c r="N37" s="943"/>
      <c r="O37" s="943"/>
      <c r="P37" s="943"/>
      <c r="Q37" s="944"/>
      <c r="R37" s="324" t="s">
        <v>141</v>
      </c>
      <c r="S37" s="325"/>
      <c r="T37" s="5"/>
    </row>
    <row r="38" spans="1:20" ht="16.5" thickBot="1">
      <c r="A38" s="5"/>
      <c r="B38" s="324" t="s">
        <v>147</v>
      </c>
      <c r="C38" s="331"/>
      <c r="D38" s="331"/>
      <c r="E38" s="331"/>
      <c r="F38" s="331"/>
      <c r="G38" s="331"/>
      <c r="H38" s="325"/>
      <c r="I38" s="23" t="s">
        <v>148</v>
      </c>
      <c r="J38" s="24" t="s">
        <v>149</v>
      </c>
      <c r="K38" s="23" t="s">
        <v>150</v>
      </c>
      <c r="L38" s="23" t="s">
        <v>151</v>
      </c>
      <c r="M38" s="332" t="s">
        <v>152</v>
      </c>
      <c r="N38" s="333"/>
      <c r="O38" s="333"/>
      <c r="P38" s="333"/>
      <c r="Q38" s="340"/>
      <c r="R38" s="23" t="s">
        <v>180</v>
      </c>
      <c r="S38" s="25" t="s">
        <v>154</v>
      </c>
      <c r="T38" s="5"/>
    </row>
    <row r="39" spans="1:20">
      <c r="A39" s="5"/>
      <c r="B39" s="334" t="s">
        <v>170</v>
      </c>
      <c r="C39" s="26"/>
      <c r="D39" s="26"/>
      <c r="E39" s="26"/>
      <c r="F39" s="26"/>
      <c r="G39" s="26"/>
      <c r="H39" s="26"/>
      <c r="I39" s="26">
        <v>5.0000000000000001E-3</v>
      </c>
      <c r="J39" s="26">
        <v>0.93</v>
      </c>
      <c r="K39" s="27">
        <f>I39/J39</f>
        <v>5.3763440860215049E-3</v>
      </c>
      <c r="L39" s="20">
        <f>1/K39</f>
        <v>186.00000000000003</v>
      </c>
      <c r="M39" s="335" t="s">
        <v>171</v>
      </c>
      <c r="N39" s="336"/>
      <c r="O39" s="336"/>
      <c r="P39" s="336"/>
      <c r="Q39" s="337"/>
      <c r="R39" s="28">
        <v>2500</v>
      </c>
      <c r="S39" s="29">
        <f>R39*I39</f>
        <v>12.5</v>
      </c>
      <c r="T39" s="5"/>
    </row>
    <row r="40" spans="1:20" ht="16.5" thickBot="1">
      <c r="A40" s="5"/>
      <c r="B40" s="327" t="s">
        <v>198</v>
      </c>
      <c r="C40" s="6"/>
      <c r="D40" s="6"/>
      <c r="E40" s="6"/>
      <c r="F40" s="6"/>
      <c r="G40" s="6"/>
      <c r="H40" s="6"/>
      <c r="I40" s="6">
        <v>0.09</v>
      </c>
      <c r="J40" s="6">
        <v>0.32</v>
      </c>
      <c r="K40" s="33">
        <f>I40/J40</f>
        <v>0.28125</v>
      </c>
      <c r="L40" s="143">
        <f>1/K40</f>
        <v>3.5555555555555554</v>
      </c>
      <c r="M40" s="328" t="s">
        <v>185</v>
      </c>
      <c r="N40" s="128"/>
      <c r="O40" s="128"/>
      <c r="P40" s="128"/>
      <c r="Q40" s="338"/>
      <c r="R40" s="31">
        <v>1000</v>
      </c>
      <c r="S40" s="32">
        <f>R40*I40</f>
        <v>90</v>
      </c>
      <c r="T40" s="5"/>
    </row>
    <row r="41" spans="1:20" ht="16.5" thickBot="1">
      <c r="A41" s="5"/>
      <c r="B41" s="334" t="s">
        <v>170</v>
      </c>
      <c r="C41" s="26"/>
      <c r="D41" s="26"/>
      <c r="E41" s="26"/>
      <c r="F41" s="26"/>
      <c r="G41" s="26"/>
      <c r="H41" s="26"/>
      <c r="I41" s="26">
        <v>5.0000000000000001E-3</v>
      </c>
      <c r="J41" s="26">
        <v>0.93</v>
      </c>
      <c r="K41" s="27">
        <f>I41/J41</f>
        <v>5.3763440860215049E-3</v>
      </c>
      <c r="L41" s="20">
        <f>1/K41</f>
        <v>186.00000000000003</v>
      </c>
      <c r="M41" s="335" t="s">
        <v>171</v>
      </c>
      <c r="N41" s="336"/>
      <c r="O41" s="336"/>
      <c r="P41" s="336"/>
      <c r="Q41" s="337"/>
      <c r="R41" s="28">
        <v>2500</v>
      </c>
      <c r="S41" s="29">
        <f>R41*I41</f>
        <v>12.5</v>
      </c>
      <c r="T41" s="5"/>
    </row>
    <row r="42" spans="1:20" ht="16.5" thickBot="1">
      <c r="A42" s="5"/>
      <c r="B42" s="329"/>
      <c r="C42" s="330"/>
      <c r="D42" s="330"/>
      <c r="E42" s="330"/>
      <c r="F42" s="330"/>
      <c r="G42" s="330"/>
      <c r="H42" s="330"/>
      <c r="I42" s="330"/>
      <c r="J42" s="330"/>
      <c r="K42" s="330"/>
      <c r="L42" s="21">
        <f>1/(K39+K40+K41+2*S3^-1)</f>
        <v>1.8115853807007718</v>
      </c>
      <c r="M42" s="329" t="s">
        <v>174</v>
      </c>
      <c r="N42" s="330"/>
      <c r="O42" s="330"/>
      <c r="P42" s="330"/>
      <c r="Q42" s="339"/>
      <c r="R42" s="22">
        <f>SUM(R39:R41)</f>
        <v>6000</v>
      </c>
      <c r="S42" s="22">
        <f>SUM(S39:S41)</f>
        <v>115</v>
      </c>
      <c r="T42" s="5"/>
    </row>
    <row r="43" spans="1:20" ht="16.5" thickBot="1">
      <c r="A43" s="5"/>
      <c r="B43" s="5"/>
      <c r="C43" s="5"/>
      <c r="D43" s="5"/>
      <c r="E43" s="5"/>
      <c r="F43" s="5"/>
      <c r="G43" s="5"/>
      <c r="H43" s="5"/>
      <c r="I43" s="5"/>
      <c r="J43" s="5"/>
      <c r="K43" s="5"/>
      <c r="L43" s="5"/>
      <c r="M43" s="5"/>
      <c r="N43" s="5"/>
      <c r="O43" s="5"/>
      <c r="P43" s="5"/>
      <c r="Q43" s="5"/>
      <c r="R43" s="5"/>
      <c r="S43" s="5"/>
      <c r="T43" s="5"/>
    </row>
    <row r="44" spans="1:20" ht="16.5" thickBot="1">
      <c r="A44" s="5"/>
      <c r="B44" s="942" t="s">
        <v>199</v>
      </c>
      <c r="C44" s="943"/>
      <c r="D44" s="943"/>
      <c r="E44" s="943"/>
      <c r="F44" s="943"/>
      <c r="G44" s="943"/>
      <c r="H44" s="943"/>
      <c r="I44" s="943"/>
      <c r="J44" s="943"/>
      <c r="K44" s="943"/>
      <c r="L44" s="943"/>
      <c r="M44" s="943"/>
      <c r="N44" s="943"/>
      <c r="O44" s="943"/>
      <c r="P44" s="943"/>
      <c r="Q44" s="944"/>
      <c r="R44" s="45"/>
      <c r="S44" s="46"/>
      <c r="T44" s="5"/>
    </row>
    <row r="45" spans="1:20" ht="16.5" thickBot="1">
      <c r="A45" s="5"/>
      <c r="B45" s="324" t="s">
        <v>147</v>
      </c>
      <c r="C45" s="331"/>
      <c r="D45" s="331"/>
      <c r="E45" s="331"/>
      <c r="F45" s="331"/>
      <c r="G45" s="331"/>
      <c r="H45" s="325"/>
      <c r="I45" s="23" t="s">
        <v>148</v>
      </c>
      <c r="J45" s="24" t="s">
        <v>149</v>
      </c>
      <c r="K45" s="23" t="s">
        <v>150</v>
      </c>
      <c r="L45" s="23" t="s">
        <v>151</v>
      </c>
      <c r="M45" s="332" t="s">
        <v>152</v>
      </c>
      <c r="N45" s="333"/>
      <c r="O45" s="333"/>
      <c r="P45" s="333"/>
      <c r="Q45" s="333"/>
      <c r="R45" s="41"/>
      <c r="S45" s="39"/>
      <c r="T45" s="5"/>
    </row>
    <row r="46" spans="1:20">
      <c r="A46" s="5"/>
      <c r="B46" s="334" t="s">
        <v>200</v>
      </c>
      <c r="C46" s="26"/>
      <c r="D46" s="26"/>
      <c r="E46" s="26"/>
      <c r="F46" s="26"/>
      <c r="G46" s="26"/>
      <c r="H46" s="26"/>
      <c r="I46" s="26">
        <v>0.08</v>
      </c>
      <c r="J46" s="26">
        <v>0.37</v>
      </c>
      <c r="K46" s="47">
        <f>I46/J46</f>
        <v>0.21621621621621623</v>
      </c>
      <c r="L46" s="141">
        <f>1/K46</f>
        <v>4.625</v>
      </c>
      <c r="M46" s="335" t="s">
        <v>201</v>
      </c>
      <c r="N46" s="336"/>
      <c r="O46" s="336"/>
      <c r="P46" s="336"/>
      <c r="Q46" s="336"/>
      <c r="R46" s="42" t="s">
        <v>202</v>
      </c>
      <c r="S46" s="40"/>
      <c r="T46" s="5"/>
    </row>
    <row r="47" spans="1:20">
      <c r="A47" s="5"/>
      <c r="B47" s="328" t="s">
        <v>203</v>
      </c>
      <c r="C47" s="128"/>
      <c r="D47" s="128"/>
      <c r="E47" s="128"/>
      <c r="F47" s="128"/>
      <c r="G47" s="128"/>
      <c r="H47" s="129"/>
      <c r="I47" s="12">
        <v>0.12</v>
      </c>
      <c r="J47" s="43">
        <v>5.5E-2</v>
      </c>
      <c r="K47" s="30">
        <f>I47/J47</f>
        <v>2.1818181818181817</v>
      </c>
      <c r="L47" s="142">
        <f>1/K47</f>
        <v>0.45833333333333337</v>
      </c>
      <c r="M47" s="328" t="s">
        <v>204</v>
      </c>
      <c r="N47" s="128"/>
      <c r="O47" s="128"/>
      <c r="P47" s="128"/>
      <c r="Q47" s="128"/>
      <c r="R47" s="42"/>
      <c r="S47" s="40"/>
      <c r="T47" s="5"/>
    </row>
    <row r="48" spans="1:20" ht="16.5" thickBot="1">
      <c r="A48" s="5"/>
      <c r="B48" s="327" t="s">
        <v>167</v>
      </c>
      <c r="C48" s="6"/>
      <c r="D48" s="6"/>
      <c r="E48" s="6"/>
      <c r="F48" s="6"/>
      <c r="G48" s="6"/>
      <c r="H48" s="6"/>
      <c r="I48" s="6">
        <v>0.18</v>
      </c>
      <c r="J48" s="6">
        <v>1.7</v>
      </c>
      <c r="K48" s="38">
        <f>I48/J48</f>
        <v>0.10588235294117647</v>
      </c>
      <c r="L48" s="143">
        <f>1/K48</f>
        <v>9.4444444444444446</v>
      </c>
      <c r="M48" s="341" t="s">
        <v>168</v>
      </c>
      <c r="N48" s="342"/>
      <c r="O48" s="342"/>
      <c r="P48" s="342"/>
      <c r="Q48" s="343"/>
      <c r="R48" s="42"/>
      <c r="S48" s="40"/>
      <c r="T48" s="5"/>
    </row>
    <row r="49" spans="1:20" ht="16.5" thickBot="1">
      <c r="A49" s="5"/>
      <c r="B49" s="329"/>
      <c r="C49" s="330"/>
      <c r="D49" s="330"/>
      <c r="E49" s="330"/>
      <c r="F49" s="330"/>
      <c r="G49" s="330"/>
      <c r="H49" s="330"/>
      <c r="I49" s="330"/>
      <c r="J49" s="330"/>
      <c r="K49" s="330"/>
      <c r="L49" s="21">
        <f>1/(SUM(K46:K48)+A42)</f>
        <v>0.39937430012814151</v>
      </c>
      <c r="M49" s="329" t="s">
        <v>174</v>
      </c>
      <c r="N49" s="330"/>
      <c r="O49" s="330"/>
      <c r="P49" s="330"/>
      <c r="Q49" s="330"/>
      <c r="R49" s="42"/>
      <c r="S49" s="40"/>
      <c r="T49" s="5"/>
    </row>
    <row r="50" spans="1:20" ht="16.5" thickBot="1">
      <c r="A50" s="5"/>
      <c r="B50" s="5"/>
      <c r="C50" s="5"/>
      <c r="D50" s="5"/>
      <c r="E50" s="5"/>
      <c r="F50" s="5"/>
      <c r="G50" s="5"/>
      <c r="H50" s="5"/>
      <c r="I50" s="5"/>
      <c r="J50" s="5"/>
      <c r="K50" s="5"/>
      <c r="L50" s="5"/>
      <c r="M50" s="5"/>
      <c r="N50" s="5"/>
      <c r="O50" s="5"/>
      <c r="P50" s="5"/>
      <c r="Q50" s="5"/>
      <c r="R50" s="5" t="s">
        <v>205</v>
      </c>
      <c r="S50" s="5"/>
      <c r="T50" s="5"/>
    </row>
    <row r="51" spans="1:20" ht="16.5" thickBot="1">
      <c r="A51" s="5"/>
      <c r="B51" s="942" t="s">
        <v>206</v>
      </c>
      <c r="C51" s="943"/>
      <c r="D51" s="943"/>
      <c r="E51" s="943"/>
      <c r="F51" s="943"/>
      <c r="G51" s="943"/>
      <c r="H51" s="943"/>
      <c r="I51" s="943"/>
      <c r="J51" s="943"/>
      <c r="K51" s="943"/>
      <c r="L51" s="943"/>
      <c r="M51" s="943"/>
      <c r="N51" s="943"/>
      <c r="O51" s="943"/>
      <c r="P51" s="943"/>
      <c r="Q51" s="944"/>
      <c r="R51" s="5"/>
      <c r="S51" s="5"/>
      <c r="T51" s="5"/>
    </row>
    <row r="52" spans="1:20" ht="16.5" thickBot="1">
      <c r="A52" s="5"/>
      <c r="B52" s="324" t="s">
        <v>147</v>
      </c>
      <c r="C52" s="331"/>
      <c r="D52" s="331"/>
      <c r="E52" s="331"/>
      <c r="F52" s="331"/>
      <c r="G52" s="331"/>
      <c r="H52" s="325"/>
      <c r="I52" s="23" t="s">
        <v>148</v>
      </c>
      <c r="J52" s="24" t="s">
        <v>149</v>
      </c>
      <c r="K52" s="44" t="s">
        <v>150</v>
      </c>
      <c r="L52" s="44" t="s">
        <v>151</v>
      </c>
      <c r="M52" s="332" t="s">
        <v>152</v>
      </c>
      <c r="N52" s="333"/>
      <c r="O52" s="333"/>
      <c r="P52" s="333"/>
      <c r="Q52" s="340"/>
      <c r="R52" s="5"/>
      <c r="S52" s="5"/>
      <c r="T52" s="5"/>
    </row>
    <row r="53" spans="1:20">
      <c r="A53" s="5"/>
      <c r="B53" s="334" t="s">
        <v>207</v>
      </c>
      <c r="C53" s="26"/>
      <c r="D53" s="26"/>
      <c r="E53" s="26"/>
      <c r="F53" s="26"/>
      <c r="G53" s="26"/>
      <c r="H53" s="26"/>
      <c r="I53" s="26">
        <v>3.5000000000000003E-2</v>
      </c>
      <c r="J53" s="48">
        <v>0.7</v>
      </c>
      <c r="K53" s="27">
        <f t="shared" ref="K53:K58" si="6">I53/J53</f>
        <v>5.000000000000001E-2</v>
      </c>
      <c r="L53" s="49">
        <f t="shared" ref="L53:L58" si="7">1/K53</f>
        <v>19.999999999999996</v>
      </c>
      <c r="M53" s="336" t="s">
        <v>208</v>
      </c>
      <c r="N53" s="336"/>
      <c r="O53" s="336"/>
      <c r="P53" s="336"/>
      <c r="Q53" s="337"/>
      <c r="R53" s="5"/>
      <c r="S53" s="5"/>
      <c r="T53" s="5"/>
    </row>
    <row r="54" spans="1:20">
      <c r="A54" s="5"/>
      <c r="B54" s="328" t="s">
        <v>209</v>
      </c>
      <c r="C54" s="128"/>
      <c r="D54" s="128"/>
      <c r="E54" s="128"/>
      <c r="F54" s="128"/>
      <c r="G54" s="128"/>
      <c r="H54" s="129"/>
      <c r="I54" s="12">
        <v>0.12</v>
      </c>
      <c r="J54" s="43">
        <v>2.4E-2</v>
      </c>
      <c r="K54" s="30">
        <f t="shared" si="6"/>
        <v>5</v>
      </c>
      <c r="L54" s="50">
        <f t="shared" si="7"/>
        <v>0.2</v>
      </c>
      <c r="M54" s="128" t="s">
        <v>210</v>
      </c>
      <c r="N54" s="128"/>
      <c r="O54" s="128"/>
      <c r="P54" s="128"/>
      <c r="Q54" s="338"/>
      <c r="R54" s="5"/>
      <c r="S54" s="5"/>
      <c r="T54" s="5"/>
    </row>
    <row r="55" spans="1:20">
      <c r="A55" s="5"/>
      <c r="B55" s="328" t="s">
        <v>200</v>
      </c>
      <c r="C55" s="128"/>
      <c r="D55" s="128"/>
      <c r="E55" s="128"/>
      <c r="F55" s="128"/>
      <c r="G55" s="128"/>
      <c r="H55" s="129"/>
      <c r="I55" s="12">
        <v>0.08</v>
      </c>
      <c r="J55" s="43">
        <v>0.37</v>
      </c>
      <c r="K55" s="30">
        <f t="shared" si="6"/>
        <v>0.21621621621621623</v>
      </c>
      <c r="L55" s="50">
        <f t="shared" si="7"/>
        <v>4.625</v>
      </c>
      <c r="M55" s="128" t="s">
        <v>201</v>
      </c>
      <c r="N55" s="128"/>
      <c r="O55" s="128"/>
      <c r="P55" s="128"/>
      <c r="Q55" s="338"/>
      <c r="R55" s="5"/>
      <c r="S55" s="5"/>
      <c r="T55" s="5"/>
    </row>
    <row r="56" spans="1:20">
      <c r="A56" s="5"/>
      <c r="B56" s="328" t="s">
        <v>211</v>
      </c>
      <c r="C56" s="128"/>
      <c r="D56" s="128"/>
      <c r="E56" s="128"/>
      <c r="F56" s="128"/>
      <c r="G56" s="128"/>
      <c r="H56" s="129"/>
      <c r="I56" s="12">
        <v>0.08</v>
      </c>
      <c r="J56" s="43">
        <v>5.5E-2</v>
      </c>
      <c r="K56" s="53">
        <f t="shared" si="6"/>
        <v>1.4545454545454546</v>
      </c>
      <c r="L56" s="54">
        <f t="shared" si="7"/>
        <v>0.6875</v>
      </c>
      <c r="M56" s="128" t="s">
        <v>212</v>
      </c>
      <c r="N56" s="128"/>
      <c r="O56" s="128"/>
      <c r="P56" s="128"/>
      <c r="Q56" s="338"/>
      <c r="R56" s="5"/>
      <c r="S56" s="5"/>
      <c r="T56" s="5"/>
    </row>
    <row r="57" spans="1:20">
      <c r="A57" s="5"/>
      <c r="B57" s="328" t="s">
        <v>213</v>
      </c>
      <c r="C57" s="128"/>
      <c r="D57" s="128"/>
      <c r="E57" s="128"/>
      <c r="F57" s="128"/>
      <c r="G57" s="128"/>
      <c r="H57" s="129"/>
      <c r="I57" s="12">
        <v>0.18</v>
      </c>
      <c r="J57" s="43">
        <v>1.65</v>
      </c>
      <c r="K57" s="30">
        <f t="shared" si="6"/>
        <v>0.1090909090909091</v>
      </c>
      <c r="L57" s="146">
        <f t="shared" si="7"/>
        <v>9.1666666666666661</v>
      </c>
      <c r="M57" s="128" t="s">
        <v>214</v>
      </c>
      <c r="N57" s="128"/>
      <c r="O57" s="128"/>
      <c r="P57" s="128"/>
      <c r="Q57" s="338"/>
      <c r="R57" s="5"/>
      <c r="S57" s="5"/>
      <c r="T57" s="5"/>
    </row>
    <row r="58" spans="1:20" ht="16.5" thickBot="1">
      <c r="A58" s="5"/>
      <c r="B58" s="327" t="s">
        <v>170</v>
      </c>
      <c r="C58" s="6"/>
      <c r="D58" s="6"/>
      <c r="E58" s="6"/>
      <c r="F58" s="6"/>
      <c r="G58" s="6"/>
      <c r="H58" s="6"/>
      <c r="I58" s="6">
        <v>5.0000000000000001E-3</v>
      </c>
      <c r="J58" s="52">
        <v>0.93</v>
      </c>
      <c r="K58" s="35">
        <f t="shared" si="6"/>
        <v>5.3763440860215049E-3</v>
      </c>
      <c r="L58" s="51">
        <f t="shared" si="7"/>
        <v>186.00000000000003</v>
      </c>
      <c r="M58" s="128" t="s">
        <v>171</v>
      </c>
      <c r="N58" s="128"/>
      <c r="O58" s="128"/>
      <c r="P58" s="128"/>
      <c r="Q58" s="338"/>
      <c r="R58" s="5"/>
      <c r="S58" s="5"/>
      <c r="T58" s="5"/>
    </row>
    <row r="59" spans="1:20" ht="16.5" thickBot="1">
      <c r="A59" s="5"/>
      <c r="B59" s="329"/>
      <c r="C59" s="330"/>
      <c r="D59" s="330"/>
      <c r="E59" s="330"/>
      <c r="F59" s="330"/>
      <c r="G59" s="330"/>
      <c r="H59" s="330"/>
      <c r="I59" s="330"/>
      <c r="J59" s="330"/>
      <c r="K59" s="344"/>
      <c r="L59" s="55">
        <f>1/(SUM(K53:K58))</f>
        <v>0.14630087903826619</v>
      </c>
      <c r="M59" s="330" t="s">
        <v>174</v>
      </c>
      <c r="N59" s="330"/>
      <c r="O59" s="330"/>
      <c r="P59" s="330"/>
      <c r="Q59" s="339"/>
      <c r="R59" s="5"/>
      <c r="S59" s="5"/>
      <c r="T59" s="5"/>
    </row>
    <row r="60" spans="1:20" ht="16.5" thickBot="1">
      <c r="A60" s="5"/>
      <c r="B60" s="5"/>
      <c r="C60" s="5"/>
      <c r="D60" s="5"/>
      <c r="E60" s="5"/>
      <c r="F60" s="5"/>
      <c r="G60" s="5"/>
      <c r="H60" s="5"/>
      <c r="I60" s="5"/>
      <c r="J60" s="5"/>
      <c r="K60" s="5"/>
      <c r="L60" s="5"/>
      <c r="M60" s="5"/>
      <c r="N60" s="5"/>
      <c r="O60" s="5"/>
      <c r="P60" s="5"/>
      <c r="Q60" s="5"/>
      <c r="R60" s="5"/>
      <c r="S60" s="5"/>
      <c r="T60" s="5"/>
    </row>
    <row r="61" spans="1:20" ht="16.5" thickBot="1">
      <c r="A61" s="5"/>
      <c r="B61" s="942" t="s">
        <v>215</v>
      </c>
      <c r="C61" s="943"/>
      <c r="D61" s="943"/>
      <c r="E61" s="943"/>
      <c r="F61" s="943"/>
      <c r="G61" s="943"/>
      <c r="H61" s="943"/>
      <c r="I61" s="943"/>
      <c r="J61" s="943"/>
      <c r="K61" s="943"/>
      <c r="L61" s="943"/>
      <c r="M61" s="943"/>
      <c r="N61" s="943"/>
      <c r="O61" s="943"/>
      <c r="P61" s="943"/>
      <c r="Q61" s="944"/>
      <c r="R61" s="929" t="s">
        <v>141</v>
      </c>
      <c r="S61" s="931"/>
      <c r="T61" s="5"/>
    </row>
    <row r="62" spans="1:20" ht="16.5" thickBot="1">
      <c r="A62" s="5"/>
      <c r="B62" s="929" t="s">
        <v>147</v>
      </c>
      <c r="C62" s="930"/>
      <c r="D62" s="930"/>
      <c r="E62" s="930"/>
      <c r="F62" s="930"/>
      <c r="G62" s="930"/>
      <c r="H62" s="931"/>
      <c r="I62" s="23" t="s">
        <v>148</v>
      </c>
      <c r="J62" s="24" t="s">
        <v>149</v>
      </c>
      <c r="K62" s="23" t="s">
        <v>150</v>
      </c>
      <c r="L62" s="23" t="s">
        <v>151</v>
      </c>
      <c r="M62" s="932" t="s">
        <v>152</v>
      </c>
      <c r="N62" s="933"/>
      <c r="O62" s="933"/>
      <c r="P62" s="933"/>
      <c r="Q62" s="934"/>
      <c r="R62" s="23" t="s">
        <v>180</v>
      </c>
      <c r="S62" s="25" t="s">
        <v>154</v>
      </c>
      <c r="T62" s="5"/>
    </row>
    <row r="63" spans="1:20">
      <c r="A63" s="5"/>
      <c r="B63" s="935" t="s">
        <v>170</v>
      </c>
      <c r="C63" s="936"/>
      <c r="D63" s="936"/>
      <c r="E63" s="936"/>
      <c r="F63" s="936"/>
      <c r="G63" s="936"/>
      <c r="H63" s="936"/>
      <c r="I63" s="26">
        <v>5.0000000000000001E-3</v>
      </c>
      <c r="J63" s="26">
        <v>0.93</v>
      </c>
      <c r="K63" s="27">
        <f>I63/J63</f>
        <v>5.3763440860215049E-3</v>
      </c>
      <c r="L63" s="144">
        <f>1/K63</f>
        <v>186.00000000000003</v>
      </c>
      <c r="M63" s="937" t="s">
        <v>171</v>
      </c>
      <c r="N63" s="938"/>
      <c r="O63" s="938"/>
      <c r="P63" s="938"/>
      <c r="Q63" s="939"/>
      <c r="R63" s="28">
        <v>1600</v>
      </c>
      <c r="S63" s="29">
        <f>R63*I63</f>
        <v>8</v>
      </c>
      <c r="T63" s="5"/>
    </row>
    <row r="64" spans="1:20" ht="16.5" thickBot="1">
      <c r="B64" s="922" t="s">
        <v>184</v>
      </c>
      <c r="C64" s="923"/>
      <c r="D64" s="923"/>
      <c r="E64" s="923"/>
      <c r="F64" s="923"/>
      <c r="G64" s="923"/>
      <c r="H64" s="923"/>
      <c r="I64" s="6">
        <v>0.14000000000000001</v>
      </c>
      <c r="J64" s="6">
        <v>1.3</v>
      </c>
      <c r="K64" s="33">
        <f>I64/J64</f>
        <v>0.1076923076923077</v>
      </c>
      <c r="L64" s="145">
        <f>1/K64</f>
        <v>9.2857142857142847</v>
      </c>
      <c r="M64" s="924" t="s">
        <v>185</v>
      </c>
      <c r="N64" s="848"/>
      <c r="O64" s="848"/>
      <c r="P64" s="848"/>
      <c r="Q64" s="925"/>
      <c r="R64" s="31">
        <v>2400</v>
      </c>
      <c r="S64" s="32">
        <f>R64*I64</f>
        <v>336.00000000000006</v>
      </c>
    </row>
    <row r="65" spans="2:19" ht="16.5" thickBot="1">
      <c r="B65" s="926"/>
      <c r="C65" s="927"/>
      <c r="D65" s="927"/>
      <c r="E65" s="927"/>
      <c r="F65" s="927"/>
      <c r="G65" s="927"/>
      <c r="H65" s="927"/>
      <c r="I65" s="927"/>
      <c r="J65" s="927"/>
      <c r="K65" s="927"/>
      <c r="L65" s="21">
        <f>1/(K63+K64+S4^-1+S3^-1)</f>
        <v>2.9148684813270003</v>
      </c>
      <c r="M65" s="926" t="s">
        <v>174</v>
      </c>
      <c r="N65" s="927"/>
      <c r="O65" s="927"/>
      <c r="P65" s="927"/>
      <c r="Q65" s="928"/>
      <c r="R65" s="22">
        <f>SUM(R63:R64)</f>
        <v>4000</v>
      </c>
      <c r="S65" s="22">
        <f>SUM(S63:S64)</f>
        <v>344.00000000000006</v>
      </c>
    </row>
    <row r="67" spans="2:19" ht="16.5" thickBot="1"/>
    <row r="68" spans="2:19" ht="16.5" thickBot="1">
      <c r="B68" s="942" t="s">
        <v>216</v>
      </c>
      <c r="C68" s="943"/>
      <c r="D68" s="943"/>
      <c r="E68" s="943"/>
      <c r="F68" s="943"/>
      <c r="G68" s="943"/>
      <c r="H68" s="943"/>
      <c r="I68" s="943"/>
      <c r="J68" s="943"/>
      <c r="K68" s="943"/>
      <c r="L68" s="943"/>
      <c r="M68" s="943"/>
      <c r="N68" s="943"/>
      <c r="O68" s="943"/>
      <c r="P68" s="943"/>
      <c r="Q68" s="944"/>
      <c r="R68" s="929" t="s">
        <v>141</v>
      </c>
      <c r="S68" s="931"/>
    </row>
    <row r="69" spans="2:19" ht="16.5" thickBot="1">
      <c r="B69" s="929" t="s">
        <v>147</v>
      </c>
      <c r="C69" s="930"/>
      <c r="D69" s="930"/>
      <c r="E69" s="930"/>
      <c r="F69" s="930"/>
      <c r="G69" s="930"/>
      <c r="H69" s="931"/>
      <c r="I69" s="23" t="s">
        <v>148</v>
      </c>
      <c r="J69" s="24" t="s">
        <v>149</v>
      </c>
      <c r="K69" s="23" t="s">
        <v>150</v>
      </c>
      <c r="L69" s="23" t="s">
        <v>151</v>
      </c>
      <c r="M69" s="932" t="s">
        <v>152</v>
      </c>
      <c r="N69" s="933"/>
      <c r="O69" s="933"/>
      <c r="P69" s="933"/>
      <c r="Q69" s="934"/>
      <c r="R69" s="23" t="s">
        <v>180</v>
      </c>
      <c r="S69" s="25" t="s">
        <v>154</v>
      </c>
    </row>
    <row r="70" spans="2:19">
      <c r="B70" s="935" t="s">
        <v>170</v>
      </c>
      <c r="C70" s="936"/>
      <c r="D70" s="936"/>
      <c r="E70" s="936"/>
      <c r="F70" s="936"/>
      <c r="G70" s="936"/>
      <c r="H70" s="936"/>
      <c r="I70" s="26"/>
      <c r="J70" s="26"/>
      <c r="K70" s="27"/>
      <c r="L70" s="144"/>
      <c r="M70" s="937" t="s">
        <v>196</v>
      </c>
      <c r="N70" s="938"/>
      <c r="O70" s="938"/>
      <c r="P70" s="938"/>
      <c r="Q70" s="939"/>
      <c r="R70" s="28"/>
      <c r="S70" s="29"/>
    </row>
    <row r="71" spans="2:19" ht="16.5" thickBot="1">
      <c r="B71" s="922"/>
      <c r="C71" s="923"/>
      <c r="D71" s="923"/>
      <c r="E71" s="923"/>
      <c r="F71" s="923"/>
      <c r="G71" s="923"/>
      <c r="H71" s="923"/>
      <c r="I71" s="6"/>
      <c r="J71" s="6"/>
      <c r="K71" s="33"/>
      <c r="L71" s="145"/>
      <c r="M71" s="924"/>
      <c r="N71" s="848"/>
      <c r="O71" s="848"/>
      <c r="P71" s="848"/>
      <c r="Q71" s="925"/>
      <c r="R71" s="31"/>
      <c r="S71" s="32"/>
    </row>
    <row r="72" spans="2:19" ht="16.5" thickBot="1">
      <c r="B72" s="926"/>
      <c r="C72" s="927"/>
      <c r="D72" s="927"/>
      <c r="E72" s="927"/>
      <c r="F72" s="927"/>
      <c r="G72" s="927"/>
      <c r="H72" s="927"/>
      <c r="I72" s="927"/>
      <c r="J72" s="927"/>
      <c r="K72" s="927"/>
      <c r="L72" s="21">
        <v>2.5</v>
      </c>
      <c r="M72" s="926" t="s">
        <v>174</v>
      </c>
      <c r="N72" s="927"/>
      <c r="O72" s="927"/>
      <c r="P72" s="927"/>
      <c r="Q72" s="928"/>
      <c r="R72" s="22">
        <f>SUM(R70:R71)</f>
        <v>0</v>
      </c>
      <c r="S72" s="22">
        <f>SUM(S70:S71)</f>
        <v>0</v>
      </c>
    </row>
    <row r="88" spans="2:19">
      <c r="C88" t="s">
        <v>217</v>
      </c>
    </row>
    <row r="93" spans="2:19" ht="16.5" thickBot="1">
      <c r="B93" s="5"/>
      <c r="C93" s="5"/>
      <c r="D93" s="5"/>
      <c r="E93" s="5"/>
      <c r="F93" s="5"/>
      <c r="G93" s="5"/>
      <c r="H93" s="5"/>
      <c r="I93" s="5"/>
      <c r="J93" s="5"/>
      <c r="K93" s="5"/>
      <c r="L93" s="5"/>
      <c r="M93" s="5"/>
      <c r="N93" s="5"/>
      <c r="O93" s="5"/>
      <c r="P93" s="5"/>
      <c r="Q93" s="5"/>
      <c r="R93" s="5"/>
      <c r="S93" s="5"/>
    </row>
    <row r="94" spans="2:19" ht="16.5" thickBot="1">
      <c r="B94" s="5"/>
      <c r="C94" s="942" t="s">
        <v>218</v>
      </c>
      <c r="D94" s="943"/>
      <c r="E94" s="943"/>
      <c r="F94" s="943"/>
      <c r="G94" s="943"/>
      <c r="H94" s="943"/>
      <c r="I94" s="943"/>
      <c r="J94" s="943"/>
      <c r="K94" s="326"/>
      <c r="L94" s="326"/>
      <c r="M94" s="326"/>
      <c r="N94" s="326"/>
      <c r="O94" s="326"/>
      <c r="P94" s="326"/>
      <c r="Q94" s="326"/>
      <c r="R94" s="326"/>
      <c r="S94" s="45"/>
    </row>
    <row r="95" spans="2:19" ht="16.5" thickBot="1">
      <c r="B95" s="5"/>
      <c r="C95" s="324" t="s">
        <v>147</v>
      </c>
      <c r="D95" s="331"/>
      <c r="E95" s="331"/>
      <c r="F95" s="331"/>
      <c r="G95" s="331"/>
      <c r="H95" s="331"/>
      <c r="I95" s="325"/>
      <c r="J95" s="23" t="s">
        <v>148</v>
      </c>
      <c r="K95" s="24" t="s">
        <v>149</v>
      </c>
      <c r="L95" s="23" t="s">
        <v>150</v>
      </c>
      <c r="M95" s="23" t="s">
        <v>151</v>
      </c>
      <c r="N95" s="332" t="s">
        <v>152</v>
      </c>
      <c r="O95" s="333"/>
      <c r="P95" s="333"/>
      <c r="Q95" s="333"/>
      <c r="R95" s="333"/>
      <c r="S95" s="41"/>
    </row>
    <row r="96" spans="2:19">
      <c r="B96" s="5"/>
      <c r="C96" s="334" t="s">
        <v>200</v>
      </c>
      <c r="D96" s="26"/>
      <c r="E96" s="26"/>
      <c r="F96" s="26"/>
      <c r="G96" s="26"/>
      <c r="H96" s="26"/>
      <c r="I96" s="26"/>
      <c r="J96" s="26">
        <v>0.08</v>
      </c>
      <c r="K96" s="26">
        <v>0.37</v>
      </c>
      <c r="L96" s="47">
        <f>J96/K96</f>
        <v>0.21621621621621623</v>
      </c>
      <c r="M96" s="141">
        <f>1/L96</f>
        <v>4.625</v>
      </c>
      <c r="N96" s="335" t="s">
        <v>201</v>
      </c>
      <c r="O96" s="336"/>
      <c r="P96" s="336"/>
      <c r="Q96" s="336"/>
      <c r="R96" s="336"/>
      <c r="S96" s="42"/>
    </row>
    <row r="97" spans="2:19">
      <c r="B97" s="5"/>
      <c r="C97" s="328" t="s">
        <v>203</v>
      </c>
      <c r="D97" s="128"/>
      <c r="E97" s="128"/>
      <c r="F97" s="128"/>
      <c r="G97" s="128"/>
      <c r="H97" s="128"/>
      <c r="I97" s="129"/>
      <c r="J97" s="12">
        <v>0.12</v>
      </c>
      <c r="K97" s="43">
        <v>5.5E-2</v>
      </c>
      <c r="L97" s="30">
        <f>J97/K97</f>
        <v>2.1818181818181817</v>
      </c>
      <c r="M97" s="142">
        <f>1/L97</f>
        <v>0.45833333333333337</v>
      </c>
      <c r="N97" s="328" t="s">
        <v>204</v>
      </c>
      <c r="O97" s="128"/>
      <c r="P97" s="128"/>
      <c r="Q97" s="128"/>
      <c r="R97" s="128"/>
      <c r="S97" s="42"/>
    </row>
    <row r="98" spans="2:19" ht="16.5" thickBot="1">
      <c r="B98" s="5"/>
      <c r="C98" s="327" t="s">
        <v>167</v>
      </c>
      <c r="D98" s="6"/>
      <c r="E98" s="6"/>
      <c r="F98" s="6"/>
      <c r="G98" s="6"/>
      <c r="H98" s="6"/>
      <c r="I98" s="6"/>
      <c r="J98" s="6">
        <v>0.43</v>
      </c>
      <c r="K98" s="6">
        <v>1.7</v>
      </c>
      <c r="L98" s="38">
        <f>J98/K98</f>
        <v>0.25294117647058822</v>
      </c>
      <c r="M98" s="143">
        <f>1/L98</f>
        <v>3.9534883720930236</v>
      </c>
      <c r="N98" s="341" t="s">
        <v>168</v>
      </c>
      <c r="O98" s="342"/>
      <c r="P98" s="342"/>
      <c r="Q98" s="342"/>
      <c r="R98" s="343"/>
      <c r="S98" s="42"/>
    </row>
    <row r="99" spans="2:19" ht="16.5" thickBot="1">
      <c r="B99" s="5"/>
      <c r="C99" s="329"/>
      <c r="D99" s="330"/>
      <c r="E99" s="330"/>
      <c r="F99" s="330"/>
      <c r="G99" s="330"/>
      <c r="H99" s="330"/>
      <c r="I99" s="330"/>
      <c r="J99" s="330"/>
      <c r="K99" s="330"/>
      <c r="L99" s="330"/>
      <c r="M99" s="21">
        <f>1/(SUM(L96:L98))</f>
        <v>0.37721962043604607</v>
      </c>
      <c r="N99" s="329" t="s">
        <v>174</v>
      </c>
      <c r="O99" s="330"/>
      <c r="P99" s="330"/>
      <c r="Q99" s="330"/>
      <c r="R99" s="330"/>
      <c r="S99" s="42"/>
    </row>
  </sheetData>
  <mergeCells count="80">
    <mergeCell ref="C94:J94"/>
    <mergeCell ref="B71:H71"/>
    <mergeCell ref="M71:Q71"/>
    <mergeCell ref="B72:K72"/>
    <mergeCell ref="M72:Q72"/>
    <mergeCell ref="B68:Q68"/>
    <mergeCell ref="R68:S68"/>
    <mergeCell ref="B69:H69"/>
    <mergeCell ref="M69:Q69"/>
    <mergeCell ref="B70:H70"/>
    <mergeCell ref="M70:Q70"/>
    <mergeCell ref="B64:H64"/>
    <mergeCell ref="M64:Q64"/>
    <mergeCell ref="B65:K65"/>
    <mergeCell ref="M65:Q65"/>
    <mergeCell ref="B34:H34"/>
    <mergeCell ref="M34:Q34"/>
    <mergeCell ref="B61:Q61"/>
    <mergeCell ref="B62:H62"/>
    <mergeCell ref="M62:Q62"/>
    <mergeCell ref="B35:K35"/>
    <mergeCell ref="M35:Q35"/>
    <mergeCell ref="B44:Q44"/>
    <mergeCell ref="B51:Q51"/>
    <mergeCell ref="AE11:AF11"/>
    <mergeCell ref="AE12:AF12"/>
    <mergeCell ref="AE13:AF13"/>
    <mergeCell ref="AE14:AF14"/>
    <mergeCell ref="B63:H63"/>
    <mergeCell ref="M63:Q63"/>
    <mergeCell ref="R61:S61"/>
    <mergeCell ref="AE23:AF23"/>
    <mergeCell ref="AE24:AF24"/>
    <mergeCell ref="AE15:AF15"/>
    <mergeCell ref="AE16:AF16"/>
    <mergeCell ref="AE17:AF17"/>
    <mergeCell ref="AE21:AF21"/>
    <mergeCell ref="B16:Q16"/>
    <mergeCell ref="B23:Q23"/>
    <mergeCell ref="B37:Q37"/>
    <mergeCell ref="AK8:AL8"/>
    <mergeCell ref="AI6:AL6"/>
    <mergeCell ref="AK7:AL7"/>
    <mergeCell ref="AK9:AL9"/>
    <mergeCell ref="AE6:AF6"/>
    <mergeCell ref="AE7:AF7"/>
    <mergeCell ref="AE8:AF8"/>
    <mergeCell ref="AE9:AF9"/>
    <mergeCell ref="AE10:AF10"/>
    <mergeCell ref="AK10:AL10"/>
    <mergeCell ref="R7:S7"/>
    <mergeCell ref="B28:K28"/>
    <mergeCell ref="M28:Q28"/>
    <mergeCell ref="M8:Q8"/>
    <mergeCell ref="B12:H12"/>
    <mergeCell ref="B8:H8"/>
    <mergeCell ref="M11:Q11"/>
    <mergeCell ref="B7:Q7"/>
    <mergeCell ref="B9:H9"/>
    <mergeCell ref="M9:Q9"/>
    <mergeCell ref="M10:Q10"/>
    <mergeCell ref="B10:H10"/>
    <mergeCell ref="B11:H11"/>
    <mergeCell ref="M12:Q12"/>
    <mergeCell ref="AK12:AL12"/>
    <mergeCell ref="B33:H33"/>
    <mergeCell ref="M33:Q33"/>
    <mergeCell ref="B13:K13"/>
    <mergeCell ref="M13:Q13"/>
    <mergeCell ref="B31:H31"/>
    <mergeCell ref="M31:Q31"/>
    <mergeCell ref="B32:H32"/>
    <mergeCell ref="M32:Q32"/>
    <mergeCell ref="AE25:AF25"/>
    <mergeCell ref="R30:S30"/>
    <mergeCell ref="B30:Q30"/>
    <mergeCell ref="AE18:AF18"/>
    <mergeCell ref="AE19:AF19"/>
    <mergeCell ref="AE20:AF20"/>
    <mergeCell ref="AE22:AF22"/>
  </mergeCells>
  <phoneticPr fontId="43" type="noConversion"/>
  <pageMargins left="0.7" right="0.7" top="0.75" bottom="0.75" header="0.3" footer="0.3"/>
  <drawing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2FC5B3-C5BB-44F7-A09A-C40EB2C83D97}">
  <sheetPr codeName="Feuil3"/>
  <dimension ref="A1:Z90"/>
  <sheetViews>
    <sheetView zoomScale="106" zoomScaleNormal="106" workbookViewId="0">
      <selection activeCell="K39" sqref="K39"/>
    </sheetView>
  </sheetViews>
  <sheetFormatPr baseColWidth="10" defaultColWidth="11" defaultRowHeight="15.75"/>
  <cols>
    <col min="7" max="10" width="11.75" bestFit="1" customWidth="1"/>
  </cols>
  <sheetData>
    <row r="1" spans="1:26">
      <c r="A1" s="5"/>
      <c r="B1" s="5"/>
      <c r="C1" s="5"/>
      <c r="D1" s="5"/>
      <c r="E1" s="5"/>
      <c r="F1" s="5"/>
      <c r="G1" s="5"/>
      <c r="H1" s="5"/>
      <c r="I1" s="5"/>
      <c r="J1" s="5"/>
      <c r="K1" s="5"/>
      <c r="L1" s="5"/>
      <c r="M1" s="5"/>
    </row>
    <row r="2" spans="1:26">
      <c r="A2" s="1000"/>
      <c r="B2" s="1000"/>
      <c r="C2" s="1000"/>
      <c r="D2" s="1000"/>
      <c r="E2" s="1000"/>
      <c r="F2" s="1000"/>
      <c r="G2" s="1000"/>
      <c r="H2" s="1000"/>
      <c r="I2" s="1000"/>
      <c r="J2" s="1000"/>
      <c r="K2" s="1000"/>
      <c r="L2" s="1000"/>
      <c r="M2" s="5"/>
    </row>
    <row r="3" spans="1:26">
      <c r="A3" s="1000"/>
      <c r="B3" s="1000"/>
      <c r="C3" s="1000"/>
      <c r="D3" s="1000"/>
      <c r="E3" s="1000"/>
      <c r="F3" s="1000"/>
      <c r="G3" s="1000"/>
      <c r="H3" s="1000"/>
      <c r="I3" s="1000"/>
      <c r="J3" s="1000"/>
      <c r="K3" s="1000"/>
      <c r="L3" s="1000"/>
      <c r="M3" s="5"/>
    </row>
    <row r="4" spans="1:26">
      <c r="A4" s="5"/>
      <c r="B4" s="1001" t="s">
        <v>219</v>
      </c>
      <c r="C4" s="1001"/>
      <c r="D4" s="1001"/>
      <c r="E4" s="1001"/>
      <c r="F4" s="1001"/>
      <c r="G4" s="1001"/>
      <c r="H4" s="1001"/>
      <c r="I4" s="1001"/>
      <c r="J4" s="1001"/>
      <c r="K4" s="286"/>
      <c r="L4" s="250"/>
      <c r="M4" s="5"/>
      <c r="N4" s="5"/>
      <c r="O4" s="5"/>
      <c r="P4" s="5"/>
      <c r="Q4" s="5"/>
      <c r="R4" s="5"/>
      <c r="S4" s="5"/>
      <c r="T4" s="5"/>
      <c r="U4" s="5"/>
      <c r="V4" s="5"/>
      <c r="W4" s="5"/>
      <c r="X4" s="5"/>
      <c r="Y4" s="5"/>
      <c r="Z4" s="5"/>
    </row>
    <row r="5" spans="1:26" ht="18">
      <c r="A5" s="5"/>
      <c r="B5" s="994" t="s">
        <v>220</v>
      </c>
      <c r="C5" s="994" t="s">
        <v>221</v>
      </c>
      <c r="D5" s="994"/>
      <c r="E5" s="994"/>
      <c r="F5" s="994"/>
      <c r="G5" s="108" t="s">
        <v>222</v>
      </c>
      <c r="H5" s="108" t="s">
        <v>223</v>
      </c>
      <c r="I5" s="108" t="s">
        <v>224</v>
      </c>
      <c r="J5" s="91" t="s">
        <v>225</v>
      </c>
      <c r="K5" s="287"/>
      <c r="L5" s="250"/>
      <c r="M5" s="5"/>
      <c r="N5" s="5"/>
      <c r="O5" s="5"/>
      <c r="P5" s="5"/>
      <c r="Q5" s="5"/>
      <c r="R5" s="5"/>
      <c r="S5" s="5"/>
      <c r="T5" s="5"/>
      <c r="U5" s="5"/>
      <c r="V5" s="5"/>
      <c r="W5" s="5"/>
      <c r="X5" s="5"/>
      <c r="Y5" s="5"/>
      <c r="Z5" s="5"/>
    </row>
    <row r="6" spans="1:26" ht="18.75">
      <c r="A6" s="5"/>
      <c r="B6" s="994"/>
      <c r="C6" s="994"/>
      <c r="D6" s="994"/>
      <c r="E6" s="994"/>
      <c r="F6" s="994"/>
      <c r="G6" s="2" t="s">
        <v>226</v>
      </c>
      <c r="H6" s="89" t="s">
        <v>227</v>
      </c>
      <c r="I6" s="89" t="s">
        <v>228</v>
      </c>
      <c r="J6" s="92" t="s">
        <v>229</v>
      </c>
      <c r="K6" s="287"/>
      <c r="L6" s="250"/>
      <c r="M6" s="5"/>
      <c r="N6" s="5"/>
      <c r="O6" s="656" t="s">
        <v>230</v>
      </c>
      <c r="P6" s="657"/>
      <c r="Q6" s="657"/>
      <c r="R6" s="657"/>
      <c r="S6" s="657"/>
      <c r="T6" s="657"/>
      <c r="U6" s="657"/>
      <c r="V6" s="655"/>
      <c r="W6" s="227"/>
      <c r="X6" s="287"/>
      <c r="Y6" s="250"/>
      <c r="Z6" s="5"/>
    </row>
    <row r="7" spans="1:26" ht="18">
      <c r="A7" s="5"/>
      <c r="B7" s="2"/>
      <c r="C7" s="818" t="s">
        <v>231</v>
      </c>
      <c r="D7" s="818"/>
      <c r="E7" s="818"/>
      <c r="F7" s="818"/>
      <c r="G7" s="1">
        <f>Parois!AB23+Parois!AC23</f>
        <v>3.9240000000000004</v>
      </c>
      <c r="H7" s="1">
        <f>Parois!AG23</f>
        <v>1.3369569285946812</v>
      </c>
      <c r="I7" s="1">
        <v>1</v>
      </c>
      <c r="J7" s="230">
        <f t="shared" ref="J7:J11" si="0">G7*H7*I7</f>
        <v>5.2462189878055296</v>
      </c>
      <c r="K7" s="287"/>
      <c r="L7" s="250"/>
      <c r="M7" s="5"/>
      <c r="N7" s="5"/>
      <c r="O7" s="975" t="s">
        <v>220</v>
      </c>
      <c r="P7" s="977" t="s">
        <v>221</v>
      </c>
      <c r="Q7" s="978"/>
      <c r="R7" s="978"/>
      <c r="S7" s="978"/>
      <c r="T7" s="654" t="s">
        <v>232</v>
      </c>
      <c r="U7" s="654" t="s">
        <v>222</v>
      </c>
      <c r="V7" s="196" t="s">
        <v>223</v>
      </c>
      <c r="W7" s="231" t="s">
        <v>233</v>
      </c>
      <c r="X7" s="287"/>
      <c r="Y7" s="250"/>
      <c r="Z7" s="5"/>
    </row>
    <row r="8" spans="1:26" ht="18">
      <c r="A8" s="5"/>
      <c r="B8" s="2"/>
      <c r="C8" s="862" t="s">
        <v>234</v>
      </c>
      <c r="D8" s="862"/>
      <c r="E8" s="862"/>
      <c r="F8" s="862"/>
      <c r="G8" s="1">
        <f>2*SUM(Parois!AB19:AC19)</f>
        <v>10.8</v>
      </c>
      <c r="H8" s="1">
        <f>Parois!AG21</f>
        <v>1.354147856586601</v>
      </c>
      <c r="I8" s="1">
        <v>1</v>
      </c>
      <c r="J8" s="230">
        <f t="shared" si="0"/>
        <v>14.624796851135292</v>
      </c>
      <c r="K8" s="287"/>
      <c r="L8" s="250"/>
      <c r="M8" s="5"/>
      <c r="N8" s="5"/>
      <c r="O8" s="976"/>
      <c r="P8" s="979"/>
      <c r="Q8" s="980"/>
      <c r="R8" s="980"/>
      <c r="S8" s="980"/>
      <c r="T8" s="62" t="s">
        <v>228</v>
      </c>
      <c r="U8" s="62" t="s">
        <v>226</v>
      </c>
      <c r="V8" s="197" t="s">
        <v>227</v>
      </c>
      <c r="W8" s="232" t="s">
        <v>229</v>
      </c>
      <c r="X8" s="287"/>
      <c r="Y8" s="250"/>
      <c r="Z8" s="5"/>
    </row>
    <row r="9" spans="1:26">
      <c r="A9" s="5"/>
      <c r="B9" s="2"/>
      <c r="C9" s="862" t="s">
        <v>235</v>
      </c>
      <c r="D9" s="862"/>
      <c r="E9" s="862"/>
      <c r="F9" s="862"/>
      <c r="G9" s="1">
        <f>SUM(Parois!AB20:AC20)</f>
        <v>5.04</v>
      </c>
      <c r="H9" s="1">
        <f>Parois!AG20</f>
        <v>1.5029657227621622</v>
      </c>
      <c r="I9" s="1">
        <v>1</v>
      </c>
      <c r="J9" s="230">
        <f t="shared" si="0"/>
        <v>7.574947242721298</v>
      </c>
      <c r="K9" s="287"/>
      <c r="L9" s="250"/>
      <c r="M9" s="5"/>
      <c r="N9" s="5"/>
      <c r="O9" s="155"/>
      <c r="P9" s="981" t="s">
        <v>236</v>
      </c>
      <c r="Q9" s="982"/>
      <c r="R9" s="982"/>
      <c r="S9" s="983"/>
      <c r="T9" s="264">
        <f>X30/W26</f>
        <v>-0.14285714285714285</v>
      </c>
      <c r="U9" s="65">
        <f>(0.05+1.95+0.2*2+0.075)*3.945</f>
        <v>9.7638750000000005</v>
      </c>
      <c r="V9" s="659">
        <f>Parois!L28</f>
        <v>2.642391922017747</v>
      </c>
      <c r="W9" s="266">
        <f t="shared" ref="W9:W18" si="1">T9*U9*V9</f>
        <v>-3.6857120610844327</v>
      </c>
      <c r="X9" s="287"/>
      <c r="Y9" s="969"/>
      <c r="Z9" s="5"/>
    </row>
    <row r="10" spans="1:26">
      <c r="A10" s="5"/>
      <c r="B10" s="2"/>
      <c r="C10" s="862" t="s">
        <v>237</v>
      </c>
      <c r="D10" s="862"/>
      <c r="E10" s="862"/>
      <c r="F10" s="862"/>
      <c r="G10" s="1">
        <f>SUM(Parois!AB18:AC18)</f>
        <v>4.2839999999999998</v>
      </c>
      <c r="H10" s="1">
        <f>Parois!AG18</f>
        <v>1.4134113193439286</v>
      </c>
      <c r="I10" s="1">
        <v>1</v>
      </c>
      <c r="J10" s="230">
        <f t="shared" si="0"/>
        <v>6.0550540920693896</v>
      </c>
      <c r="K10" s="287"/>
      <c r="L10" s="250"/>
      <c r="M10" s="5"/>
      <c r="N10" s="5"/>
      <c r="O10" s="155"/>
      <c r="P10" s="981" t="s">
        <v>238</v>
      </c>
      <c r="Q10" s="982"/>
      <c r="R10" s="982"/>
      <c r="S10" s="983"/>
      <c r="T10" s="264">
        <f>X31/W26</f>
        <v>-0.14285714285714285</v>
      </c>
      <c r="U10" s="65">
        <f>3.945*(3.97+0.3+0.05)-U11</f>
        <v>15.398100000000001</v>
      </c>
      <c r="V10" s="659">
        <f>Parois!L28</f>
        <v>2.642391922017747</v>
      </c>
      <c r="W10" s="266">
        <f t="shared" si="1"/>
        <v>-5.8125450077744958</v>
      </c>
      <c r="X10" s="287"/>
      <c r="Y10" s="969"/>
      <c r="Z10" s="5"/>
    </row>
    <row r="11" spans="1:26">
      <c r="A11" s="5"/>
      <c r="B11" s="2"/>
      <c r="C11" s="818" t="s">
        <v>239</v>
      </c>
      <c r="D11" s="818"/>
      <c r="E11" s="818"/>
      <c r="F11" s="818"/>
      <c r="G11" s="1">
        <f>2*0.235*3.78*0.1</f>
        <v>0.17765999999999998</v>
      </c>
      <c r="H11" s="1">
        <f>Parois!L13</f>
        <v>0.31196948579298983</v>
      </c>
      <c r="I11" s="1">
        <v>1</v>
      </c>
      <c r="J11" s="230">
        <f t="shared" si="0"/>
        <v>5.5424498845982571E-2</v>
      </c>
      <c r="K11" s="287"/>
      <c r="L11" s="250"/>
      <c r="M11" s="5"/>
      <c r="N11" s="5"/>
      <c r="O11" s="155"/>
      <c r="P11" s="981" t="s">
        <v>240</v>
      </c>
      <c r="Q11" s="982"/>
      <c r="R11" s="982"/>
      <c r="S11" s="983"/>
      <c r="T11" s="264">
        <f>X31/W26</f>
        <v>-0.14285714285714285</v>
      </c>
      <c r="U11" s="65">
        <f>0.81*2.03</f>
        <v>1.6442999999999999</v>
      </c>
      <c r="V11" s="659">
        <v>2.5</v>
      </c>
      <c r="W11" s="266">
        <f t="shared" si="1"/>
        <v>-0.58724999999999994</v>
      </c>
      <c r="X11" s="287"/>
      <c r="Y11" s="969"/>
      <c r="Z11" s="5"/>
    </row>
    <row r="12" spans="1:26">
      <c r="A12" s="5"/>
      <c r="B12" s="2"/>
      <c r="C12" s="818"/>
      <c r="D12" s="818"/>
      <c r="E12" s="818"/>
      <c r="F12" s="818"/>
      <c r="G12" s="1"/>
      <c r="H12" s="1"/>
      <c r="I12" s="1">
        <v>1</v>
      </c>
      <c r="J12" s="230">
        <f>G12*H12*I12</f>
        <v>0</v>
      </c>
      <c r="K12" s="287"/>
      <c r="L12" s="250"/>
      <c r="M12" s="5"/>
      <c r="N12" s="5"/>
      <c r="O12" s="155"/>
      <c r="P12" s="981" t="s">
        <v>241</v>
      </c>
      <c r="Q12" s="982"/>
      <c r="R12" s="982"/>
      <c r="S12" s="983"/>
      <c r="T12" s="264">
        <f>X33/W26</f>
        <v>0.14285714285714285</v>
      </c>
      <c r="U12" s="65">
        <f>(4.17+0.05+0.3)*3.945</f>
        <v>17.831399999999999</v>
      </c>
      <c r="V12" s="660">
        <f>Parois!L28</f>
        <v>2.642391922017747</v>
      </c>
      <c r="W12" s="266">
        <f t="shared" si="1"/>
        <v>6.7310781883238917</v>
      </c>
      <c r="X12" s="287"/>
      <c r="Y12" s="969"/>
      <c r="Z12" s="5"/>
    </row>
    <row r="13" spans="1:26">
      <c r="A13" s="5"/>
      <c r="B13" s="1005"/>
      <c r="C13" s="1006"/>
      <c r="D13" s="1006"/>
      <c r="E13" s="1006"/>
      <c r="F13" s="1006"/>
      <c r="G13" s="1006"/>
      <c r="H13" s="1006"/>
      <c r="I13" s="1007"/>
      <c r="J13" s="105" t="s">
        <v>242</v>
      </c>
      <c r="K13" s="287"/>
      <c r="L13" s="250"/>
      <c r="M13" s="5"/>
      <c r="N13" s="5"/>
      <c r="O13" s="155"/>
      <c r="P13" s="862" t="s">
        <v>243</v>
      </c>
      <c r="Q13" s="863"/>
      <c r="R13" s="863"/>
      <c r="S13" s="864"/>
      <c r="T13" s="264">
        <f>X32/W26</f>
        <v>0</v>
      </c>
      <c r="U13" s="269">
        <f>(1.75+0.05+0.2)*3.945-U14</f>
        <v>6.2456999999999994</v>
      </c>
      <c r="V13" s="269">
        <f>Parois!L28</f>
        <v>2.642391922017747</v>
      </c>
      <c r="W13" s="266">
        <f t="shared" si="1"/>
        <v>0</v>
      </c>
      <c r="X13" s="287"/>
      <c r="Y13" s="969"/>
      <c r="Z13" s="5"/>
    </row>
    <row r="14" spans="1:26" ht="18">
      <c r="A14" s="5"/>
      <c r="B14" s="995" t="s">
        <v>244</v>
      </c>
      <c r="C14" s="996"/>
      <c r="D14" s="996"/>
      <c r="E14" s="996"/>
      <c r="F14" s="996"/>
      <c r="G14" s="996"/>
      <c r="H14" s="619" t="s">
        <v>245</v>
      </c>
      <c r="I14" s="619"/>
      <c r="J14" s="105">
        <f>SUM(J7:J11)</f>
        <v>33.556441672577485</v>
      </c>
      <c r="K14" s="287"/>
      <c r="L14" s="250"/>
      <c r="M14" s="5"/>
      <c r="N14" s="5"/>
      <c r="O14" s="57"/>
      <c r="P14" s="862" t="s">
        <v>246</v>
      </c>
      <c r="Q14" s="863"/>
      <c r="R14" s="863"/>
      <c r="S14" s="864"/>
      <c r="T14" s="264">
        <f>X32/W26</f>
        <v>0</v>
      </c>
      <c r="U14" s="269">
        <f>0.81*2.03</f>
        <v>1.6442999999999999</v>
      </c>
      <c r="V14" s="269">
        <v>2.5</v>
      </c>
      <c r="W14" s="266">
        <f t="shared" si="1"/>
        <v>0</v>
      </c>
      <c r="X14" s="287"/>
      <c r="Y14" s="969"/>
      <c r="Z14" s="5"/>
    </row>
    <row r="15" spans="1:26">
      <c r="A15" s="5"/>
      <c r="B15" s="1001" t="s">
        <v>247</v>
      </c>
      <c r="C15" s="1001"/>
      <c r="D15" s="1001"/>
      <c r="E15" s="1001"/>
      <c r="F15" s="1001"/>
      <c r="G15" s="1001"/>
      <c r="H15" s="1001"/>
      <c r="I15" s="1001"/>
      <c r="J15" s="1002"/>
      <c r="K15" s="287"/>
      <c r="L15" s="250"/>
      <c r="M15" s="5"/>
      <c r="N15" s="5"/>
      <c r="O15" s="57"/>
      <c r="P15" s="984" t="s">
        <v>248</v>
      </c>
      <c r="Q15" s="985"/>
      <c r="R15" s="985"/>
      <c r="S15" s="985"/>
      <c r="T15" s="264">
        <f>X35/W26</f>
        <v>0</v>
      </c>
      <c r="U15" s="658">
        <f>(5.35+0.15+0.075)*3.945-U16</f>
        <v>16.872375000000002</v>
      </c>
      <c r="V15" s="658">
        <f>Parois!L42</f>
        <v>1.8115853807007718</v>
      </c>
      <c r="W15" s="266">
        <f t="shared" si="1"/>
        <v>0</v>
      </c>
      <c r="X15" s="287"/>
      <c r="Y15" s="969"/>
      <c r="Z15" s="5"/>
    </row>
    <row r="16" spans="1:26" ht="18">
      <c r="A16" s="5"/>
      <c r="B16" s="994" t="s">
        <v>220</v>
      </c>
      <c r="C16" s="994" t="s">
        <v>249</v>
      </c>
      <c r="D16" s="994"/>
      <c r="E16" s="994"/>
      <c r="F16" s="994"/>
      <c r="G16" s="108" t="s">
        <v>222</v>
      </c>
      <c r="H16" s="108" t="s">
        <v>223</v>
      </c>
      <c r="I16" s="108" t="s">
        <v>250</v>
      </c>
      <c r="J16" s="109" t="s">
        <v>251</v>
      </c>
      <c r="K16" s="287"/>
      <c r="L16" s="250"/>
      <c r="M16" s="5"/>
      <c r="N16" s="5"/>
      <c r="O16" s="57"/>
      <c r="P16" s="984" t="s">
        <v>252</v>
      </c>
      <c r="Q16" s="985"/>
      <c r="R16" s="985"/>
      <c r="S16" s="986"/>
      <c r="T16" s="264">
        <f>X36/W26</f>
        <v>0</v>
      </c>
      <c r="U16" s="658">
        <f>4*SUM(Parois!AB25:AC25)</f>
        <v>5.1209999999999996</v>
      </c>
      <c r="V16" s="658">
        <f>Parois!AG25</f>
        <v>1.3800056499332807</v>
      </c>
      <c r="W16" s="266">
        <f t="shared" si="1"/>
        <v>0</v>
      </c>
      <c r="X16" s="287"/>
      <c r="Y16" s="969"/>
      <c r="Z16" s="5"/>
    </row>
    <row r="17" spans="1:26" ht="18.75">
      <c r="A17" s="5"/>
      <c r="B17" s="994"/>
      <c r="C17" s="994"/>
      <c r="D17" s="994"/>
      <c r="E17" s="994"/>
      <c r="F17" s="994"/>
      <c r="G17" s="2" t="s">
        <v>226</v>
      </c>
      <c r="H17" s="89" t="s">
        <v>227</v>
      </c>
      <c r="I17" s="89" t="s">
        <v>228</v>
      </c>
      <c r="J17" s="92" t="s">
        <v>229</v>
      </c>
      <c r="K17" s="287"/>
      <c r="L17" s="250"/>
      <c r="M17" s="5"/>
      <c r="N17" s="5"/>
      <c r="O17" s="57"/>
      <c r="P17" s="984" t="s">
        <v>253</v>
      </c>
      <c r="Q17" s="985"/>
      <c r="R17" s="985"/>
      <c r="S17" s="986"/>
      <c r="T17" s="264">
        <f>X36/W26</f>
        <v>0</v>
      </c>
      <c r="U17" s="658">
        <f>2*0.3945</f>
        <v>0.78900000000000003</v>
      </c>
      <c r="V17" s="658">
        <f>Parois!L28</f>
        <v>2.642391922017747</v>
      </c>
      <c r="W17" s="266">
        <f t="shared" si="1"/>
        <v>0</v>
      </c>
      <c r="X17" s="287"/>
      <c r="Y17" s="969"/>
      <c r="Z17" s="5"/>
    </row>
    <row r="18" spans="1:26">
      <c r="A18" s="5"/>
      <c r="B18" s="1"/>
      <c r="C18" s="984"/>
      <c r="D18" s="985"/>
      <c r="E18" s="985"/>
      <c r="F18" s="985"/>
      <c r="G18" s="269"/>
      <c r="H18" s="269"/>
      <c r="I18" s="269"/>
      <c r="J18" s="270"/>
      <c r="K18" s="287"/>
      <c r="L18" s="250"/>
      <c r="M18" s="5"/>
      <c r="N18" s="5"/>
      <c r="O18" s="57"/>
      <c r="P18" s="984" t="s">
        <v>199</v>
      </c>
      <c r="Q18" s="985"/>
      <c r="R18" s="985"/>
      <c r="S18" s="985"/>
      <c r="T18" s="264">
        <f>X34/W26</f>
        <v>0.7142857142857143</v>
      </c>
      <c r="U18" s="269">
        <f>Données!E52</f>
        <v>18.2075</v>
      </c>
      <c r="V18" s="269">
        <f>Parois!L49</f>
        <v>0.39937430012814151</v>
      </c>
      <c r="W18" s="266">
        <f t="shared" si="1"/>
        <v>5.1940054068450978</v>
      </c>
      <c r="X18" s="287"/>
      <c r="Y18" s="969"/>
      <c r="Z18" s="5"/>
    </row>
    <row r="19" spans="1:26" ht="18">
      <c r="A19" s="5"/>
      <c r="B19" s="1003" t="s">
        <v>254</v>
      </c>
      <c r="C19" s="1003"/>
      <c r="D19" s="1003"/>
      <c r="E19" s="1003"/>
      <c r="F19" s="1003"/>
      <c r="G19" s="1003"/>
      <c r="H19" s="1003"/>
      <c r="I19" s="1003"/>
      <c r="J19" s="1004"/>
      <c r="K19" s="287"/>
      <c r="L19" s="250"/>
      <c r="M19" s="5"/>
      <c r="N19" s="5"/>
      <c r="O19" s="57" t="s">
        <v>255</v>
      </c>
      <c r="P19" s="57"/>
      <c r="Q19" s="57"/>
      <c r="R19" s="57"/>
      <c r="S19" s="58"/>
      <c r="T19" s="1"/>
      <c r="U19" s="1"/>
      <c r="V19" s="1"/>
      <c r="W19" s="91" t="s">
        <v>256</v>
      </c>
      <c r="X19" s="532">
        <f>SUM(W12:W18)</f>
        <v>11.925083595168989</v>
      </c>
      <c r="Y19" s="998"/>
      <c r="Z19" s="5"/>
    </row>
    <row r="20" spans="1:26" ht="18">
      <c r="A20" s="5"/>
      <c r="B20" s="118" t="s">
        <v>257</v>
      </c>
      <c r="C20" s="97"/>
      <c r="D20" s="97"/>
      <c r="E20" s="97"/>
      <c r="F20" s="97"/>
      <c r="G20" s="99"/>
      <c r="H20" s="100"/>
      <c r="I20" s="101"/>
      <c r="J20" s="227"/>
      <c r="K20" s="287"/>
      <c r="L20" s="250"/>
      <c r="M20" s="5"/>
      <c r="N20" s="5"/>
      <c r="O20" s="83" t="s">
        <v>258</v>
      </c>
      <c r="P20" s="84"/>
      <c r="Q20" s="84"/>
      <c r="R20" s="84"/>
      <c r="S20" s="102"/>
      <c r="T20" s="999" t="s">
        <v>259</v>
      </c>
      <c r="U20" s="999"/>
      <c r="V20" s="999"/>
      <c r="W20" s="119"/>
      <c r="X20" s="287"/>
      <c r="Y20" s="969"/>
      <c r="Z20" s="5"/>
    </row>
    <row r="21" spans="1:26" ht="18">
      <c r="A21" s="5"/>
      <c r="B21" s="1008" t="s">
        <v>220</v>
      </c>
      <c r="C21" s="1009" t="s">
        <v>221</v>
      </c>
      <c r="D21" s="1010"/>
      <c r="E21" s="1010"/>
      <c r="F21" s="1010"/>
      <c r="G21" s="196" t="s">
        <v>232</v>
      </c>
      <c r="H21" s="196" t="s">
        <v>222</v>
      </c>
      <c r="I21" s="196" t="s">
        <v>223</v>
      </c>
      <c r="J21" s="196" t="s">
        <v>233</v>
      </c>
      <c r="K21" s="5"/>
      <c r="L21" s="250"/>
      <c r="M21" s="5"/>
      <c r="N21" s="5"/>
      <c r="O21" s="104" t="s">
        <v>260</v>
      </c>
      <c r="P21" s="103"/>
      <c r="Q21" s="103"/>
      <c r="R21" s="103"/>
      <c r="S21" s="103"/>
      <c r="T21" s="103"/>
      <c r="U21" s="103"/>
      <c r="V21" s="103"/>
      <c r="W21" s="103"/>
      <c r="X21" s="287"/>
      <c r="Y21" s="970"/>
      <c r="Z21" s="5"/>
    </row>
    <row r="22" spans="1:26" ht="19.5">
      <c r="A22" s="5"/>
      <c r="B22" s="976"/>
      <c r="C22" s="979"/>
      <c r="D22" s="980"/>
      <c r="E22" s="980"/>
      <c r="F22" s="980"/>
      <c r="G22" s="62" t="s">
        <v>228</v>
      </c>
      <c r="H22" s="62" t="s">
        <v>226</v>
      </c>
      <c r="I22" s="197" t="s">
        <v>227</v>
      </c>
      <c r="J22" s="232" t="s">
        <v>229</v>
      </c>
      <c r="K22" s="287"/>
      <c r="L22" s="250"/>
      <c r="M22" s="5"/>
      <c r="N22" s="5"/>
      <c r="O22" s="818" t="s">
        <v>6</v>
      </c>
      <c r="P22" s="818"/>
      <c r="Q22" s="818"/>
      <c r="R22" s="818"/>
      <c r="S22" s="818"/>
      <c r="T22" s="818"/>
      <c r="U22" s="1" t="s">
        <v>261</v>
      </c>
      <c r="V22" s="1" t="s">
        <v>262</v>
      </c>
      <c r="W22" s="119">
        <v>32</v>
      </c>
      <c r="X22" s="287"/>
      <c r="Y22" s="251" t="s">
        <v>263</v>
      </c>
      <c r="Z22" s="5"/>
    </row>
    <row r="23" spans="1:26" ht="19.5">
      <c r="A23" s="5"/>
      <c r="B23" s="155"/>
      <c r="C23" s="981" t="s">
        <v>236</v>
      </c>
      <c r="D23" s="982"/>
      <c r="E23" s="982"/>
      <c r="F23" s="983"/>
      <c r="G23" s="264">
        <f>(($J$37-H42)/$J$38)</f>
        <v>-7.6923076923076927E-2</v>
      </c>
      <c r="H23" s="65">
        <f>(0.05+1.95+0.2*2+0.075)*3.945</f>
        <v>9.7638750000000005</v>
      </c>
      <c r="I23" s="265">
        <f>Parois!L28</f>
        <v>2.642391922017747</v>
      </c>
      <c r="J23" s="266">
        <f t="shared" ref="J23:J28" si="2">G23*H23*I23</f>
        <v>-1.9846141867377718</v>
      </c>
      <c r="K23" s="287"/>
      <c r="L23" s="250"/>
      <c r="M23" s="5"/>
      <c r="N23" s="5"/>
      <c r="O23" s="971" t="s">
        <v>264</v>
      </c>
      <c r="P23" s="971"/>
      <c r="Q23" s="971"/>
      <c r="R23" s="971"/>
      <c r="S23" s="971"/>
      <c r="T23" s="971"/>
      <c r="U23" s="1" t="s">
        <v>265</v>
      </c>
      <c r="V23" s="1" t="s">
        <v>262</v>
      </c>
      <c r="W23" s="119">
        <v>25</v>
      </c>
      <c r="X23" s="287"/>
      <c r="Y23" s="250"/>
      <c r="Z23" s="5"/>
    </row>
    <row r="24" spans="1:26">
      <c r="A24" s="5"/>
      <c r="B24" s="155"/>
      <c r="C24" s="981" t="s">
        <v>238</v>
      </c>
      <c r="D24" s="982"/>
      <c r="E24" s="982"/>
      <c r="F24" s="983"/>
      <c r="G24" s="264">
        <f>(($J$37-H43)/$J$38)</f>
        <v>-0.15384615384615385</v>
      </c>
      <c r="H24" s="65">
        <f>3.945*(3.97+0.3+0.05)-H25</f>
        <v>15.398100000000001</v>
      </c>
      <c r="I24" s="265">
        <f>Parois!L28</f>
        <v>2.642391922017747</v>
      </c>
      <c r="J24" s="266">
        <f t="shared" si="2"/>
        <v>-6.2596638545263801</v>
      </c>
      <c r="K24" s="287"/>
      <c r="L24" s="250"/>
      <c r="M24" s="5"/>
      <c r="N24" s="5"/>
      <c r="O24" s="618"/>
      <c r="P24" s="618"/>
      <c r="Q24" s="618"/>
      <c r="R24" s="618"/>
      <c r="S24" s="618"/>
      <c r="T24" s="618"/>
      <c r="U24" s="101"/>
      <c r="V24" s="101"/>
      <c r="W24" s="227"/>
      <c r="X24" s="287"/>
      <c r="Y24" s="250"/>
      <c r="Z24" s="5"/>
    </row>
    <row r="25" spans="1:26">
      <c r="A25" s="5"/>
      <c r="B25" s="155"/>
      <c r="C25" s="981" t="s">
        <v>240</v>
      </c>
      <c r="D25" s="982"/>
      <c r="E25" s="982"/>
      <c r="F25" s="983"/>
      <c r="G25" s="264">
        <f>(($J$37-H43)/$J$38)</f>
        <v>-0.15384615384615385</v>
      </c>
      <c r="H25" s="65">
        <f>0.81*2.03</f>
        <v>1.6442999999999999</v>
      </c>
      <c r="I25" s="265">
        <v>2.5</v>
      </c>
      <c r="J25" s="266">
        <f t="shared" si="2"/>
        <v>-0.63242307692307698</v>
      </c>
      <c r="K25" s="287"/>
      <c r="L25" s="250"/>
      <c r="M25" s="5"/>
      <c r="N25" s="5"/>
      <c r="O25" s="618"/>
      <c r="P25" s="618"/>
      <c r="Q25" s="618"/>
      <c r="R25" s="618"/>
      <c r="S25" s="618"/>
      <c r="T25" s="618"/>
      <c r="U25" s="101"/>
      <c r="V25" s="101"/>
      <c r="W25" s="227"/>
      <c r="X25" s="287"/>
      <c r="Y25" s="250"/>
      <c r="Z25" s="5"/>
    </row>
    <row r="26" spans="1:26" ht="19.5">
      <c r="A26" s="5"/>
      <c r="B26" s="155"/>
      <c r="C26" s="981" t="s">
        <v>241</v>
      </c>
      <c r="D26" s="982"/>
      <c r="E26" s="982"/>
      <c r="F26" s="983"/>
      <c r="G26" s="264">
        <f>(($J$37-H45)/$J$38)</f>
        <v>-7.6923076923076927E-2</v>
      </c>
      <c r="H26" s="65">
        <f>(4.17+0.05+0.3)*3.945</f>
        <v>17.831399999999999</v>
      </c>
      <c r="I26" s="267">
        <f>Parois!L28</f>
        <v>2.642391922017747</v>
      </c>
      <c r="J26" s="266">
        <f t="shared" si="2"/>
        <v>-3.6244267167897886</v>
      </c>
      <c r="K26" s="287"/>
      <c r="L26" s="250"/>
      <c r="M26" s="5"/>
      <c r="N26" s="5"/>
      <c r="O26" s="997" t="s">
        <v>266</v>
      </c>
      <c r="P26" s="997"/>
      <c r="Q26" s="997"/>
      <c r="R26" s="997"/>
      <c r="S26" s="997"/>
      <c r="T26" s="997"/>
      <c r="U26" s="101" t="s">
        <v>267</v>
      </c>
      <c r="V26" s="101" t="s">
        <v>262</v>
      </c>
      <c r="W26" s="227">
        <f>W22-W23</f>
        <v>7</v>
      </c>
      <c r="X26" s="288"/>
      <c r="Y26" s="250"/>
      <c r="Z26" s="5"/>
    </row>
    <row r="27" spans="1:26">
      <c r="A27" s="5"/>
      <c r="B27" s="155"/>
      <c r="C27" s="862" t="s">
        <v>243</v>
      </c>
      <c r="D27" s="863"/>
      <c r="E27" s="863"/>
      <c r="F27" s="864"/>
      <c r="G27" s="264">
        <f>(($J$37-H44)/$J$38)</f>
        <v>0</v>
      </c>
      <c r="H27" s="269">
        <f>(1.75+0.05+0.2)*3.945-H28</f>
        <v>6.2456999999999994</v>
      </c>
      <c r="I27" s="269">
        <f>Parois!L28</f>
        <v>2.642391922017747</v>
      </c>
      <c r="J27" s="266">
        <f t="shared" si="2"/>
        <v>0</v>
      </c>
      <c r="K27" s="287"/>
      <c r="L27" s="250"/>
      <c r="M27" s="5"/>
      <c r="N27" s="5"/>
      <c r="O27" s="988" t="s">
        <v>268</v>
      </c>
      <c r="P27" s="988"/>
      <c r="Q27" s="988"/>
      <c r="R27" s="988"/>
      <c r="S27" s="988"/>
      <c r="T27" s="988"/>
      <c r="U27" s="988"/>
      <c r="V27" s="988"/>
      <c r="W27" s="988"/>
      <c r="X27" s="234" t="e">
        <f>W26*#REF!</f>
        <v>#REF!</v>
      </c>
      <c r="Y27" s="250"/>
      <c r="Z27" s="5"/>
    </row>
    <row r="28" spans="1:26">
      <c r="A28" s="5"/>
      <c r="B28" s="155"/>
      <c r="C28" s="862" t="s">
        <v>246</v>
      </c>
      <c r="D28" s="863"/>
      <c r="E28" s="863"/>
      <c r="F28" s="864"/>
      <c r="G28" s="264">
        <f>ABS(($J$37-H44)/$J$38)</f>
        <v>0</v>
      </c>
      <c r="H28" s="269">
        <f>0.81*2.03</f>
        <v>1.6442999999999999</v>
      </c>
      <c r="I28" s="269">
        <v>2.5</v>
      </c>
      <c r="J28" s="266">
        <f t="shared" si="2"/>
        <v>0</v>
      </c>
      <c r="K28" s="287"/>
      <c r="L28" s="250"/>
      <c r="M28" s="5"/>
      <c r="N28" s="5"/>
      <c r="O28" s="989" t="s">
        <v>269</v>
      </c>
      <c r="P28" s="989"/>
      <c r="Q28" s="989"/>
      <c r="R28" s="989"/>
      <c r="S28" s="989"/>
      <c r="T28" s="989"/>
      <c r="U28" s="989"/>
      <c r="V28" s="989"/>
      <c r="W28" s="989"/>
      <c r="X28" s="989"/>
      <c r="Y28" s="250"/>
      <c r="Z28" s="5"/>
    </row>
    <row r="29" spans="1:26">
      <c r="A29" s="5"/>
      <c r="B29" s="57"/>
      <c r="C29" s="984" t="s">
        <v>248</v>
      </c>
      <c r="D29" s="985"/>
      <c r="E29" s="985"/>
      <c r="F29" s="985"/>
      <c r="G29" s="264">
        <f>(($J$37-H47)/$J$38)</f>
        <v>0</v>
      </c>
      <c r="H29" s="268">
        <f>(5.35+0.15+0.075)*3.945-H30</f>
        <v>16.872375000000002</v>
      </c>
      <c r="I29" s="268">
        <f>Parois!L42</f>
        <v>1.8115853807007718</v>
      </c>
      <c r="J29" s="266">
        <f>G29*H29*I29</f>
        <v>0</v>
      </c>
      <c r="K29" s="287"/>
      <c r="L29" s="250"/>
      <c r="M29" s="5"/>
      <c r="N29" s="5"/>
      <c r="O29" s="990" t="s">
        <v>270</v>
      </c>
      <c r="P29" s="991"/>
      <c r="Q29" s="991"/>
      <c r="R29" s="991"/>
      <c r="S29" s="991"/>
      <c r="T29" s="992"/>
      <c r="U29" s="241" t="s">
        <v>271</v>
      </c>
      <c r="V29" s="241" t="s">
        <v>272</v>
      </c>
      <c r="W29" s="242" t="s">
        <v>273</v>
      </c>
      <c r="X29" s="235" t="s">
        <v>274</v>
      </c>
      <c r="Y29" s="250"/>
      <c r="Z29" s="5"/>
    </row>
    <row r="30" spans="1:26">
      <c r="A30" s="5"/>
      <c r="B30" s="57"/>
      <c r="C30" s="984" t="s">
        <v>252</v>
      </c>
      <c r="D30" s="985"/>
      <c r="E30" s="985"/>
      <c r="F30" s="986"/>
      <c r="G30" s="264">
        <f>(($J$37-H47)/$J$38)</f>
        <v>0</v>
      </c>
      <c r="H30" s="268">
        <f>4*SUM(Parois!AB25:AC25)</f>
        <v>5.1209999999999996</v>
      </c>
      <c r="I30" s="268">
        <f>Parois!AG25</f>
        <v>1.3800056499332807</v>
      </c>
      <c r="J30" s="266">
        <f>G30*H30*I30</f>
        <v>0</v>
      </c>
      <c r="K30" s="287"/>
      <c r="L30" s="250"/>
      <c r="M30" s="5"/>
      <c r="N30" s="5"/>
      <c r="O30" s="844" t="s">
        <v>236</v>
      </c>
      <c r="P30" s="845"/>
      <c r="Q30" s="845"/>
      <c r="R30" s="845"/>
      <c r="S30" s="845"/>
      <c r="T30" s="846"/>
      <c r="U30" s="246" t="s">
        <v>174</v>
      </c>
      <c r="V30" s="246">
        <f>Données!F25</f>
        <v>26</v>
      </c>
      <c r="W30" s="245" t="s">
        <v>174</v>
      </c>
      <c r="X30" s="245">
        <f t="shared" ref="X30:X36" si="3">W$23-V30</f>
        <v>-1</v>
      </c>
      <c r="Y30" s="251" t="s">
        <v>263</v>
      </c>
      <c r="Z30" s="5"/>
    </row>
    <row r="31" spans="1:26">
      <c r="A31" s="5"/>
      <c r="B31" s="57"/>
      <c r="C31" s="984" t="s">
        <v>253</v>
      </c>
      <c r="D31" s="985"/>
      <c r="E31" s="985"/>
      <c r="F31" s="986"/>
      <c r="G31" s="264">
        <f>(($J$37-H48)/$J$38)</f>
        <v>0</v>
      </c>
      <c r="H31" s="268">
        <f>2*0.3945</f>
        <v>0.78900000000000003</v>
      </c>
      <c r="I31" s="268">
        <f>Parois!L28</f>
        <v>2.642391922017747</v>
      </c>
      <c r="J31" s="266">
        <f>G31*H31*I31</f>
        <v>0</v>
      </c>
      <c r="K31" s="287"/>
      <c r="L31" s="250"/>
      <c r="M31" s="5"/>
      <c r="N31" s="5"/>
      <c r="O31" s="818" t="s">
        <v>238</v>
      </c>
      <c r="P31" s="818"/>
      <c r="Q31" s="818"/>
      <c r="R31" s="818"/>
      <c r="S31" s="818"/>
      <c r="T31" s="818"/>
      <c r="U31" s="245" t="s">
        <v>174</v>
      </c>
      <c r="V31" s="245">
        <f>Données!F29</f>
        <v>26</v>
      </c>
      <c r="W31" s="245" t="s">
        <v>174</v>
      </c>
      <c r="X31" s="245">
        <f t="shared" si="3"/>
        <v>-1</v>
      </c>
      <c r="Y31" s="253" t="s">
        <v>263</v>
      </c>
      <c r="Z31" s="5"/>
    </row>
    <row r="32" spans="1:26">
      <c r="A32" s="5"/>
      <c r="B32" s="1"/>
      <c r="C32" s="984" t="s">
        <v>199</v>
      </c>
      <c r="D32" s="985"/>
      <c r="E32" s="985"/>
      <c r="F32" s="985"/>
      <c r="G32" s="269">
        <f>((Données!G53-Données!G58)/(Données!G53-Données!G11))</f>
        <v>0.30769230769230771</v>
      </c>
      <c r="H32" s="269">
        <f>Données!E52</f>
        <v>18.2075</v>
      </c>
      <c r="I32" s="269">
        <f>Parois!L49</f>
        <v>0.39937430012814151</v>
      </c>
      <c r="J32" s="266">
        <f>G32*H32*I32</f>
        <v>2.2374177137178881</v>
      </c>
      <c r="K32" s="287"/>
      <c r="L32" s="250"/>
      <c r="M32" s="5"/>
      <c r="N32" s="5"/>
      <c r="O32" s="971" t="s">
        <v>275</v>
      </c>
      <c r="P32" s="971"/>
      <c r="Q32" s="971"/>
      <c r="R32" s="971"/>
      <c r="S32" s="971"/>
      <c r="T32" s="971"/>
      <c r="U32" s="245" t="s">
        <v>174</v>
      </c>
      <c r="V32" s="245">
        <f>Données!F33</f>
        <v>25</v>
      </c>
      <c r="W32" s="245" t="s">
        <v>174</v>
      </c>
      <c r="X32" s="245">
        <f t="shared" si="3"/>
        <v>0</v>
      </c>
      <c r="Y32" s="5"/>
      <c r="Z32" s="5"/>
    </row>
    <row r="33" spans="1:26" ht="18">
      <c r="A33" s="5"/>
      <c r="B33" s="57" t="s">
        <v>255</v>
      </c>
      <c r="C33" s="57"/>
      <c r="D33" s="57"/>
      <c r="E33" s="57"/>
      <c r="F33" s="58"/>
      <c r="G33" s="1"/>
      <c r="H33" s="1"/>
      <c r="I33" s="1"/>
      <c r="J33" s="91" t="s">
        <v>256</v>
      </c>
      <c r="K33" s="532">
        <f>J32</f>
        <v>2.2374177137178881</v>
      </c>
      <c r="L33" s="250"/>
      <c r="M33" s="5"/>
      <c r="O33" s="972" t="s">
        <v>241</v>
      </c>
      <c r="P33" s="973"/>
      <c r="Q33" s="973"/>
      <c r="R33" s="973"/>
      <c r="S33" s="973"/>
      <c r="T33" s="974"/>
      <c r="U33" s="247" t="s">
        <v>174</v>
      </c>
      <c r="V33" s="247">
        <f>Données!F30</f>
        <v>24</v>
      </c>
      <c r="W33" s="245" t="s">
        <v>174</v>
      </c>
      <c r="X33" s="245">
        <f t="shared" si="3"/>
        <v>1</v>
      </c>
      <c r="Z33" s="5"/>
    </row>
    <row r="34" spans="1:26" ht="18">
      <c r="A34" s="5"/>
      <c r="B34" s="83" t="s">
        <v>258</v>
      </c>
      <c r="C34" s="84"/>
      <c r="D34" s="84"/>
      <c r="E34" s="84"/>
      <c r="F34" s="102"/>
      <c r="G34" s="999" t="s">
        <v>259</v>
      </c>
      <c r="H34" s="999"/>
      <c r="I34" s="999"/>
      <c r="J34" s="119"/>
      <c r="K34" s="287"/>
      <c r="L34" s="250"/>
      <c r="M34" s="5"/>
      <c r="O34" s="997" t="s">
        <v>199</v>
      </c>
      <c r="P34" s="997"/>
      <c r="Q34" s="997"/>
      <c r="R34" s="997"/>
      <c r="S34" s="997"/>
      <c r="T34" s="997"/>
      <c r="U34" s="247" t="s">
        <v>174</v>
      </c>
      <c r="V34" s="247">
        <f>Données!F58</f>
        <v>20</v>
      </c>
      <c r="W34" s="245"/>
      <c r="X34" s="245">
        <f t="shared" si="3"/>
        <v>5</v>
      </c>
      <c r="Z34" s="5"/>
    </row>
    <row r="35" spans="1:26">
      <c r="A35" s="5"/>
      <c r="B35" s="104" t="s">
        <v>260</v>
      </c>
      <c r="C35" s="103"/>
      <c r="D35" s="103"/>
      <c r="E35" s="103"/>
      <c r="F35" s="103"/>
      <c r="G35" s="103"/>
      <c r="H35" s="103"/>
      <c r="I35" s="103"/>
      <c r="J35" s="103"/>
      <c r="K35" s="287"/>
      <c r="L35" s="250"/>
      <c r="M35" s="5"/>
      <c r="O35" s="862" t="s">
        <v>276</v>
      </c>
      <c r="P35" s="863"/>
      <c r="Q35" s="863"/>
      <c r="R35" s="863"/>
      <c r="S35" s="863"/>
      <c r="T35" s="864"/>
      <c r="U35" s="247" t="s">
        <v>174</v>
      </c>
      <c r="V35" s="247">
        <f>Données!F36</f>
        <v>25</v>
      </c>
      <c r="W35" s="245"/>
      <c r="X35" s="245">
        <f t="shared" si="3"/>
        <v>0</v>
      </c>
      <c r="Z35" s="5"/>
    </row>
    <row r="36" spans="1:26" ht="19.5">
      <c r="A36" s="5"/>
      <c r="B36" s="818" t="s">
        <v>6</v>
      </c>
      <c r="C36" s="818"/>
      <c r="D36" s="818"/>
      <c r="E36" s="818"/>
      <c r="F36" s="818"/>
      <c r="G36" s="818"/>
      <c r="H36" s="1" t="s">
        <v>261</v>
      </c>
      <c r="I36" s="1" t="s">
        <v>262</v>
      </c>
      <c r="J36" s="119">
        <v>-8</v>
      </c>
      <c r="K36" s="287"/>
      <c r="L36" s="250"/>
      <c r="M36" s="5"/>
      <c r="O36" s="862" t="s">
        <v>277</v>
      </c>
      <c r="P36" s="863"/>
      <c r="Q36" s="863"/>
      <c r="R36" s="863"/>
      <c r="S36" s="863"/>
      <c r="T36" s="864"/>
      <c r="U36" s="247" t="s">
        <v>174</v>
      </c>
      <c r="V36" s="247">
        <f>Données!F51</f>
        <v>25</v>
      </c>
      <c r="W36" s="245" t="s">
        <v>174</v>
      </c>
      <c r="X36" s="245">
        <f t="shared" si="3"/>
        <v>0</v>
      </c>
      <c r="Z36" s="5"/>
    </row>
    <row r="37" spans="1:26" ht="19.5">
      <c r="A37" s="5"/>
      <c r="B37" s="971" t="s">
        <v>264</v>
      </c>
      <c r="C37" s="971"/>
      <c r="D37" s="971"/>
      <c r="E37" s="971"/>
      <c r="F37" s="971"/>
      <c r="G37" s="971"/>
      <c r="H37" s="1" t="s">
        <v>265</v>
      </c>
      <c r="I37" s="1" t="s">
        <v>262</v>
      </c>
      <c r="J37" s="119">
        <f>Données!G52</f>
        <v>18</v>
      </c>
      <c r="K37" s="287"/>
      <c r="L37" s="250"/>
      <c r="M37" s="5"/>
      <c r="O37" s="993" t="s">
        <v>278</v>
      </c>
      <c r="P37" s="993"/>
      <c r="Q37" s="993"/>
      <c r="R37" s="993"/>
      <c r="S37" s="993"/>
      <c r="T37" s="993"/>
      <c r="U37" s="993"/>
      <c r="V37" s="993"/>
      <c r="W37" s="993"/>
      <c r="X37" s="249">
        <f>X19*W26</f>
        <v>83.475585166182924</v>
      </c>
      <c r="Z37" s="5"/>
    </row>
    <row r="38" spans="1:26" ht="19.5">
      <c r="A38" s="5"/>
      <c r="B38" s="997" t="s">
        <v>266</v>
      </c>
      <c r="C38" s="997"/>
      <c r="D38" s="997"/>
      <c r="E38" s="997"/>
      <c r="F38" s="997"/>
      <c r="G38" s="997"/>
      <c r="H38" s="101" t="s">
        <v>267</v>
      </c>
      <c r="I38" s="101" t="s">
        <v>262</v>
      </c>
      <c r="J38" s="227">
        <f>J37-J36</f>
        <v>26</v>
      </c>
      <c r="K38" s="287"/>
      <c r="L38" s="250"/>
      <c r="M38" s="5"/>
      <c r="O38" s="987" t="s">
        <v>279</v>
      </c>
      <c r="P38" s="987"/>
      <c r="Q38" s="987"/>
      <c r="R38" s="987"/>
      <c r="S38" s="987"/>
      <c r="T38" s="987"/>
      <c r="U38" s="987"/>
      <c r="V38" s="987"/>
      <c r="W38" s="987"/>
      <c r="X38" s="271" t="e">
        <f>X27+X37</f>
        <v>#REF!</v>
      </c>
      <c r="Z38" s="5"/>
    </row>
    <row r="39" spans="1:26">
      <c r="A39" s="5"/>
      <c r="B39" s="988" t="s">
        <v>280</v>
      </c>
      <c r="C39" s="988"/>
      <c r="D39" s="988"/>
      <c r="E39" s="988"/>
      <c r="F39" s="988"/>
      <c r="G39" s="988"/>
      <c r="H39" s="988"/>
      <c r="I39" s="988"/>
      <c r="J39" s="988"/>
      <c r="K39" s="7">
        <f>(J14+K33)*J38</f>
        <v>930.64034404367976</v>
      </c>
      <c r="L39" s="250"/>
      <c r="M39" s="5"/>
      <c r="O39" s="5"/>
      <c r="P39" s="5"/>
      <c r="Q39" s="5"/>
      <c r="R39" s="5"/>
      <c r="S39" s="5"/>
      <c r="T39" s="5"/>
      <c r="U39" s="5"/>
      <c r="V39" s="5"/>
      <c r="W39" s="5"/>
      <c r="X39" s="5"/>
      <c r="Z39" s="5"/>
    </row>
    <row r="40" spans="1:26">
      <c r="A40" s="5"/>
      <c r="B40" s="492" t="s">
        <v>269</v>
      </c>
      <c r="C40" s="492"/>
      <c r="D40" s="492"/>
      <c r="E40" s="492"/>
      <c r="F40" s="492"/>
      <c r="G40" s="492"/>
      <c r="H40" s="492"/>
      <c r="I40" s="492"/>
      <c r="J40" s="492"/>
      <c r="K40" s="287"/>
      <c r="L40" s="250"/>
      <c r="M40" s="5"/>
      <c r="Z40" s="5"/>
    </row>
    <row r="41" spans="1:26">
      <c r="A41" s="5"/>
      <c r="B41" s="990" t="s">
        <v>270</v>
      </c>
      <c r="C41" s="991"/>
      <c r="D41" s="991"/>
      <c r="E41" s="991"/>
      <c r="F41" s="991"/>
      <c r="G41" s="992"/>
      <c r="H41" s="241" t="s">
        <v>271</v>
      </c>
      <c r="I41" s="241" t="s">
        <v>272</v>
      </c>
      <c r="J41" s="242" t="s">
        <v>273</v>
      </c>
      <c r="K41" s="287"/>
      <c r="L41" s="969"/>
      <c r="M41" s="5"/>
      <c r="Z41" s="5"/>
    </row>
    <row r="42" spans="1:26">
      <c r="A42" s="5"/>
      <c r="B42" s="844" t="s">
        <v>236</v>
      </c>
      <c r="C42" s="845"/>
      <c r="D42" s="845"/>
      <c r="E42" s="845"/>
      <c r="F42" s="845"/>
      <c r="G42" s="846"/>
      <c r="H42" s="246">
        <f>Données!E25</f>
        <v>20</v>
      </c>
      <c r="I42" s="246">
        <f>Données!F25</f>
        <v>26</v>
      </c>
      <c r="J42" s="245">
        <f t="shared" ref="J42:J48" si="4">J$37-H42</f>
        <v>-2</v>
      </c>
      <c r="K42" s="287"/>
      <c r="L42" s="969"/>
      <c r="M42" s="5"/>
      <c r="Z42" s="5"/>
    </row>
    <row r="43" spans="1:26">
      <c r="A43" s="5"/>
      <c r="B43" s="818" t="s">
        <v>238</v>
      </c>
      <c r="C43" s="818"/>
      <c r="D43" s="818"/>
      <c r="E43" s="818"/>
      <c r="F43" s="818"/>
      <c r="G43" s="818"/>
      <c r="H43" s="245">
        <f>Données!E29</f>
        <v>22</v>
      </c>
      <c r="I43" s="245">
        <f>Données!F29</f>
        <v>26</v>
      </c>
      <c r="J43" s="245">
        <f t="shared" si="4"/>
        <v>-4</v>
      </c>
      <c r="K43" s="287"/>
      <c r="L43" s="969"/>
      <c r="M43" s="5"/>
      <c r="Z43" s="5"/>
    </row>
    <row r="44" spans="1:26">
      <c r="A44" s="5"/>
      <c r="B44" s="971" t="s">
        <v>275</v>
      </c>
      <c r="C44" s="971"/>
      <c r="D44" s="971"/>
      <c r="E44" s="971"/>
      <c r="F44" s="971"/>
      <c r="G44" s="971"/>
      <c r="H44" s="245">
        <f>Données!E33</f>
        <v>18</v>
      </c>
      <c r="I44" s="245" t="e">
        <f>Données!#REF!</f>
        <v>#REF!</v>
      </c>
      <c r="J44" s="245">
        <f t="shared" si="4"/>
        <v>0</v>
      </c>
      <c r="K44" s="287"/>
      <c r="L44" s="969"/>
      <c r="M44" s="5"/>
      <c r="Z44" s="5"/>
    </row>
    <row r="45" spans="1:26">
      <c r="A45" s="5"/>
      <c r="B45" s="972" t="s">
        <v>241</v>
      </c>
      <c r="C45" s="973"/>
      <c r="D45" s="973"/>
      <c r="E45" s="973"/>
      <c r="F45" s="973"/>
      <c r="G45" s="974"/>
      <c r="H45" s="247">
        <f>Données!E30</f>
        <v>20</v>
      </c>
      <c r="I45" s="247">
        <f>Données!F30</f>
        <v>24</v>
      </c>
      <c r="J45" s="245">
        <f t="shared" si="4"/>
        <v>-2</v>
      </c>
      <c r="K45" s="287"/>
      <c r="L45" s="969"/>
      <c r="M45" s="5"/>
      <c r="Z45" s="5"/>
    </row>
    <row r="46" spans="1:26">
      <c r="A46" s="5"/>
      <c r="B46" s="997" t="s">
        <v>199</v>
      </c>
      <c r="C46" s="997"/>
      <c r="D46" s="997"/>
      <c r="E46" s="997"/>
      <c r="F46" s="997"/>
      <c r="G46" s="997"/>
      <c r="H46" s="247">
        <f>Données!G58</f>
        <v>10</v>
      </c>
      <c r="I46" s="247">
        <f>Données!F31</f>
        <v>20</v>
      </c>
      <c r="J46" s="245">
        <f t="shared" si="4"/>
        <v>8</v>
      </c>
      <c r="K46" s="287"/>
      <c r="L46" s="969"/>
      <c r="M46" s="5"/>
      <c r="Z46" s="5"/>
    </row>
    <row r="47" spans="1:26" ht="16.5" customHeight="1">
      <c r="A47" s="5"/>
      <c r="B47" s="862" t="s">
        <v>276</v>
      </c>
      <c r="C47" s="863"/>
      <c r="D47" s="863"/>
      <c r="E47" s="863"/>
      <c r="F47" s="863"/>
      <c r="G47" s="864"/>
      <c r="H47" s="247">
        <f>Données!E36</f>
        <v>18</v>
      </c>
      <c r="I47" s="247"/>
      <c r="J47" s="245">
        <f t="shared" si="4"/>
        <v>0</v>
      </c>
      <c r="K47" s="287"/>
      <c r="L47" s="969"/>
      <c r="M47" s="5"/>
      <c r="Z47" s="5"/>
    </row>
    <row r="48" spans="1:26" ht="16.5" customHeight="1">
      <c r="A48" s="5"/>
      <c r="B48" s="862" t="s">
        <v>277</v>
      </c>
      <c r="C48" s="863"/>
      <c r="D48" s="863"/>
      <c r="E48" s="863"/>
      <c r="F48" s="863"/>
      <c r="G48" s="864"/>
      <c r="H48" s="247">
        <v>18</v>
      </c>
      <c r="I48" s="247"/>
      <c r="J48" s="245">
        <f t="shared" si="4"/>
        <v>0</v>
      </c>
      <c r="K48" s="287"/>
      <c r="L48" s="969"/>
      <c r="M48" s="5"/>
      <c r="Z48" s="5"/>
    </row>
    <row r="49" spans="1:26" ht="16.5" customHeight="1">
      <c r="A49" s="5"/>
      <c r="B49" s="993" t="s">
        <v>278</v>
      </c>
      <c r="C49" s="993"/>
      <c r="D49" s="993"/>
      <c r="E49" s="993"/>
      <c r="F49" s="993"/>
      <c r="G49" s="993"/>
      <c r="H49" s="993"/>
      <c r="I49" s="993"/>
      <c r="J49" s="993"/>
      <c r="K49" s="287"/>
      <c r="L49" s="969"/>
      <c r="M49" s="5"/>
      <c r="Z49" s="5"/>
    </row>
    <row r="50" spans="1:26" ht="16.5" customHeight="1">
      <c r="A50" s="5"/>
      <c r="B50" s="987" t="s">
        <v>279</v>
      </c>
      <c r="C50" s="987"/>
      <c r="D50" s="987"/>
      <c r="E50" s="987"/>
      <c r="F50" s="987"/>
      <c r="G50" s="987"/>
      <c r="H50" s="987"/>
      <c r="I50" s="987"/>
      <c r="J50" s="987"/>
      <c r="K50" s="287"/>
      <c r="L50" s="969"/>
      <c r="M50" s="5"/>
      <c r="Z50" s="5"/>
    </row>
    <row r="51" spans="1:26" ht="18" customHeight="1">
      <c r="A51" s="5"/>
      <c r="B51" s="5"/>
      <c r="C51" s="5"/>
      <c r="D51" s="5"/>
      <c r="E51" s="5"/>
      <c r="F51" s="5"/>
      <c r="G51" s="5"/>
      <c r="H51" s="5"/>
      <c r="I51" s="5"/>
      <c r="J51" s="5"/>
      <c r="K51" s="532">
        <f>J32</f>
        <v>2.2374177137178881</v>
      </c>
      <c r="L51" s="969"/>
      <c r="M51" s="5"/>
      <c r="Z51" s="5"/>
    </row>
    <row r="52" spans="1:26" ht="16.5" customHeight="1">
      <c r="A52" s="5"/>
      <c r="B52" s="5"/>
      <c r="C52" s="5"/>
      <c r="D52" s="5"/>
      <c r="E52" s="5"/>
      <c r="F52" s="5"/>
      <c r="G52" s="5"/>
      <c r="H52" s="5"/>
      <c r="I52" s="5"/>
      <c r="J52" s="5"/>
      <c r="K52" s="287"/>
      <c r="L52" s="969"/>
      <c r="M52" s="5"/>
      <c r="Z52" s="5"/>
    </row>
    <row r="53" spans="1:26">
      <c r="A53" s="5"/>
      <c r="B53" s="5"/>
      <c r="C53" s="5"/>
      <c r="D53" s="5"/>
      <c r="E53" s="5"/>
      <c r="F53" s="5"/>
      <c r="G53" s="5"/>
      <c r="H53" s="5"/>
      <c r="I53" s="5"/>
      <c r="J53" s="5"/>
      <c r="K53" s="287"/>
      <c r="L53" s="969"/>
      <c r="M53" s="5"/>
      <c r="Z53" s="5"/>
    </row>
    <row r="54" spans="1:26">
      <c r="A54" s="5"/>
      <c r="B54" s="5"/>
      <c r="C54" s="5"/>
      <c r="D54" s="5"/>
      <c r="E54" s="5"/>
      <c r="F54" s="5"/>
      <c r="G54" s="5"/>
      <c r="H54" s="5"/>
      <c r="I54" s="5"/>
      <c r="J54" s="5"/>
      <c r="K54" s="287"/>
      <c r="L54" s="969"/>
      <c r="M54" s="5"/>
      <c r="Z54" s="5"/>
    </row>
    <row r="55" spans="1:26">
      <c r="A55" s="5"/>
      <c r="B55" s="5"/>
      <c r="C55" s="5"/>
      <c r="D55" s="5"/>
      <c r="E55" s="5"/>
      <c r="F55" s="5"/>
      <c r="G55" s="5"/>
      <c r="H55" s="5"/>
      <c r="I55" s="5"/>
      <c r="J55" s="5"/>
      <c r="K55" s="287"/>
      <c r="L55" s="969"/>
      <c r="M55" s="5"/>
      <c r="Z55" s="5"/>
    </row>
    <row r="56" spans="1:26">
      <c r="A56" s="5"/>
      <c r="K56" s="288"/>
      <c r="L56" s="970"/>
      <c r="M56" s="5"/>
      <c r="Z56" s="5"/>
    </row>
    <row r="57" spans="1:26" ht="19.5" customHeight="1">
      <c r="A57" s="5"/>
      <c r="K57" s="234" t="e">
        <f>(K21+#REF!+K51)*J38</f>
        <v>#REF!</v>
      </c>
      <c r="L57" s="251" t="s">
        <v>263</v>
      </c>
      <c r="M57" s="5"/>
      <c r="Z57" s="5"/>
    </row>
    <row r="58" spans="1:26" ht="19.5" customHeight="1">
      <c r="A58" s="5"/>
      <c r="K58" s="492"/>
      <c r="L58" s="250"/>
      <c r="M58" s="5"/>
      <c r="Z58" s="5"/>
    </row>
    <row r="59" spans="1:26">
      <c r="A59" s="5"/>
      <c r="K59" s="235" t="s">
        <v>274</v>
      </c>
      <c r="L59" s="250"/>
      <c r="M59" s="5"/>
      <c r="Z59" s="5"/>
    </row>
    <row r="60" spans="1:26">
      <c r="A60" s="5"/>
      <c r="K60" s="245">
        <f>$J$37-I42</f>
        <v>-8</v>
      </c>
      <c r="L60" s="250"/>
      <c r="M60" s="5"/>
      <c r="Z60" s="5"/>
    </row>
    <row r="61" spans="1:26">
      <c r="A61" s="5"/>
      <c r="K61" s="245">
        <f>$J$37-I43</f>
        <v>-8</v>
      </c>
      <c r="L61" s="250"/>
      <c r="M61" s="5"/>
      <c r="Z61" s="5"/>
    </row>
    <row r="62" spans="1:26">
      <c r="A62" s="5"/>
      <c r="K62" s="245">
        <f>$J$37-H44</f>
        <v>0</v>
      </c>
      <c r="L62" s="250"/>
      <c r="M62" s="5"/>
      <c r="Z62" s="5"/>
    </row>
    <row r="63" spans="1:26">
      <c r="A63" s="5"/>
      <c r="K63" s="245">
        <f>$J$37-I45</f>
        <v>-6</v>
      </c>
      <c r="L63" s="250"/>
      <c r="M63" s="5"/>
    </row>
    <row r="64" spans="1:26">
      <c r="A64" s="5"/>
      <c r="K64" s="245">
        <f>$J$37-I46</f>
        <v>-2</v>
      </c>
      <c r="L64" s="250"/>
      <c r="M64" s="5"/>
    </row>
    <row r="65" spans="1:13">
      <c r="A65" s="5"/>
      <c r="K65" s="245"/>
      <c r="L65" s="250"/>
      <c r="M65" s="5"/>
    </row>
    <row r="66" spans="1:13">
      <c r="A66" s="5"/>
      <c r="K66" s="245"/>
      <c r="L66" s="250"/>
      <c r="M66" s="5"/>
    </row>
    <row r="67" spans="1:13">
      <c r="A67" s="5"/>
      <c r="K67" s="249"/>
      <c r="L67" s="251" t="s">
        <v>263</v>
      </c>
      <c r="M67" s="5"/>
    </row>
    <row r="68" spans="1:13" ht="18.75">
      <c r="A68" s="5"/>
      <c r="K68" s="271"/>
      <c r="L68" s="253" t="s">
        <v>263</v>
      </c>
      <c r="M68" s="5"/>
    </row>
    <row r="69" spans="1:13">
      <c r="A69" s="5"/>
      <c r="K69" s="5"/>
      <c r="L69" s="5"/>
      <c r="M69" s="5"/>
    </row>
    <row r="70" spans="1:13">
      <c r="A70" s="5"/>
      <c r="K70" s="5"/>
      <c r="L70" s="5"/>
      <c r="M70" s="5"/>
    </row>
    <row r="71" spans="1:13">
      <c r="A71" s="5"/>
      <c r="K71" s="5"/>
      <c r="L71" s="5"/>
      <c r="M71" s="5"/>
    </row>
    <row r="72" spans="1:13">
      <c r="A72" s="5"/>
      <c r="K72" s="5"/>
      <c r="L72" s="5"/>
      <c r="M72" s="5"/>
    </row>
    <row r="73" spans="1:13">
      <c r="A73" s="5"/>
      <c r="K73" s="5"/>
      <c r="L73" s="5"/>
      <c r="M73" s="5"/>
    </row>
    <row r="74" spans="1:13">
      <c r="A74" s="5"/>
    </row>
    <row r="75" spans="1:13">
      <c r="A75" s="5"/>
    </row>
    <row r="76" spans="1:13">
      <c r="A76" s="5"/>
    </row>
    <row r="77" spans="1:13">
      <c r="A77" s="5"/>
    </row>
    <row r="78" spans="1:13">
      <c r="A78" s="5"/>
    </row>
    <row r="79" spans="1:13">
      <c r="A79" s="5"/>
    </row>
    <row r="80" spans="1:13">
      <c r="A80" s="5"/>
    </row>
    <row r="81" spans="1:1">
      <c r="A81" s="5"/>
    </row>
    <row r="82" spans="1:1">
      <c r="A82" s="5"/>
    </row>
    <row r="83" spans="1:1">
      <c r="A83" s="5"/>
    </row>
    <row r="84" spans="1:1">
      <c r="A84" s="5"/>
    </row>
    <row r="85" spans="1:1">
      <c r="A85" s="5"/>
    </row>
    <row r="86" spans="1:1">
      <c r="A86" s="5"/>
    </row>
    <row r="87" spans="1:1">
      <c r="A87" s="5"/>
    </row>
    <row r="88" spans="1:1">
      <c r="A88" s="5"/>
    </row>
    <row r="89" spans="1:1">
      <c r="A89" s="5"/>
    </row>
    <row r="90" spans="1:1">
      <c r="A90" s="5"/>
    </row>
  </sheetData>
  <mergeCells count="74">
    <mergeCell ref="B50:J50"/>
    <mergeCell ref="B49:J49"/>
    <mergeCell ref="B39:J39"/>
    <mergeCell ref="B46:G46"/>
    <mergeCell ref="B45:G45"/>
    <mergeCell ref="B44:G44"/>
    <mergeCell ref="B43:G43"/>
    <mergeCell ref="B42:G42"/>
    <mergeCell ref="B41:G41"/>
    <mergeCell ref="B47:G47"/>
    <mergeCell ref="B48:G48"/>
    <mergeCell ref="B38:G38"/>
    <mergeCell ref="B21:B22"/>
    <mergeCell ref="C21:F22"/>
    <mergeCell ref="C23:F23"/>
    <mergeCell ref="C26:F26"/>
    <mergeCell ref="C29:F29"/>
    <mergeCell ref="C28:F28"/>
    <mergeCell ref="C27:F27"/>
    <mergeCell ref="C30:F30"/>
    <mergeCell ref="C31:F31"/>
    <mergeCell ref="C32:F32"/>
    <mergeCell ref="G34:I34"/>
    <mergeCell ref="B36:G36"/>
    <mergeCell ref="B37:G37"/>
    <mergeCell ref="A2:L3"/>
    <mergeCell ref="C24:F24"/>
    <mergeCell ref="C25:F25"/>
    <mergeCell ref="C9:F9"/>
    <mergeCell ref="C10:F10"/>
    <mergeCell ref="B15:J15"/>
    <mergeCell ref="B19:J19"/>
    <mergeCell ref="B4:J4"/>
    <mergeCell ref="B5:B6"/>
    <mergeCell ref="C5:F6"/>
    <mergeCell ref="C7:F7"/>
    <mergeCell ref="C8:F8"/>
    <mergeCell ref="C11:F11"/>
    <mergeCell ref="C12:F12"/>
    <mergeCell ref="B13:I13"/>
    <mergeCell ref="B16:B17"/>
    <mergeCell ref="Y9:Y21"/>
    <mergeCell ref="P10:S10"/>
    <mergeCell ref="P11:S11"/>
    <mergeCell ref="P12:S12"/>
    <mergeCell ref="P14:S14"/>
    <mergeCell ref="T20:V20"/>
    <mergeCell ref="O36:T36"/>
    <mergeCell ref="O37:W37"/>
    <mergeCell ref="C16:F17"/>
    <mergeCell ref="C18:F18"/>
    <mergeCell ref="B14:G14"/>
    <mergeCell ref="O31:T31"/>
    <mergeCell ref="O34:T34"/>
    <mergeCell ref="O35:T35"/>
    <mergeCell ref="O22:T22"/>
    <mergeCell ref="O23:T23"/>
    <mergeCell ref="O26:T26"/>
    <mergeCell ref="L41:L56"/>
    <mergeCell ref="O32:T32"/>
    <mergeCell ref="O33:T33"/>
    <mergeCell ref="O7:O8"/>
    <mergeCell ref="P7:S8"/>
    <mergeCell ref="P9:S9"/>
    <mergeCell ref="P13:S13"/>
    <mergeCell ref="P15:S15"/>
    <mergeCell ref="P16:S16"/>
    <mergeCell ref="P17:S17"/>
    <mergeCell ref="P18:S18"/>
    <mergeCell ref="O38:W38"/>
    <mergeCell ref="O27:W27"/>
    <mergeCell ref="O28:X28"/>
    <mergeCell ref="O29:T29"/>
    <mergeCell ref="O30:T30"/>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0BFD5B-C122-4977-BC73-8E8539DC67F2}">
  <sheetPr codeName="Feuil4"/>
  <dimension ref="A1:AD114"/>
  <sheetViews>
    <sheetView topLeftCell="E1" zoomScale="63" zoomScaleNormal="63" workbookViewId="0">
      <selection activeCell="Z35" sqref="Z35"/>
    </sheetView>
  </sheetViews>
  <sheetFormatPr baseColWidth="10" defaultColWidth="11" defaultRowHeight="15.75"/>
  <cols>
    <col min="7" max="10" width="11.75" bestFit="1" customWidth="1"/>
  </cols>
  <sheetData>
    <row r="1" spans="1:28">
      <c r="A1" s="5"/>
      <c r="B1" s="5"/>
      <c r="C1" s="5"/>
      <c r="D1" s="5"/>
      <c r="E1" s="5"/>
      <c r="F1" s="5"/>
      <c r="G1" s="5"/>
      <c r="H1" s="5"/>
      <c r="I1" s="5"/>
      <c r="J1" s="5"/>
      <c r="K1" s="5"/>
      <c r="L1" s="5"/>
      <c r="M1" s="5"/>
    </row>
    <row r="2" spans="1:28">
      <c r="A2" s="1000" t="s">
        <v>281</v>
      </c>
      <c r="B2" s="1000"/>
      <c r="C2" s="1000"/>
      <c r="D2" s="1000"/>
      <c r="E2" s="1000"/>
      <c r="F2" s="1000"/>
      <c r="G2" s="1000"/>
      <c r="H2" s="1000"/>
      <c r="I2" s="1000"/>
      <c r="J2" s="1000"/>
      <c r="K2" s="1000"/>
      <c r="L2" s="1000"/>
      <c r="M2" s="5"/>
      <c r="P2" s="5"/>
      <c r="Q2" s="5"/>
      <c r="R2" s="5"/>
      <c r="S2" s="5"/>
      <c r="T2" s="5"/>
      <c r="U2" s="5"/>
      <c r="V2" s="5"/>
      <c r="W2" s="5"/>
      <c r="X2" s="5"/>
      <c r="Y2" s="5"/>
      <c r="Z2" s="5"/>
      <c r="AA2" s="5"/>
      <c r="AB2" s="5"/>
    </row>
    <row r="3" spans="1:28">
      <c r="A3" s="1000"/>
      <c r="B3" s="1000"/>
      <c r="C3" s="1000"/>
      <c r="D3" s="1000"/>
      <c r="E3" s="1000"/>
      <c r="F3" s="1000"/>
      <c r="G3" s="1000"/>
      <c r="H3" s="1000"/>
      <c r="I3" s="1000"/>
      <c r="J3" s="1000"/>
      <c r="K3" s="1000"/>
      <c r="L3" s="1000"/>
      <c r="M3" s="5"/>
      <c r="P3" s="5"/>
      <c r="Q3" s="5"/>
      <c r="R3" s="5"/>
      <c r="S3" s="5"/>
      <c r="T3" s="5"/>
      <c r="U3" s="5"/>
      <c r="V3" s="5"/>
      <c r="W3" s="5"/>
      <c r="X3" s="5"/>
      <c r="Y3" s="5"/>
      <c r="Z3" s="5"/>
      <c r="AA3" s="5"/>
      <c r="AB3" s="5"/>
    </row>
    <row r="4" spans="1:28">
      <c r="A4" s="5"/>
      <c r="B4" s="1001" t="s">
        <v>219</v>
      </c>
      <c r="C4" s="1001"/>
      <c r="D4" s="1001"/>
      <c r="E4" s="1001"/>
      <c r="F4" s="1001"/>
      <c r="G4" s="1001"/>
      <c r="H4" s="1001"/>
      <c r="I4" s="1001"/>
      <c r="J4" s="1001"/>
      <c r="K4" s="286"/>
      <c r="L4" s="250"/>
      <c r="M4" s="5"/>
      <c r="P4" s="5"/>
      <c r="Q4" s="656" t="s">
        <v>230</v>
      </c>
      <c r="R4" s="657"/>
      <c r="S4" s="657"/>
      <c r="T4" s="657"/>
      <c r="U4" s="657"/>
      <c r="V4" s="657"/>
      <c r="W4" s="657"/>
      <c r="X4" s="101"/>
      <c r="Y4" s="227"/>
      <c r="Z4" s="287"/>
      <c r="AA4" s="250"/>
      <c r="AB4" s="5"/>
    </row>
    <row r="5" spans="1:28" ht="18">
      <c r="A5" s="5"/>
      <c r="B5" s="994" t="s">
        <v>220</v>
      </c>
      <c r="C5" s="994" t="s">
        <v>221</v>
      </c>
      <c r="D5" s="994"/>
      <c r="E5" s="994"/>
      <c r="F5" s="994"/>
      <c r="G5" s="108" t="s">
        <v>222</v>
      </c>
      <c r="H5" s="108" t="s">
        <v>223</v>
      </c>
      <c r="I5" s="108" t="s">
        <v>224</v>
      </c>
      <c r="J5" s="91" t="s">
        <v>225</v>
      </c>
      <c r="K5" s="287"/>
      <c r="L5" s="250"/>
      <c r="M5" s="5"/>
      <c r="P5" s="5"/>
      <c r="Q5" s="975" t="s">
        <v>220</v>
      </c>
      <c r="R5" s="977" t="s">
        <v>221</v>
      </c>
      <c r="S5" s="978"/>
      <c r="T5" s="978"/>
      <c r="U5" s="978"/>
      <c r="V5" s="654" t="s">
        <v>232</v>
      </c>
      <c r="W5" s="654" t="s">
        <v>222</v>
      </c>
      <c r="X5" s="196" t="s">
        <v>223</v>
      </c>
      <c r="Y5" s="231" t="s">
        <v>233</v>
      </c>
      <c r="Z5" s="287"/>
      <c r="AA5" s="250"/>
      <c r="AB5" s="5"/>
    </row>
    <row r="6" spans="1:28" ht="18.75">
      <c r="A6" s="5"/>
      <c r="B6" s="994"/>
      <c r="C6" s="994"/>
      <c r="D6" s="994"/>
      <c r="E6" s="994"/>
      <c r="F6" s="994"/>
      <c r="G6" s="2" t="s">
        <v>226</v>
      </c>
      <c r="H6" s="89" t="s">
        <v>227</v>
      </c>
      <c r="I6" s="89" t="s">
        <v>228</v>
      </c>
      <c r="J6" s="92" t="s">
        <v>229</v>
      </c>
      <c r="K6" s="287"/>
      <c r="L6" s="250"/>
      <c r="M6" s="5"/>
      <c r="P6" s="5"/>
      <c r="Q6" s="976"/>
      <c r="R6" s="979"/>
      <c r="S6" s="980"/>
      <c r="T6" s="980"/>
      <c r="U6" s="980"/>
      <c r="V6" s="62" t="s">
        <v>228</v>
      </c>
      <c r="W6" s="62" t="s">
        <v>226</v>
      </c>
      <c r="X6" s="197" t="s">
        <v>227</v>
      </c>
      <c r="Y6" s="232" t="s">
        <v>229</v>
      </c>
      <c r="Z6" s="287"/>
      <c r="AA6" s="250"/>
      <c r="AB6" s="5"/>
    </row>
    <row r="7" spans="1:28">
      <c r="A7" s="5"/>
      <c r="B7" s="2"/>
      <c r="C7" s="818" t="s">
        <v>174</v>
      </c>
      <c r="D7" s="818"/>
      <c r="E7" s="818"/>
      <c r="F7" s="818"/>
      <c r="G7" s="1"/>
      <c r="H7" s="1"/>
      <c r="I7" s="1"/>
      <c r="J7" s="230"/>
      <c r="K7" s="287"/>
      <c r="L7" s="250"/>
      <c r="M7" s="5"/>
      <c r="P7" s="5"/>
      <c r="Q7" s="155"/>
      <c r="R7" s="981" t="s">
        <v>236</v>
      </c>
      <c r="S7" s="981"/>
      <c r="T7" s="981"/>
      <c r="U7" s="981"/>
      <c r="V7" s="264">
        <f>Z28/Y24</f>
        <v>-0.14285714285714285</v>
      </c>
      <c r="W7" s="65">
        <f>(5.225+1.95+0.05+0.075)*3.945</f>
        <v>28.798499999999997</v>
      </c>
      <c r="X7" s="265">
        <f>Parois!L28</f>
        <v>2.642391922017747</v>
      </c>
      <c r="Y7" s="266">
        <f t="shared" ref="Y7:Y12" si="0">V7*W7*X7</f>
        <v>-10.870989109461155</v>
      </c>
      <c r="Z7" s="287"/>
      <c r="AA7" s="969"/>
      <c r="AB7" s="5"/>
    </row>
    <row r="8" spans="1:28" ht="19.5" customHeight="1">
      <c r="A8" s="5"/>
      <c r="B8" s="1029" t="s">
        <v>282</v>
      </c>
      <c r="C8" s="1029"/>
      <c r="D8" s="1029"/>
      <c r="E8" s="1029"/>
      <c r="F8" s="1029"/>
      <c r="G8" s="1029"/>
      <c r="H8" s="1029"/>
      <c r="I8" s="1029"/>
      <c r="J8" s="95">
        <f>0</f>
        <v>0</v>
      </c>
      <c r="K8" s="287"/>
      <c r="L8" s="250"/>
      <c r="M8" s="5"/>
      <c r="P8" s="5"/>
      <c r="Q8" s="155"/>
      <c r="R8" s="981" t="s">
        <v>283</v>
      </c>
      <c r="S8" s="981"/>
      <c r="T8" s="981"/>
      <c r="U8" s="981"/>
      <c r="V8" s="264">
        <f>Z29/Y24</f>
        <v>-0.14285714285714285</v>
      </c>
      <c r="W8" s="65">
        <f>(1.79+0.1+0.05)*3.945</f>
        <v>7.6533000000000007</v>
      </c>
      <c r="X8" s="265">
        <f>Parois!L28</f>
        <v>2.642391922017747</v>
      </c>
      <c r="Y8" s="266">
        <f t="shared" si="0"/>
        <v>-2.8890025852540604</v>
      </c>
      <c r="Z8" s="287"/>
      <c r="AA8" s="969"/>
      <c r="AB8" s="5"/>
    </row>
    <row r="9" spans="1:28" ht="18" customHeight="1">
      <c r="A9" s="5"/>
      <c r="B9" s="995" t="s">
        <v>244</v>
      </c>
      <c r="C9" s="995"/>
      <c r="D9" s="995"/>
      <c r="E9" s="995"/>
      <c r="F9" s="995"/>
      <c r="G9" s="995"/>
      <c r="H9" s="1028" t="s">
        <v>245</v>
      </c>
      <c r="I9" s="1028"/>
      <c r="J9" s="1028"/>
      <c r="K9" s="287"/>
      <c r="L9" s="250"/>
      <c r="M9" s="5"/>
      <c r="P9" s="5"/>
      <c r="Q9" s="155"/>
      <c r="R9" s="862" t="s">
        <v>284</v>
      </c>
      <c r="S9" s="862"/>
      <c r="T9" s="862"/>
      <c r="U9" s="862"/>
      <c r="V9" s="264">
        <f>Z31/Y24</f>
        <v>0</v>
      </c>
      <c r="W9" s="269">
        <f>(3.975+0.1+0.075)*3.945</f>
        <v>16.371750000000002</v>
      </c>
      <c r="X9" s="265">
        <f>Parois!L28</f>
        <v>2.642391922017747</v>
      </c>
      <c r="Y9" s="266">
        <f t="shared" si="0"/>
        <v>0</v>
      </c>
      <c r="Z9" s="287"/>
      <c r="AA9" s="969"/>
      <c r="AB9" s="5"/>
    </row>
    <row r="10" spans="1:28">
      <c r="A10" s="5"/>
      <c r="B10" s="1001" t="s">
        <v>247</v>
      </c>
      <c r="C10" s="1001"/>
      <c r="D10" s="1001"/>
      <c r="E10" s="1001"/>
      <c r="F10" s="1001"/>
      <c r="G10" s="1001"/>
      <c r="H10" s="1001"/>
      <c r="I10" s="1001"/>
      <c r="J10" s="1001"/>
      <c r="K10" s="287"/>
      <c r="L10" s="250"/>
      <c r="M10" s="5"/>
      <c r="P10" s="5"/>
      <c r="Q10" s="155"/>
      <c r="R10" s="862" t="s">
        <v>285</v>
      </c>
      <c r="S10" s="863"/>
      <c r="T10" s="863"/>
      <c r="U10" s="864"/>
      <c r="V10" s="264">
        <f>Z30/Y24</f>
        <v>0</v>
      </c>
      <c r="W10" s="269">
        <f>(5.35+0.15+0.075)*3.945</f>
        <v>21.993375</v>
      </c>
      <c r="X10" s="267">
        <f>Parois!L42</f>
        <v>1.8115853807007718</v>
      </c>
      <c r="Y10" s="266">
        <f t="shared" si="0"/>
        <v>0</v>
      </c>
      <c r="Z10" s="287"/>
      <c r="AA10" s="969"/>
      <c r="AB10" s="5"/>
    </row>
    <row r="11" spans="1:28" ht="18" customHeight="1">
      <c r="A11" s="5"/>
      <c r="B11" s="994" t="s">
        <v>220</v>
      </c>
      <c r="C11" s="994" t="s">
        <v>249</v>
      </c>
      <c r="D11" s="994"/>
      <c r="E11" s="994"/>
      <c r="F11" s="994"/>
      <c r="G11" s="108" t="s">
        <v>222</v>
      </c>
      <c r="H11" s="108" t="s">
        <v>223</v>
      </c>
      <c r="I11" s="108" t="s">
        <v>250</v>
      </c>
      <c r="J11" s="109" t="s">
        <v>251</v>
      </c>
      <c r="K11" s="287"/>
      <c r="L11" s="250"/>
      <c r="M11" s="5"/>
      <c r="P11" s="5"/>
      <c r="Q11" s="155"/>
      <c r="R11" s="862" t="s">
        <v>286</v>
      </c>
      <c r="S11" s="863"/>
      <c r="T11" s="863"/>
      <c r="U11" s="864"/>
      <c r="V11" s="264">
        <f>Z30/Y24</f>
        <v>0</v>
      </c>
      <c r="W11" s="269">
        <f>4*SUM(Parois!AB25:AC25)</f>
        <v>5.1209999999999996</v>
      </c>
      <c r="X11" s="269">
        <f>Parois!AG25</f>
        <v>1.3800056499332807</v>
      </c>
      <c r="Y11" s="266">
        <f t="shared" si="0"/>
        <v>0</v>
      </c>
      <c r="Z11" s="287"/>
      <c r="AA11" s="969"/>
      <c r="AB11" s="5"/>
    </row>
    <row r="12" spans="1:28" ht="18" customHeight="1">
      <c r="A12" s="5"/>
      <c r="B12" s="994"/>
      <c r="C12" s="994"/>
      <c r="D12" s="994"/>
      <c r="E12" s="994"/>
      <c r="F12" s="994"/>
      <c r="G12" s="2" t="s">
        <v>226</v>
      </c>
      <c r="H12" s="89" t="s">
        <v>227</v>
      </c>
      <c r="I12" s="89" t="s">
        <v>228</v>
      </c>
      <c r="J12" s="92" t="s">
        <v>229</v>
      </c>
      <c r="K12" s="287"/>
      <c r="L12" s="250"/>
      <c r="M12" s="5"/>
      <c r="P12" s="5"/>
      <c r="Q12" s="57"/>
      <c r="R12" s="862" t="s">
        <v>199</v>
      </c>
      <c r="S12" s="863"/>
      <c r="T12" s="863"/>
      <c r="U12" s="864"/>
      <c r="V12" s="264">
        <f>Z32/Y24</f>
        <v>0.7142857142857143</v>
      </c>
      <c r="W12" s="269">
        <f>Données!E36</f>
        <v>18</v>
      </c>
      <c r="X12" s="269">
        <f>Parois!L49</f>
        <v>0.39937430012814151</v>
      </c>
      <c r="Y12" s="266">
        <f t="shared" si="0"/>
        <v>5.1348124302189628</v>
      </c>
      <c r="Z12" s="287"/>
      <c r="AA12" s="969"/>
      <c r="AB12" s="5"/>
    </row>
    <row r="13" spans="1:28">
      <c r="A13" s="5"/>
      <c r="B13" s="1004" t="s">
        <v>254</v>
      </c>
      <c r="C13" s="1026"/>
      <c r="D13" s="1026"/>
      <c r="E13" s="1026"/>
      <c r="F13" s="1026"/>
      <c r="G13" s="1026"/>
      <c r="H13" s="1026"/>
      <c r="I13" s="1026"/>
      <c r="J13" s="1027"/>
      <c r="K13" s="503">
        <f>J8</f>
        <v>0</v>
      </c>
      <c r="L13" s="250"/>
      <c r="M13" s="5"/>
      <c r="P13" s="5"/>
      <c r="Q13" s="57"/>
      <c r="R13" s="984"/>
      <c r="S13" s="985"/>
      <c r="T13" s="985"/>
      <c r="U13" s="985"/>
      <c r="V13" s="264"/>
      <c r="W13" s="268"/>
      <c r="X13" s="268"/>
      <c r="Y13" s="266"/>
      <c r="Z13" s="287"/>
      <c r="AA13" s="969"/>
      <c r="AB13" s="5"/>
    </row>
    <row r="14" spans="1:28" ht="18.75">
      <c r="A14" s="5"/>
      <c r="B14" s="98" t="s">
        <v>287</v>
      </c>
      <c r="C14" s="98"/>
      <c r="D14" s="98"/>
      <c r="E14" s="98"/>
      <c r="F14" s="98"/>
      <c r="G14" s="98"/>
      <c r="H14" s="1030" t="s">
        <v>288</v>
      </c>
      <c r="I14" s="1030"/>
      <c r="J14" s="1030"/>
      <c r="K14" s="287"/>
      <c r="L14" s="250"/>
      <c r="M14" s="5"/>
      <c r="P14" s="5"/>
      <c r="Q14" s="57"/>
      <c r="R14" s="984"/>
      <c r="S14" s="985"/>
      <c r="T14" s="985"/>
      <c r="U14" s="986"/>
      <c r="V14" s="264"/>
      <c r="W14" s="268"/>
      <c r="X14" s="268"/>
      <c r="Y14" s="266"/>
      <c r="Z14" s="287"/>
      <c r="AA14" s="969"/>
      <c r="AB14" s="5"/>
    </row>
    <row r="15" spans="1:28">
      <c r="A15" s="5"/>
      <c r="B15" s="118" t="s">
        <v>257</v>
      </c>
      <c r="C15" s="97"/>
      <c r="D15" s="97"/>
      <c r="E15" s="97"/>
      <c r="F15" s="97"/>
      <c r="G15" s="99"/>
      <c r="H15" s="100"/>
      <c r="I15" s="101"/>
      <c r="J15" s="227"/>
      <c r="K15" s="287"/>
      <c r="L15" s="250"/>
      <c r="M15" s="5"/>
      <c r="P15" s="5"/>
      <c r="Q15" s="57"/>
      <c r="R15" s="984"/>
      <c r="S15" s="985"/>
      <c r="T15" s="985"/>
      <c r="U15" s="986"/>
      <c r="V15" s="264"/>
      <c r="W15" s="268"/>
      <c r="X15" s="268"/>
      <c r="Y15" s="266"/>
      <c r="Z15" s="287"/>
      <c r="AA15" s="969"/>
      <c r="AB15" s="5"/>
    </row>
    <row r="16" spans="1:28" ht="18">
      <c r="A16" s="5"/>
      <c r="B16" s="1008" t="s">
        <v>220</v>
      </c>
      <c r="C16" s="1009" t="s">
        <v>221</v>
      </c>
      <c r="D16" s="1009"/>
      <c r="E16" s="1009"/>
      <c r="F16" s="1009"/>
      <c r="G16" s="196" t="s">
        <v>232</v>
      </c>
      <c r="H16" s="196" t="s">
        <v>222</v>
      </c>
      <c r="I16" s="196" t="s">
        <v>223</v>
      </c>
      <c r="J16" s="231" t="s">
        <v>233</v>
      </c>
      <c r="K16" s="287"/>
      <c r="L16" s="250"/>
      <c r="M16" s="5"/>
      <c r="P16" s="5"/>
      <c r="Q16" s="57"/>
      <c r="R16" s="984"/>
      <c r="S16" s="985"/>
      <c r="T16" s="985"/>
      <c r="U16" s="985"/>
      <c r="V16" s="264"/>
      <c r="W16" s="269"/>
      <c r="X16" s="269"/>
      <c r="Y16" s="266"/>
      <c r="Z16" s="287"/>
      <c r="AA16" s="969"/>
      <c r="AB16" s="5"/>
    </row>
    <row r="17" spans="1:28" ht="18">
      <c r="A17" s="5"/>
      <c r="B17" s="1008"/>
      <c r="C17" s="1009"/>
      <c r="D17" s="1009"/>
      <c r="E17" s="1009"/>
      <c r="F17" s="1009"/>
      <c r="G17" s="62" t="s">
        <v>228</v>
      </c>
      <c r="H17" s="62" t="s">
        <v>226</v>
      </c>
      <c r="I17" s="197" t="s">
        <v>227</v>
      </c>
      <c r="J17" s="232" t="s">
        <v>229</v>
      </c>
      <c r="K17" s="287"/>
      <c r="L17" s="250"/>
      <c r="M17" s="5"/>
      <c r="P17" s="5"/>
      <c r="Q17" s="57" t="s">
        <v>255</v>
      </c>
      <c r="R17" s="57"/>
      <c r="S17" s="57"/>
      <c r="T17" s="57"/>
      <c r="U17" s="58"/>
      <c r="V17" s="1"/>
      <c r="W17" s="1"/>
      <c r="X17" s="1"/>
      <c r="Y17" s="91" t="s">
        <v>256</v>
      </c>
      <c r="Z17" s="532">
        <f>SUM(Y10:Y12)</f>
        <v>5.1348124302189628</v>
      </c>
      <c r="AA17" s="969"/>
      <c r="AB17" s="5"/>
    </row>
    <row r="18" spans="1:28" ht="18">
      <c r="A18" s="5"/>
      <c r="B18" s="155"/>
      <c r="C18" s="981" t="s">
        <v>236</v>
      </c>
      <c r="D18" s="981"/>
      <c r="E18" s="981"/>
      <c r="F18" s="981"/>
      <c r="G18" s="264">
        <f>(($J$27-H33)/$J$29)</f>
        <v>-1.0769230769230769</v>
      </c>
      <c r="H18" s="65">
        <f>(5.225+1.95+0.05+0.075)*3.945</f>
        <v>28.798499999999997</v>
      </c>
      <c r="I18" s="265">
        <f>Parois!L28</f>
        <v>2.642391922017747</v>
      </c>
      <c r="J18" s="266">
        <f>G18*H18*I18</f>
        <v>-81.950533286707156</v>
      </c>
      <c r="K18" s="287"/>
      <c r="L18" s="250"/>
      <c r="M18" s="5"/>
      <c r="P18" s="5"/>
      <c r="Q18" s="83" t="s">
        <v>258</v>
      </c>
      <c r="R18" s="84"/>
      <c r="S18" s="84"/>
      <c r="T18" s="84"/>
      <c r="U18" s="102"/>
      <c r="V18" s="999" t="s">
        <v>259</v>
      </c>
      <c r="W18" s="999"/>
      <c r="X18" s="999"/>
      <c r="Y18" s="119"/>
      <c r="Z18" s="287"/>
      <c r="AA18" s="969"/>
      <c r="AB18" s="5"/>
    </row>
    <row r="19" spans="1:28">
      <c r="A19" s="5"/>
      <c r="B19" s="155"/>
      <c r="C19" s="981" t="s">
        <v>283</v>
      </c>
      <c r="D19" s="981"/>
      <c r="E19" s="981"/>
      <c r="F19" s="981"/>
      <c r="G19" s="264">
        <f>(($J$28-H34)/$J$29)</f>
        <v>-0.15384615384615385</v>
      </c>
      <c r="H19" s="65">
        <f>(1.79+0.1+0.05)*3.945</f>
        <v>7.6533000000000007</v>
      </c>
      <c r="I19" s="265">
        <f>Parois!L28</f>
        <v>2.642391922017747</v>
      </c>
      <c r="J19" s="266">
        <f>G19*H19*I19</f>
        <v>-3.1112335533505275</v>
      </c>
      <c r="K19" s="287"/>
      <c r="L19" s="250"/>
      <c r="M19" s="5"/>
      <c r="P19" s="5"/>
      <c r="Q19" s="104" t="s">
        <v>260</v>
      </c>
      <c r="R19" s="103"/>
      <c r="S19" s="103"/>
      <c r="T19" s="103"/>
      <c r="U19" s="103"/>
      <c r="V19" s="103"/>
      <c r="W19" s="103"/>
      <c r="X19" s="103"/>
      <c r="Y19" s="103"/>
      <c r="Z19" s="287"/>
      <c r="AA19" s="970"/>
      <c r="AB19" s="5"/>
    </row>
    <row r="20" spans="1:28" ht="19.5">
      <c r="A20" s="5"/>
      <c r="B20" s="155"/>
      <c r="C20" s="862" t="s">
        <v>284</v>
      </c>
      <c r="D20" s="862"/>
      <c r="E20" s="862"/>
      <c r="F20" s="862"/>
      <c r="G20" s="264">
        <f>(($J$28-H35)/$J$29)</f>
        <v>0</v>
      </c>
      <c r="H20" s="269">
        <f>(3.975+0.1+0.075)*3.945</f>
        <v>16.371750000000002</v>
      </c>
      <c r="I20" s="265">
        <f>Parois!L28</f>
        <v>2.642391922017747</v>
      </c>
      <c r="J20" s="266">
        <f t="shared" ref="J20:J23" si="1">G20*H20*I20</f>
        <v>0</v>
      </c>
      <c r="K20" s="287"/>
      <c r="L20" s="250"/>
      <c r="M20" s="5"/>
      <c r="P20" s="5"/>
      <c r="Q20" s="818" t="s">
        <v>6</v>
      </c>
      <c r="R20" s="818"/>
      <c r="S20" s="818"/>
      <c r="T20" s="818"/>
      <c r="U20" s="818"/>
      <c r="V20" s="818"/>
      <c r="W20" s="1" t="s">
        <v>261</v>
      </c>
      <c r="X20" s="1" t="s">
        <v>262</v>
      </c>
      <c r="Y20" s="119">
        <v>32</v>
      </c>
      <c r="Z20" s="287"/>
      <c r="AA20" s="251" t="s">
        <v>263</v>
      </c>
      <c r="AB20" s="5"/>
    </row>
    <row r="21" spans="1:28" ht="19.5">
      <c r="A21" s="5"/>
      <c r="B21" s="155"/>
      <c r="C21" s="862" t="s">
        <v>285</v>
      </c>
      <c r="D21" s="863"/>
      <c r="E21" s="863"/>
      <c r="F21" s="864"/>
      <c r="G21" s="264">
        <f>(($J$28-H35)/$J$29)</f>
        <v>0</v>
      </c>
      <c r="H21" s="269">
        <f>(5.35+0.15+0.075)*3.945</f>
        <v>21.993375</v>
      </c>
      <c r="I21" s="267">
        <f>Parois!L42</f>
        <v>1.8115853807007718</v>
      </c>
      <c r="J21" s="266">
        <f t="shared" si="1"/>
        <v>0</v>
      </c>
      <c r="K21" s="287"/>
      <c r="L21" s="250"/>
      <c r="M21" s="5"/>
      <c r="P21" s="5"/>
      <c r="Q21" s="971" t="s">
        <v>264</v>
      </c>
      <c r="R21" s="971"/>
      <c r="S21" s="971"/>
      <c r="T21" s="971"/>
      <c r="U21" s="971"/>
      <c r="V21" s="971"/>
      <c r="W21" s="1" t="s">
        <v>265</v>
      </c>
      <c r="X21" s="1" t="s">
        <v>262</v>
      </c>
      <c r="Y21" s="119">
        <v>25</v>
      </c>
      <c r="Z21" s="287"/>
      <c r="AA21" s="250"/>
      <c r="AB21" s="5"/>
    </row>
    <row r="22" spans="1:28">
      <c r="A22" s="5"/>
      <c r="B22" s="57"/>
      <c r="C22" s="862" t="s">
        <v>286</v>
      </c>
      <c r="D22" s="863"/>
      <c r="E22" s="863"/>
      <c r="F22" s="864"/>
      <c r="G22" s="264">
        <f>(($J$28-H35)/$J$29)</f>
        <v>0</v>
      </c>
      <c r="H22" s="269">
        <f>4*SUM(Parois!AB25:AC25)</f>
        <v>5.1209999999999996</v>
      </c>
      <c r="I22" s="268">
        <f>Parois!AG25</f>
        <v>1.3800056499332807</v>
      </c>
      <c r="J22" s="266">
        <f t="shared" si="1"/>
        <v>0</v>
      </c>
      <c r="K22" s="287"/>
      <c r="L22" s="250"/>
      <c r="M22" s="5"/>
      <c r="P22" s="5"/>
      <c r="Q22" s="618"/>
      <c r="R22" s="618"/>
      <c r="S22" s="618"/>
      <c r="T22" s="618"/>
      <c r="U22" s="618"/>
      <c r="V22" s="618"/>
      <c r="W22" s="101"/>
      <c r="X22" s="101"/>
      <c r="Y22" s="227"/>
      <c r="Z22" s="287"/>
      <c r="AA22" s="250"/>
      <c r="AB22" s="5"/>
    </row>
    <row r="23" spans="1:28">
      <c r="A23" s="5"/>
      <c r="B23" s="57"/>
      <c r="C23" s="862" t="s">
        <v>199</v>
      </c>
      <c r="D23" s="863"/>
      <c r="E23" s="863"/>
      <c r="F23" s="864"/>
      <c r="G23" s="264">
        <f>(($J$28-H37)/$J$29)</f>
        <v>0.30769230769230771</v>
      </c>
      <c r="H23" s="269">
        <f>Données!E36</f>
        <v>18</v>
      </c>
      <c r="I23" s="266">
        <f>Parois!L49</f>
        <v>0.39937430012814151</v>
      </c>
      <c r="J23" s="266">
        <f t="shared" si="1"/>
        <v>2.2119192007097066</v>
      </c>
      <c r="K23" s="287"/>
      <c r="L23" s="250"/>
      <c r="M23" s="5"/>
      <c r="P23" s="5"/>
      <c r="Q23" s="618"/>
      <c r="R23" s="618"/>
      <c r="S23" s="618"/>
      <c r="T23" s="618"/>
      <c r="U23" s="618"/>
      <c r="V23" s="618"/>
      <c r="W23" s="101"/>
      <c r="X23" s="101"/>
      <c r="Y23" s="227"/>
      <c r="Z23" s="287"/>
      <c r="AA23" s="250"/>
      <c r="AB23" s="5"/>
    </row>
    <row r="24" spans="1:28" ht="18" customHeight="1">
      <c r="A24" s="5"/>
      <c r="B24" s="57" t="s">
        <v>255</v>
      </c>
      <c r="C24" s="57"/>
      <c r="D24" s="57"/>
      <c r="E24" s="57"/>
      <c r="F24" s="58"/>
      <c r="G24" s="1"/>
      <c r="H24" s="1"/>
      <c r="I24" s="91" t="s">
        <v>256</v>
      </c>
      <c r="J24" s="91" t="s">
        <v>256</v>
      </c>
      <c r="K24" s="532">
        <f>J23</f>
        <v>2.2119192007097066</v>
      </c>
      <c r="L24" s="250"/>
      <c r="M24" s="5"/>
      <c r="P24" s="5"/>
      <c r="Q24" s="997" t="s">
        <v>266</v>
      </c>
      <c r="R24" s="997"/>
      <c r="S24" s="997"/>
      <c r="T24" s="997"/>
      <c r="U24" s="997"/>
      <c r="V24" s="997"/>
      <c r="W24" s="101" t="s">
        <v>267</v>
      </c>
      <c r="X24" s="101" t="s">
        <v>262</v>
      </c>
      <c r="Y24" s="227">
        <f>Y20-Y21</f>
        <v>7</v>
      </c>
      <c r="Z24" s="288"/>
      <c r="AA24" s="250"/>
      <c r="AB24" s="5"/>
    </row>
    <row r="25" spans="1:28" ht="18">
      <c r="A25" s="5"/>
      <c r="B25" s="83" t="s">
        <v>258</v>
      </c>
      <c r="C25" s="84"/>
      <c r="D25" s="84"/>
      <c r="E25" s="84"/>
      <c r="F25" s="102"/>
      <c r="G25" s="999" t="s">
        <v>259</v>
      </c>
      <c r="H25" s="999"/>
      <c r="I25" s="999"/>
      <c r="J25" s="119"/>
      <c r="K25" s="287"/>
      <c r="L25" s="250"/>
      <c r="M25" s="5"/>
      <c r="P25" s="5"/>
      <c r="Q25" s="988" t="s">
        <v>268</v>
      </c>
      <c r="R25" s="988"/>
      <c r="S25" s="988"/>
      <c r="T25" s="988"/>
      <c r="U25" s="988"/>
      <c r="V25" s="988"/>
      <c r="W25" s="988"/>
      <c r="X25" s="988"/>
      <c r="Y25" s="988"/>
      <c r="Z25" s="234" t="e">
        <f>Y24*#REF!</f>
        <v>#REF!</v>
      </c>
      <c r="AA25" s="250"/>
      <c r="AB25" s="5"/>
    </row>
    <row r="26" spans="1:28">
      <c r="A26" s="5"/>
      <c r="B26" s="104" t="s">
        <v>260</v>
      </c>
      <c r="C26" s="103"/>
      <c r="D26" s="103"/>
      <c r="E26" s="103"/>
      <c r="F26" s="103"/>
      <c r="G26" s="103"/>
      <c r="H26" s="103"/>
      <c r="I26" s="103"/>
      <c r="J26" s="103"/>
      <c r="K26" s="287"/>
      <c r="L26" s="250"/>
      <c r="M26" s="5"/>
      <c r="P26" s="5"/>
      <c r="Q26" s="989" t="s">
        <v>269</v>
      </c>
      <c r="R26" s="989"/>
      <c r="S26" s="989"/>
      <c r="T26" s="989"/>
      <c r="U26" s="989"/>
      <c r="V26" s="989"/>
      <c r="W26" s="989"/>
      <c r="X26" s="989"/>
      <c r="Y26" s="989"/>
      <c r="Z26" s="989"/>
      <c r="AA26" s="250"/>
      <c r="AB26" s="5"/>
    </row>
    <row r="27" spans="1:28" ht="19.5">
      <c r="A27" s="5"/>
      <c r="B27" s="862" t="s">
        <v>6</v>
      </c>
      <c r="C27" s="863"/>
      <c r="D27" s="863"/>
      <c r="E27" s="863"/>
      <c r="F27" s="863"/>
      <c r="G27" s="864"/>
      <c r="H27" s="1" t="s">
        <v>261</v>
      </c>
      <c r="I27" s="1" t="s">
        <v>262</v>
      </c>
      <c r="J27" s="119">
        <v>-8</v>
      </c>
      <c r="K27" s="287"/>
      <c r="L27" s="250"/>
      <c r="M27" s="5"/>
      <c r="P27" s="5"/>
      <c r="Q27" s="990" t="s">
        <v>270</v>
      </c>
      <c r="R27" s="991"/>
      <c r="S27" s="991"/>
      <c r="T27" s="991"/>
      <c r="U27" s="991"/>
      <c r="V27" s="992"/>
      <c r="W27" s="241" t="s">
        <v>271</v>
      </c>
      <c r="X27" s="241" t="s">
        <v>272</v>
      </c>
      <c r="Y27" s="242" t="s">
        <v>273</v>
      </c>
      <c r="Z27" s="235" t="s">
        <v>274</v>
      </c>
      <c r="AA27" s="250"/>
      <c r="AB27" s="5"/>
    </row>
    <row r="28" spans="1:28" ht="19.5">
      <c r="A28" s="5"/>
      <c r="B28" s="972" t="s">
        <v>264</v>
      </c>
      <c r="C28" s="973"/>
      <c r="D28" s="973"/>
      <c r="E28" s="973"/>
      <c r="F28" s="973"/>
      <c r="G28" s="974"/>
      <c r="H28" s="1" t="s">
        <v>265</v>
      </c>
      <c r="I28" s="1" t="s">
        <v>262</v>
      </c>
      <c r="J28" s="119">
        <f>Données!E36</f>
        <v>18</v>
      </c>
      <c r="K28" s="287"/>
      <c r="L28" s="250"/>
      <c r="M28" s="5"/>
      <c r="P28" s="5"/>
      <c r="Q28" s="844" t="s">
        <v>236</v>
      </c>
      <c r="R28" s="845"/>
      <c r="S28" s="845"/>
      <c r="T28" s="845"/>
      <c r="U28" s="845"/>
      <c r="V28" s="846"/>
      <c r="W28" s="246" t="s">
        <v>174</v>
      </c>
      <c r="X28" s="246">
        <f>Données!F25</f>
        <v>26</v>
      </c>
      <c r="Y28" s="245" t="s">
        <v>174</v>
      </c>
      <c r="Z28" s="245">
        <f>Y$21-X28</f>
        <v>-1</v>
      </c>
      <c r="AA28" s="251" t="s">
        <v>263</v>
      </c>
      <c r="AB28" s="5"/>
    </row>
    <row r="29" spans="1:28" ht="19.5">
      <c r="A29" s="5"/>
      <c r="B29" s="862" t="s">
        <v>266</v>
      </c>
      <c r="C29" s="863"/>
      <c r="D29" s="863"/>
      <c r="E29" s="863"/>
      <c r="F29" s="863"/>
      <c r="G29" s="864"/>
      <c r="H29" s="101" t="s">
        <v>267</v>
      </c>
      <c r="I29" s="101" t="s">
        <v>262</v>
      </c>
      <c r="J29" s="227">
        <f>J28-J27</f>
        <v>26</v>
      </c>
      <c r="K29" s="288"/>
      <c r="L29" s="250"/>
      <c r="M29" s="5"/>
      <c r="P29" s="5"/>
      <c r="Q29" s="862" t="s">
        <v>238</v>
      </c>
      <c r="R29" s="863"/>
      <c r="S29" s="863"/>
      <c r="T29" s="863"/>
      <c r="U29" s="863"/>
      <c r="V29" s="864"/>
      <c r="W29" s="245" t="s">
        <v>174</v>
      </c>
      <c r="X29" s="245">
        <f>Données!F29</f>
        <v>26</v>
      </c>
      <c r="Y29" s="245" t="s">
        <v>174</v>
      </c>
      <c r="Z29" s="245">
        <f>Y$21-X29</f>
        <v>-1</v>
      </c>
      <c r="AA29" s="253" t="s">
        <v>263</v>
      </c>
      <c r="AB29" s="5"/>
    </row>
    <row r="30" spans="1:28">
      <c r="A30" s="5"/>
      <c r="B30" s="1017" t="s">
        <v>289</v>
      </c>
      <c r="C30" s="1018"/>
      <c r="D30" s="1018"/>
      <c r="E30" s="1018"/>
      <c r="F30" s="1018"/>
      <c r="G30" s="1018"/>
      <c r="H30" s="1018"/>
      <c r="I30" s="1018"/>
      <c r="J30" s="1019"/>
      <c r="K30" s="234">
        <f>K24*J29</f>
        <v>57.509899218452375</v>
      </c>
      <c r="L30" s="250"/>
      <c r="M30" s="5"/>
      <c r="P30" s="5"/>
      <c r="Q30" s="972" t="s">
        <v>290</v>
      </c>
      <c r="R30" s="973"/>
      <c r="S30" s="973"/>
      <c r="T30" s="973"/>
      <c r="U30" s="973"/>
      <c r="V30" s="974"/>
      <c r="W30" s="245" t="s">
        <v>174</v>
      </c>
      <c r="X30" s="245">
        <f>Données!F53</f>
        <v>25</v>
      </c>
      <c r="Y30" s="245" t="s">
        <v>174</v>
      </c>
      <c r="Z30" s="245">
        <f>Y$21-X30</f>
        <v>0</v>
      </c>
      <c r="AA30" s="5"/>
      <c r="AB30" s="5"/>
    </row>
    <row r="31" spans="1:28">
      <c r="A31" s="5"/>
      <c r="B31" s="1020" t="s">
        <v>269</v>
      </c>
      <c r="C31" s="1021"/>
      <c r="D31" s="1021"/>
      <c r="E31" s="1021"/>
      <c r="F31" s="1021"/>
      <c r="G31" s="1021"/>
      <c r="H31" s="1021"/>
      <c r="I31" s="1021"/>
      <c r="J31" s="1021"/>
      <c r="K31" s="1022"/>
      <c r="L31" s="250"/>
      <c r="M31" s="5"/>
      <c r="Q31" s="972" t="s">
        <v>291</v>
      </c>
      <c r="R31" s="973"/>
      <c r="S31" s="973"/>
      <c r="T31" s="973"/>
      <c r="U31" s="973"/>
      <c r="V31" s="974"/>
      <c r="W31" s="247" t="s">
        <v>174</v>
      </c>
      <c r="X31" s="247">
        <f>Données!F51</f>
        <v>25</v>
      </c>
      <c r="Y31" s="245" t="s">
        <v>174</v>
      </c>
      <c r="Z31" s="245">
        <f>Y$21-X31</f>
        <v>0</v>
      </c>
      <c r="AB31" s="5"/>
    </row>
    <row r="32" spans="1:28">
      <c r="A32" s="5"/>
      <c r="B32" s="1023" t="s">
        <v>270</v>
      </c>
      <c r="C32" s="1024"/>
      <c r="D32" s="1024"/>
      <c r="E32" s="1024"/>
      <c r="F32" s="1024"/>
      <c r="G32" s="1025"/>
      <c r="H32" s="241" t="s">
        <v>271</v>
      </c>
      <c r="I32" s="241" t="s">
        <v>272</v>
      </c>
      <c r="J32" s="242" t="s">
        <v>273</v>
      </c>
      <c r="K32" s="235" t="s">
        <v>274</v>
      </c>
      <c r="L32" s="250"/>
      <c r="M32" s="5"/>
      <c r="Q32" s="862" t="s">
        <v>199</v>
      </c>
      <c r="R32" s="863"/>
      <c r="S32" s="863"/>
      <c r="T32" s="863"/>
      <c r="U32" s="863"/>
      <c r="V32" s="864"/>
      <c r="W32" s="247" t="s">
        <v>174</v>
      </c>
      <c r="X32" s="247">
        <f>Données!F58</f>
        <v>20</v>
      </c>
      <c r="Y32" s="245"/>
      <c r="Z32" s="245">
        <f>Y$21-X32</f>
        <v>5</v>
      </c>
      <c r="AB32" s="5"/>
    </row>
    <row r="33" spans="1:28">
      <c r="A33" s="5"/>
      <c r="B33" s="844" t="s">
        <v>236</v>
      </c>
      <c r="C33" s="845"/>
      <c r="D33" s="845"/>
      <c r="E33" s="845"/>
      <c r="F33" s="845"/>
      <c r="G33" s="846"/>
      <c r="H33" s="246">
        <f>Données!E25</f>
        <v>20</v>
      </c>
      <c r="I33" s="246">
        <f>Données!F25</f>
        <v>26</v>
      </c>
      <c r="J33" s="245">
        <f>J$28-H33</f>
        <v>-2</v>
      </c>
      <c r="K33" s="245">
        <f>$J$28-I33</f>
        <v>-8</v>
      </c>
      <c r="L33" s="250"/>
      <c r="M33" s="5"/>
      <c r="Q33" s="862"/>
      <c r="R33" s="863"/>
      <c r="S33" s="863"/>
      <c r="T33" s="863"/>
      <c r="U33" s="863"/>
      <c r="V33" s="864"/>
      <c r="W33" s="247" t="s">
        <v>174</v>
      </c>
      <c r="X33" s="247"/>
      <c r="Y33" s="245"/>
      <c r="Z33" s="245">
        <f>Y$23-X33</f>
        <v>0</v>
      </c>
      <c r="AB33" s="5"/>
    </row>
    <row r="34" spans="1:28">
      <c r="A34" s="5"/>
      <c r="B34" s="862" t="s">
        <v>238</v>
      </c>
      <c r="C34" s="863"/>
      <c r="D34" s="863"/>
      <c r="E34" s="863"/>
      <c r="F34" s="863"/>
      <c r="G34" s="864"/>
      <c r="H34" s="245">
        <f>Données!E29</f>
        <v>22</v>
      </c>
      <c r="I34" s="245">
        <f>Données!F29</f>
        <v>26</v>
      </c>
      <c r="J34" s="245">
        <f>J$28-H34</f>
        <v>-4</v>
      </c>
      <c r="K34" s="245">
        <f>$J$28-I34</f>
        <v>-8</v>
      </c>
      <c r="L34" s="250"/>
      <c r="M34" s="5"/>
      <c r="Q34" s="862"/>
      <c r="R34" s="863"/>
      <c r="S34" s="863"/>
      <c r="T34" s="863"/>
      <c r="U34" s="863"/>
      <c r="V34" s="864"/>
      <c r="W34" s="247" t="s">
        <v>174</v>
      </c>
      <c r="X34" s="247"/>
      <c r="Y34" s="245" t="s">
        <v>174</v>
      </c>
      <c r="Z34" s="245">
        <f>Y$23-X34</f>
        <v>0</v>
      </c>
      <c r="AB34" s="5"/>
    </row>
    <row r="35" spans="1:28">
      <c r="A35" s="5"/>
      <c r="B35" s="972" t="s">
        <v>290</v>
      </c>
      <c r="C35" s="973"/>
      <c r="D35" s="973"/>
      <c r="E35" s="973"/>
      <c r="F35" s="973"/>
      <c r="G35" s="974"/>
      <c r="H35" s="245">
        <f>Données!G53</f>
        <v>18</v>
      </c>
      <c r="I35" s="245" t="e">
        <f>Données!#REF!</f>
        <v>#REF!</v>
      </c>
      <c r="J35" s="245">
        <f>J$28-H35</f>
        <v>0</v>
      </c>
      <c r="K35" s="245">
        <f>$J$28-H35</f>
        <v>0</v>
      </c>
      <c r="L35" s="250"/>
      <c r="M35" s="5"/>
      <c r="Q35" s="993" t="s">
        <v>278</v>
      </c>
      <c r="R35" s="993"/>
      <c r="S35" s="993"/>
      <c r="T35" s="993"/>
      <c r="U35" s="993"/>
      <c r="V35" s="993"/>
      <c r="W35" s="993"/>
      <c r="X35" s="993"/>
      <c r="Y35" s="993"/>
      <c r="Z35" s="249">
        <f>Z17*Y24</f>
        <v>35.943687011532738</v>
      </c>
      <c r="AB35" s="5"/>
    </row>
    <row r="36" spans="1:28" ht="18.75">
      <c r="A36" s="5"/>
      <c r="B36" s="972" t="s">
        <v>291</v>
      </c>
      <c r="C36" s="973"/>
      <c r="D36" s="973"/>
      <c r="E36" s="973"/>
      <c r="F36" s="973"/>
      <c r="G36" s="974"/>
      <c r="H36" s="247">
        <f>Données!G51</f>
        <v>18</v>
      </c>
      <c r="I36" s="247">
        <f>Données!F30</f>
        <v>24</v>
      </c>
      <c r="J36" s="245">
        <f>J$28-H36</f>
        <v>0</v>
      </c>
      <c r="K36" s="245">
        <f>$J$28-I36</f>
        <v>-6</v>
      </c>
      <c r="L36" s="250"/>
      <c r="M36" s="5"/>
      <c r="Q36" s="987" t="s">
        <v>279</v>
      </c>
      <c r="R36" s="987"/>
      <c r="S36" s="987"/>
      <c r="T36" s="987"/>
      <c r="U36" s="987"/>
      <c r="V36" s="987"/>
      <c r="W36" s="987"/>
      <c r="X36" s="987"/>
      <c r="Y36" s="987"/>
      <c r="Z36" s="271" t="e">
        <f>Z25+Z35</f>
        <v>#REF!</v>
      </c>
      <c r="AB36" s="5"/>
    </row>
    <row r="37" spans="1:28">
      <c r="A37" s="5"/>
      <c r="B37" s="862" t="s">
        <v>199</v>
      </c>
      <c r="C37" s="863"/>
      <c r="D37" s="863"/>
      <c r="E37" s="863"/>
      <c r="F37" s="863"/>
      <c r="G37" s="864"/>
      <c r="H37" s="247">
        <f>Données!G58</f>
        <v>10</v>
      </c>
      <c r="I37" s="247">
        <f>Données!F31</f>
        <v>20</v>
      </c>
      <c r="J37" s="245">
        <f>J$28-H37</f>
        <v>8</v>
      </c>
      <c r="K37" s="245">
        <f>$J$28-I37</f>
        <v>-2</v>
      </c>
      <c r="L37" s="250"/>
      <c r="M37" s="5"/>
      <c r="Q37" s="5"/>
      <c r="R37" s="5"/>
      <c r="S37" s="5"/>
      <c r="T37" s="5"/>
      <c r="U37" s="5"/>
      <c r="V37" s="5"/>
      <c r="W37" s="5"/>
      <c r="X37" s="5"/>
      <c r="Y37" s="5"/>
      <c r="Z37" s="5"/>
      <c r="AB37" s="5"/>
    </row>
    <row r="38" spans="1:28">
      <c r="A38" s="5"/>
      <c r="B38" s="1011" t="s">
        <v>278</v>
      </c>
      <c r="C38" s="1012"/>
      <c r="D38" s="1012"/>
      <c r="E38" s="1012"/>
      <c r="F38" s="1012"/>
      <c r="G38" s="1012"/>
      <c r="H38" s="1012"/>
      <c r="I38" s="1012"/>
      <c r="J38" s="1013"/>
      <c r="K38" s="249" t="e">
        <f>#REF!*J37</f>
        <v>#REF!</v>
      </c>
      <c r="L38" s="250"/>
      <c r="M38" s="5"/>
      <c r="AB38" s="5"/>
    </row>
    <row r="39" spans="1:28" ht="18.75">
      <c r="A39" s="5"/>
      <c r="B39" s="1014" t="s">
        <v>279</v>
      </c>
      <c r="C39" s="1015"/>
      <c r="D39" s="1015"/>
      <c r="E39" s="1015"/>
      <c r="F39" s="1015"/>
      <c r="G39" s="1015"/>
      <c r="H39" s="1015"/>
      <c r="I39" s="1015"/>
      <c r="J39" s="1016"/>
      <c r="K39" s="271" t="e">
        <f>K30+K38</f>
        <v>#REF!</v>
      </c>
      <c r="L39" s="250"/>
      <c r="M39" s="5"/>
    </row>
    <row r="40" spans="1:28">
      <c r="A40" s="5"/>
      <c r="B40" s="5"/>
      <c r="C40" s="5"/>
      <c r="D40" s="5"/>
      <c r="E40" s="5"/>
      <c r="F40" s="5"/>
      <c r="G40" s="5"/>
      <c r="H40" s="5"/>
      <c r="I40" s="5"/>
      <c r="J40" s="5"/>
      <c r="K40" s="5"/>
      <c r="L40" s="665"/>
      <c r="M40" s="665"/>
    </row>
    <row r="41" spans="1:28">
      <c r="A41" s="5"/>
      <c r="B41" s="5"/>
      <c r="C41" s="5"/>
      <c r="D41" s="5"/>
      <c r="E41" s="5"/>
      <c r="F41" s="5"/>
      <c r="G41" s="5"/>
      <c r="H41" s="5"/>
      <c r="I41" s="5"/>
      <c r="J41" s="5"/>
      <c r="K41" s="5"/>
      <c r="L41" s="665"/>
      <c r="M41" s="665"/>
    </row>
    <row r="42" spans="1:28">
      <c r="A42" s="5"/>
      <c r="B42" s="5"/>
      <c r="C42" s="5"/>
      <c r="D42" s="5"/>
      <c r="E42" s="5"/>
      <c r="F42" s="5"/>
      <c r="G42" s="5"/>
      <c r="H42" s="5"/>
      <c r="I42" s="5"/>
      <c r="J42" s="5"/>
      <c r="K42" s="5"/>
      <c r="L42" s="665"/>
      <c r="M42" s="665"/>
    </row>
    <row r="43" spans="1:28">
      <c r="A43" s="5"/>
      <c r="B43" s="5"/>
      <c r="C43" s="5"/>
      <c r="D43" s="5"/>
      <c r="E43" s="5"/>
      <c r="F43" s="5"/>
      <c r="G43" s="5"/>
      <c r="H43" s="5"/>
      <c r="I43" s="5"/>
      <c r="J43" s="5"/>
      <c r="K43" s="5"/>
      <c r="L43" s="665"/>
      <c r="M43" s="665"/>
    </row>
    <row r="44" spans="1:28" ht="16.5" customHeight="1">
      <c r="A44" s="5"/>
      <c r="B44" s="5"/>
      <c r="C44" s="5"/>
      <c r="D44" s="5"/>
      <c r="E44" s="5"/>
      <c r="F44" s="5"/>
      <c r="G44" s="5"/>
      <c r="H44" s="5"/>
      <c r="I44" s="5"/>
      <c r="J44" s="5"/>
      <c r="K44" s="5"/>
      <c r="L44" s="665"/>
      <c r="M44" s="665"/>
    </row>
    <row r="45" spans="1:28" ht="16.5" customHeight="1">
      <c r="A45" s="5"/>
      <c r="L45" s="665"/>
      <c r="M45" s="665"/>
    </row>
    <row r="46" spans="1:28">
      <c r="A46" s="5"/>
      <c r="L46" s="665"/>
      <c r="M46" s="665"/>
    </row>
    <row r="47" spans="1:28" ht="16.5" customHeight="1">
      <c r="A47" s="5"/>
      <c r="L47" s="665"/>
      <c r="M47" s="665"/>
    </row>
    <row r="48" spans="1:28">
      <c r="A48" s="5"/>
      <c r="L48" s="665"/>
      <c r="M48" s="665"/>
    </row>
    <row r="49" spans="1:30">
      <c r="A49" s="5"/>
    </row>
    <row r="50" spans="1:30">
      <c r="A50" s="5"/>
      <c r="C50" s="1000"/>
      <c r="D50" s="1000"/>
      <c r="E50" s="1000"/>
      <c r="F50" s="1000"/>
      <c r="G50" s="1000"/>
      <c r="H50" s="1000"/>
      <c r="I50" s="1000"/>
      <c r="J50" s="1000"/>
      <c r="K50" s="1000"/>
      <c r="L50" s="1000"/>
      <c r="M50" s="1000"/>
      <c r="N50" s="1000"/>
    </row>
    <row r="51" spans="1:30">
      <c r="A51" s="5"/>
      <c r="C51" s="1000"/>
      <c r="D51" s="1000"/>
      <c r="E51" s="1000"/>
      <c r="F51" s="1000"/>
      <c r="G51" s="1000"/>
      <c r="H51" s="1000"/>
      <c r="I51" s="1000"/>
      <c r="J51" s="1000"/>
      <c r="K51" s="1000"/>
      <c r="L51" s="1000"/>
      <c r="M51" s="1000"/>
      <c r="N51" s="1000"/>
    </row>
    <row r="52" spans="1:30">
      <c r="A52" s="5"/>
      <c r="C52" s="5" t="s">
        <v>253</v>
      </c>
      <c r="D52" s="1001" t="s">
        <v>219</v>
      </c>
      <c r="E52" s="1001"/>
      <c r="F52" s="1001"/>
      <c r="G52" s="1001"/>
      <c r="H52" s="1001"/>
      <c r="I52" s="1001"/>
      <c r="J52" s="1001"/>
      <c r="K52" s="1001"/>
      <c r="L52" s="1001"/>
      <c r="M52" s="286"/>
      <c r="N52" s="250"/>
      <c r="R52" s="5"/>
      <c r="S52" s="5"/>
      <c r="T52" s="5"/>
      <c r="U52" s="5"/>
      <c r="V52" s="5"/>
      <c r="W52" s="5"/>
      <c r="X52" s="5"/>
      <c r="Y52" s="5"/>
      <c r="Z52" s="5"/>
      <c r="AA52" s="5"/>
      <c r="AB52" s="5"/>
      <c r="AC52" s="5"/>
      <c r="AD52" s="5"/>
    </row>
    <row r="53" spans="1:30" ht="15.75" customHeight="1">
      <c r="A53" s="5"/>
      <c r="C53" s="5" t="s">
        <v>292</v>
      </c>
      <c r="D53" s="994" t="s">
        <v>220</v>
      </c>
      <c r="E53" s="994" t="s">
        <v>221</v>
      </c>
      <c r="F53" s="994"/>
      <c r="G53" s="994"/>
      <c r="H53" s="994"/>
      <c r="I53" s="108" t="s">
        <v>222</v>
      </c>
      <c r="J53" s="108" t="s">
        <v>223</v>
      </c>
      <c r="K53" s="108" t="s">
        <v>224</v>
      </c>
      <c r="L53" s="91" t="s">
        <v>225</v>
      </c>
      <c r="M53" s="287"/>
      <c r="N53" s="250"/>
      <c r="R53" s="5"/>
      <c r="S53" s="5"/>
      <c r="T53" s="5"/>
      <c r="U53" s="5"/>
      <c r="V53" s="5"/>
      <c r="W53" s="5"/>
      <c r="X53" s="5"/>
      <c r="Y53" s="5"/>
      <c r="Z53" s="5"/>
      <c r="AA53" s="5"/>
      <c r="AB53" s="5"/>
      <c r="AC53" s="5"/>
      <c r="AD53" s="5"/>
    </row>
    <row r="54" spans="1:30" ht="18.75">
      <c r="A54" s="5"/>
      <c r="C54" s="5"/>
      <c r="D54" s="994"/>
      <c r="E54" s="994"/>
      <c r="F54" s="994"/>
      <c r="G54" s="994"/>
      <c r="H54" s="994"/>
      <c r="I54" s="2" t="s">
        <v>226</v>
      </c>
      <c r="J54" s="89" t="s">
        <v>227</v>
      </c>
      <c r="K54" s="89" t="s">
        <v>228</v>
      </c>
      <c r="L54" s="92" t="s">
        <v>229</v>
      </c>
      <c r="M54" s="287"/>
      <c r="N54" s="250"/>
      <c r="R54" s="5"/>
      <c r="S54" s="656" t="s">
        <v>230</v>
      </c>
      <c r="T54" s="657"/>
      <c r="U54" s="657"/>
      <c r="V54" s="657"/>
      <c r="W54" s="657"/>
      <c r="X54" s="657"/>
      <c r="Y54" s="657"/>
      <c r="Z54" s="101"/>
      <c r="AA54" s="227"/>
      <c r="AB54" s="287"/>
      <c r="AC54" s="250"/>
      <c r="AD54" s="5"/>
    </row>
    <row r="55" spans="1:30" ht="18">
      <c r="A55" s="5"/>
      <c r="C55" s="5"/>
      <c r="D55" s="2"/>
      <c r="E55" s="818" t="s">
        <v>174</v>
      </c>
      <c r="F55" s="818"/>
      <c r="G55" s="818"/>
      <c r="H55" s="818"/>
      <c r="I55" s="1"/>
      <c r="J55" s="1"/>
      <c r="K55" s="1"/>
      <c r="L55" s="230"/>
      <c r="M55" s="287"/>
      <c r="N55" s="250"/>
      <c r="R55" s="5"/>
      <c r="S55" s="975" t="s">
        <v>220</v>
      </c>
      <c r="T55" s="977" t="s">
        <v>221</v>
      </c>
      <c r="U55" s="978"/>
      <c r="V55" s="978"/>
      <c r="W55" s="978"/>
      <c r="X55" s="654" t="s">
        <v>232</v>
      </c>
      <c r="Y55" s="654" t="s">
        <v>222</v>
      </c>
      <c r="Z55" s="196" t="s">
        <v>223</v>
      </c>
      <c r="AA55" s="231" t="s">
        <v>233</v>
      </c>
      <c r="AB55" s="287"/>
      <c r="AC55" s="250"/>
      <c r="AD55" s="5"/>
    </row>
    <row r="56" spans="1:30" ht="18">
      <c r="A56" s="5"/>
      <c r="C56" s="5"/>
      <c r="D56" s="995" t="s">
        <v>244</v>
      </c>
      <c r="E56" s="995"/>
      <c r="F56" s="995"/>
      <c r="G56" s="995"/>
      <c r="H56" s="995"/>
      <c r="I56" s="995"/>
      <c r="J56" s="1028" t="s">
        <v>245</v>
      </c>
      <c r="K56" s="1028"/>
      <c r="L56" s="1028"/>
      <c r="M56" s="287"/>
      <c r="N56" s="250"/>
      <c r="R56" s="5"/>
      <c r="S56" s="976"/>
      <c r="T56" s="979"/>
      <c r="U56" s="980"/>
      <c r="V56" s="980"/>
      <c r="W56" s="980"/>
      <c r="X56" s="62" t="s">
        <v>228</v>
      </c>
      <c r="Y56" s="62" t="s">
        <v>226</v>
      </c>
      <c r="Z56" s="197" t="s">
        <v>227</v>
      </c>
      <c r="AA56" s="232" t="s">
        <v>229</v>
      </c>
      <c r="AB56" s="287"/>
      <c r="AC56" s="250"/>
      <c r="AD56" s="5"/>
    </row>
    <row r="57" spans="1:30">
      <c r="A57" s="5"/>
      <c r="C57" s="5"/>
      <c r="D57" s="1001" t="s">
        <v>247</v>
      </c>
      <c r="E57" s="1001"/>
      <c r="F57" s="1001"/>
      <c r="G57" s="1001"/>
      <c r="H57" s="1001"/>
      <c r="I57" s="1001"/>
      <c r="J57" s="1001"/>
      <c r="K57" s="1001"/>
      <c r="L57" s="1001"/>
      <c r="M57" s="287"/>
      <c r="N57" s="250"/>
      <c r="R57" s="5"/>
      <c r="S57" s="155"/>
      <c r="T57" s="981"/>
      <c r="U57" s="982"/>
      <c r="V57" s="982"/>
      <c r="W57" s="983"/>
      <c r="X57" s="264">
        <f>AB78/AA74</f>
        <v>0.7142857142857143</v>
      </c>
      <c r="Y57" s="65">
        <f>(0.05+1.95+0.2*2+0.075)*3.945</f>
        <v>9.7638750000000005</v>
      </c>
      <c r="Z57" s="265">
        <f>Parois!P76</f>
        <v>0</v>
      </c>
      <c r="AA57" s="266">
        <f t="shared" ref="AA57:AA66" si="2">X57*Y57*Z57</f>
        <v>0</v>
      </c>
      <c r="AB57" s="287"/>
      <c r="AC57" s="969"/>
      <c r="AD57" s="5"/>
    </row>
    <row r="58" spans="1:30" ht="18">
      <c r="A58" s="5"/>
      <c r="C58" s="5"/>
      <c r="D58" s="994" t="s">
        <v>220</v>
      </c>
      <c r="E58" s="994" t="s">
        <v>249</v>
      </c>
      <c r="F58" s="994"/>
      <c r="G58" s="994"/>
      <c r="H58" s="994"/>
      <c r="I58" s="108" t="s">
        <v>222</v>
      </c>
      <c r="J58" s="108" t="s">
        <v>223</v>
      </c>
      <c r="K58" s="108" t="s">
        <v>250</v>
      </c>
      <c r="L58" s="109" t="s">
        <v>251</v>
      </c>
      <c r="M58" s="287"/>
      <c r="N58" s="250"/>
      <c r="R58" s="5"/>
      <c r="S58" s="155"/>
      <c r="T58" s="981"/>
      <c r="U58" s="982"/>
      <c r="V58" s="982"/>
      <c r="W58" s="983"/>
      <c r="X58" s="264">
        <f>AB79/AA74</f>
        <v>0</v>
      </c>
      <c r="Y58" s="65">
        <f>3.945*(3.97+0.3+0.05)-Y59</f>
        <v>15.398100000000001</v>
      </c>
      <c r="Z58" s="265">
        <f>Parois!P76</f>
        <v>0</v>
      </c>
      <c r="AA58" s="266">
        <f t="shared" si="2"/>
        <v>0</v>
      </c>
      <c r="AB58" s="287"/>
      <c r="AC58" s="969"/>
      <c r="AD58" s="5"/>
    </row>
    <row r="59" spans="1:30" ht="18.75">
      <c r="A59" s="5"/>
      <c r="C59" s="5"/>
      <c r="D59" s="994"/>
      <c r="E59" s="994"/>
      <c r="F59" s="994"/>
      <c r="G59" s="994"/>
      <c r="H59" s="994"/>
      <c r="I59" s="2" t="s">
        <v>226</v>
      </c>
      <c r="J59" s="89" t="s">
        <v>227</v>
      </c>
      <c r="K59" s="89" t="s">
        <v>228</v>
      </c>
      <c r="L59" s="92" t="s">
        <v>229</v>
      </c>
      <c r="M59" s="287"/>
      <c r="N59" s="250"/>
      <c r="R59" s="5"/>
      <c r="S59" s="155"/>
      <c r="T59" s="981"/>
      <c r="U59" s="982"/>
      <c r="V59" s="982"/>
      <c r="W59" s="983"/>
      <c r="X59" s="264">
        <f>AB79/AA74</f>
        <v>0</v>
      </c>
      <c r="Y59" s="65">
        <f>0.81*2.03</f>
        <v>1.6442999999999999</v>
      </c>
      <c r="Z59" s="265">
        <v>2.5</v>
      </c>
      <c r="AA59" s="266">
        <f t="shared" si="2"/>
        <v>0</v>
      </c>
      <c r="AB59" s="287"/>
      <c r="AC59" s="969"/>
      <c r="AD59" s="5"/>
    </row>
    <row r="60" spans="1:30">
      <c r="A60" s="5"/>
      <c r="C60" s="5"/>
      <c r="D60" s="1"/>
      <c r="E60" s="862" t="s">
        <v>174</v>
      </c>
      <c r="F60" s="862"/>
      <c r="G60" s="862"/>
      <c r="H60" s="862"/>
      <c r="I60" s="269"/>
      <c r="J60" s="269"/>
      <c r="K60" s="269">
        <v>0</v>
      </c>
      <c r="L60" s="270">
        <f>PRODUCT(I60:K60)</f>
        <v>0</v>
      </c>
      <c r="M60" s="287"/>
      <c r="N60" s="250"/>
      <c r="R60" s="5"/>
      <c r="S60" s="155"/>
      <c r="T60" s="981"/>
      <c r="U60" s="982"/>
      <c r="V60" s="982"/>
      <c r="W60" s="983"/>
      <c r="X60" s="264">
        <f>AB81/AA74</f>
        <v>0</v>
      </c>
      <c r="Y60" s="65">
        <f>(4.17+0.05+0.3)*3.945</f>
        <v>17.831399999999999</v>
      </c>
      <c r="Z60" s="267">
        <f>Parois!P76</f>
        <v>0</v>
      </c>
      <c r="AA60" s="266">
        <f t="shared" si="2"/>
        <v>0</v>
      </c>
      <c r="AB60" s="287"/>
      <c r="AC60" s="969"/>
      <c r="AD60" s="5"/>
    </row>
    <row r="61" spans="1:30">
      <c r="A61" s="5"/>
      <c r="C61" s="5"/>
      <c r="D61" s="1004" t="s">
        <v>254</v>
      </c>
      <c r="E61" s="1026"/>
      <c r="F61" s="1026"/>
      <c r="G61" s="1026"/>
      <c r="H61" s="1026"/>
      <c r="I61" s="1026"/>
      <c r="J61" s="1026"/>
      <c r="K61" s="1026"/>
      <c r="L61" s="1027"/>
      <c r="M61" s="287"/>
      <c r="N61" s="250"/>
      <c r="R61" s="5"/>
      <c r="S61" s="155"/>
      <c r="T61" s="862"/>
      <c r="U61" s="863"/>
      <c r="V61" s="863"/>
      <c r="W61" s="864"/>
      <c r="X61" s="264">
        <f>AB80/AA74</f>
        <v>0</v>
      </c>
      <c r="Y61" s="269">
        <f>(1.75+0.05+0.2)*3.945-Y62</f>
        <v>6.2456999999999994</v>
      </c>
      <c r="Z61" s="269">
        <f>Parois!P76</f>
        <v>0</v>
      </c>
      <c r="AA61" s="266">
        <f t="shared" si="2"/>
        <v>0</v>
      </c>
      <c r="AB61" s="287"/>
      <c r="AC61" s="969"/>
      <c r="AD61" s="5"/>
    </row>
    <row r="62" spans="1:30">
      <c r="A62" s="5"/>
      <c r="C62" s="5"/>
      <c r="D62" s="118" t="s">
        <v>257</v>
      </c>
      <c r="E62" s="97"/>
      <c r="F62" s="97"/>
      <c r="G62" s="97"/>
      <c r="H62" s="97"/>
      <c r="I62" s="99"/>
      <c r="J62" s="100"/>
      <c r="K62" s="101"/>
      <c r="L62" s="227"/>
      <c r="M62" s="287"/>
      <c r="N62" s="250"/>
      <c r="R62" s="5"/>
      <c r="S62" s="57"/>
      <c r="T62" s="862"/>
      <c r="U62" s="863"/>
      <c r="V62" s="863"/>
      <c r="W62" s="864"/>
      <c r="X62" s="264">
        <f>AB80/AA74</f>
        <v>0</v>
      </c>
      <c r="Y62" s="269">
        <f>0.81*2.03</f>
        <v>1.6442999999999999</v>
      </c>
      <c r="Z62" s="269">
        <v>2.5</v>
      </c>
      <c r="AA62" s="266">
        <f t="shared" si="2"/>
        <v>0</v>
      </c>
      <c r="AB62" s="287"/>
      <c r="AC62" s="969"/>
      <c r="AD62" s="5"/>
    </row>
    <row r="63" spans="1:30" ht="18">
      <c r="A63" s="5"/>
      <c r="C63" s="5"/>
      <c r="D63" s="1008" t="s">
        <v>220</v>
      </c>
      <c r="E63" s="1009" t="s">
        <v>221</v>
      </c>
      <c r="F63" s="1009"/>
      <c r="G63" s="1009"/>
      <c r="H63" s="1009"/>
      <c r="I63" s="196" t="s">
        <v>232</v>
      </c>
      <c r="J63" s="196" t="s">
        <v>222</v>
      </c>
      <c r="K63" s="196" t="s">
        <v>223</v>
      </c>
      <c r="L63" s="231" t="s">
        <v>233</v>
      </c>
      <c r="M63" s="287"/>
      <c r="N63" s="250"/>
      <c r="R63" s="5"/>
      <c r="S63" s="57"/>
      <c r="T63" s="984"/>
      <c r="U63" s="985"/>
      <c r="V63" s="985"/>
      <c r="W63" s="985"/>
      <c r="X63" s="264">
        <f>AB83/AA74</f>
        <v>0</v>
      </c>
      <c r="Y63" s="268">
        <f>(5.35+0.15+0.075)*3.945-Y64</f>
        <v>21.993375</v>
      </c>
      <c r="Z63" s="268">
        <f>Parois!P90</f>
        <v>0</v>
      </c>
      <c r="AA63" s="266">
        <f t="shared" si="2"/>
        <v>0</v>
      </c>
      <c r="AB63" s="287"/>
      <c r="AC63" s="969"/>
      <c r="AD63" s="5"/>
    </row>
    <row r="64" spans="1:30" ht="18">
      <c r="A64" s="5"/>
      <c r="C64" s="5"/>
      <c r="D64" s="1008"/>
      <c r="E64" s="1009"/>
      <c r="F64" s="1009"/>
      <c r="G64" s="1009"/>
      <c r="H64" s="1009"/>
      <c r="I64" s="62" t="s">
        <v>228</v>
      </c>
      <c r="J64" s="62" t="s">
        <v>226</v>
      </c>
      <c r="K64" s="197" t="s">
        <v>227</v>
      </c>
      <c r="L64" s="232" t="s">
        <v>229</v>
      </c>
      <c r="M64" s="287"/>
      <c r="N64" s="250"/>
      <c r="R64" s="5"/>
      <c r="S64" s="57"/>
      <c r="T64" s="984"/>
      <c r="U64" s="985"/>
      <c r="V64" s="985"/>
      <c r="W64" s="986"/>
      <c r="X64" s="264">
        <f>AB84/AA74</f>
        <v>0</v>
      </c>
      <c r="Y64" s="268">
        <f>4*SUM(Parois!AF73:AG73)</f>
        <v>0</v>
      </c>
      <c r="Z64" s="268">
        <f>Parois!AK73</f>
        <v>0</v>
      </c>
      <c r="AA64" s="266">
        <f t="shared" si="2"/>
        <v>0</v>
      </c>
      <c r="AB64" s="287"/>
      <c r="AC64" s="969"/>
      <c r="AD64" s="5"/>
    </row>
    <row r="65" spans="1:30">
      <c r="A65" s="5"/>
      <c r="C65" s="5"/>
      <c r="D65" s="155"/>
      <c r="E65" s="981" t="s">
        <v>199</v>
      </c>
      <c r="F65" s="981"/>
      <c r="G65" s="981"/>
      <c r="H65" s="981"/>
      <c r="I65" s="264">
        <f>($L$70-J79)/$L$71</f>
        <v>0.30769230769230771</v>
      </c>
      <c r="J65" s="65">
        <f>8.5905</f>
        <v>8.5905000000000005</v>
      </c>
      <c r="K65" s="265">
        <f>Parois!L49</f>
        <v>0.39937430012814151</v>
      </c>
      <c r="L65" s="266">
        <f>PRODUCT(I65:K65)</f>
        <v>1.0556384385387079</v>
      </c>
      <c r="M65" s="287"/>
      <c r="N65" s="250"/>
      <c r="R65" s="5"/>
      <c r="S65" s="57"/>
      <c r="T65" s="984"/>
      <c r="U65" s="985"/>
      <c r="V65" s="985"/>
      <c r="W65" s="986"/>
      <c r="X65" s="264">
        <f>AB84/AA74</f>
        <v>0</v>
      </c>
      <c r="Y65" s="268">
        <f>2*0.3945</f>
        <v>0.78900000000000003</v>
      </c>
      <c r="Z65" s="268">
        <f>Parois!P76</f>
        <v>0</v>
      </c>
      <c r="AA65" s="266">
        <f t="shared" si="2"/>
        <v>0</v>
      </c>
      <c r="AB65" s="287"/>
      <c r="AC65" s="969"/>
      <c r="AD65" s="5"/>
    </row>
    <row r="66" spans="1:30" ht="18">
      <c r="A66" s="5"/>
      <c r="C66" s="5"/>
      <c r="D66" s="57" t="s">
        <v>255</v>
      </c>
      <c r="E66" s="57"/>
      <c r="F66" s="57"/>
      <c r="G66" s="57"/>
      <c r="H66" s="58"/>
      <c r="I66" s="1"/>
      <c r="J66" s="1"/>
      <c r="K66" s="91" t="s">
        <v>256</v>
      </c>
      <c r="L66" s="91" t="s">
        <v>256</v>
      </c>
      <c r="M66" s="287"/>
      <c r="N66" s="250"/>
      <c r="R66" s="5"/>
      <c r="S66" s="57"/>
      <c r="T66" s="984" t="s">
        <v>199</v>
      </c>
      <c r="U66" s="985"/>
      <c r="V66" s="985"/>
      <c r="W66" s="985"/>
      <c r="X66" s="264">
        <f>AB78/AA74</f>
        <v>0.7142857142857143</v>
      </c>
      <c r="Y66" s="268">
        <f>2*0.3945</f>
        <v>0.78900000000000003</v>
      </c>
      <c r="Z66" s="269">
        <f>Parois!L49</f>
        <v>0.39937430012814151</v>
      </c>
      <c r="AA66" s="266">
        <f t="shared" si="2"/>
        <v>0.2250759448579312</v>
      </c>
      <c r="AB66" s="287"/>
      <c r="AC66" s="969"/>
      <c r="AD66" s="5"/>
    </row>
    <row r="67" spans="1:30" ht="18">
      <c r="A67" s="5"/>
      <c r="C67" s="5"/>
      <c r="D67" s="83" t="s">
        <v>258</v>
      </c>
      <c r="E67" s="84"/>
      <c r="F67" s="84"/>
      <c r="G67" s="84"/>
      <c r="H67" s="102"/>
      <c r="I67" s="999" t="s">
        <v>259</v>
      </c>
      <c r="J67" s="999"/>
      <c r="K67" s="999"/>
      <c r="L67" s="119"/>
      <c r="M67" s="620">
        <f>L65</f>
        <v>1.0556384385387079</v>
      </c>
      <c r="N67" s="250"/>
      <c r="R67" s="5"/>
      <c r="S67" s="57" t="s">
        <v>255</v>
      </c>
      <c r="T67" s="57"/>
      <c r="U67" s="57"/>
      <c r="V67" s="57"/>
      <c r="W67" s="58"/>
      <c r="X67" s="1"/>
      <c r="Y67" s="1"/>
      <c r="Z67" s="1"/>
      <c r="AA67" s="91" t="s">
        <v>256</v>
      </c>
      <c r="AB67" s="532">
        <f>SUM(AA57:AA66)</f>
        <v>0.2250759448579312</v>
      </c>
      <c r="AC67" s="969"/>
      <c r="AD67" s="5"/>
    </row>
    <row r="68" spans="1:30" ht="18">
      <c r="A68" s="5"/>
      <c r="C68" s="5"/>
      <c r="D68" s="104" t="s">
        <v>260</v>
      </c>
      <c r="E68" s="103"/>
      <c r="F68" s="103"/>
      <c r="G68" s="103"/>
      <c r="H68" s="103"/>
      <c r="I68" s="103"/>
      <c r="J68" s="103"/>
      <c r="K68" s="103"/>
      <c r="L68" s="103"/>
      <c r="M68" s="287"/>
      <c r="N68" s="250"/>
      <c r="R68" s="5"/>
      <c r="S68" s="83" t="s">
        <v>258</v>
      </c>
      <c r="T68" s="84"/>
      <c r="U68" s="84"/>
      <c r="V68" s="84"/>
      <c r="W68" s="102"/>
      <c r="X68" s="999" t="s">
        <v>259</v>
      </c>
      <c r="Y68" s="999"/>
      <c r="Z68" s="999"/>
      <c r="AA68" s="119"/>
      <c r="AB68" s="287"/>
      <c r="AC68" s="969"/>
      <c r="AD68" s="5"/>
    </row>
    <row r="69" spans="1:30" ht="19.5">
      <c r="A69" s="5"/>
      <c r="C69" s="5"/>
      <c r="D69" s="862" t="s">
        <v>6</v>
      </c>
      <c r="E69" s="863"/>
      <c r="F69" s="863"/>
      <c r="G69" s="863"/>
      <c r="H69" s="863"/>
      <c r="I69" s="864"/>
      <c r="J69" s="1" t="s">
        <v>261</v>
      </c>
      <c r="K69" s="1" t="s">
        <v>262</v>
      </c>
      <c r="L69" s="119">
        <v>-8</v>
      </c>
      <c r="M69" s="287"/>
      <c r="N69" s="250"/>
      <c r="R69" s="5"/>
      <c r="S69" s="104" t="s">
        <v>260</v>
      </c>
      <c r="T69" s="103"/>
      <c r="U69" s="103"/>
      <c r="V69" s="103"/>
      <c r="W69" s="103"/>
      <c r="X69" s="103"/>
      <c r="Y69" s="103"/>
      <c r="Z69" s="103"/>
      <c r="AA69" s="103"/>
      <c r="AB69" s="287"/>
      <c r="AC69" s="970"/>
      <c r="AD69" s="5"/>
    </row>
    <row r="70" spans="1:30" ht="19.5">
      <c r="A70" s="5"/>
      <c r="C70" s="5"/>
      <c r="D70" s="972" t="s">
        <v>264</v>
      </c>
      <c r="E70" s="973"/>
      <c r="F70" s="973"/>
      <c r="G70" s="973"/>
      <c r="H70" s="973"/>
      <c r="I70" s="974"/>
      <c r="J70" s="1" t="s">
        <v>265</v>
      </c>
      <c r="K70" s="1" t="s">
        <v>262</v>
      </c>
      <c r="L70" s="119">
        <f>Données!G51</f>
        <v>18</v>
      </c>
      <c r="M70" s="287"/>
      <c r="N70" s="250"/>
      <c r="R70" s="5"/>
      <c r="S70" s="818" t="s">
        <v>6</v>
      </c>
      <c r="T70" s="818"/>
      <c r="U70" s="818"/>
      <c r="V70" s="818"/>
      <c r="W70" s="818"/>
      <c r="X70" s="818"/>
      <c r="Y70" s="1" t="s">
        <v>261</v>
      </c>
      <c r="Z70" s="1" t="s">
        <v>262</v>
      </c>
      <c r="AA70" s="119">
        <v>32</v>
      </c>
      <c r="AB70" s="287"/>
      <c r="AC70" s="251" t="s">
        <v>263</v>
      </c>
      <c r="AD70" s="5"/>
    </row>
    <row r="71" spans="1:30" ht="19.5">
      <c r="A71" s="5"/>
      <c r="C71" s="5"/>
      <c r="D71" s="862" t="s">
        <v>266</v>
      </c>
      <c r="E71" s="863"/>
      <c r="F71" s="863"/>
      <c r="G71" s="863"/>
      <c r="H71" s="863"/>
      <c r="I71" s="864"/>
      <c r="J71" s="101" t="s">
        <v>267</v>
      </c>
      <c r="K71" s="101" t="s">
        <v>262</v>
      </c>
      <c r="L71" s="227">
        <f>L70-L69</f>
        <v>26</v>
      </c>
      <c r="M71" s="288"/>
      <c r="N71" s="250"/>
      <c r="R71" s="5"/>
      <c r="S71" s="971" t="s">
        <v>264</v>
      </c>
      <c r="T71" s="971"/>
      <c r="U71" s="971"/>
      <c r="V71" s="971"/>
      <c r="W71" s="971"/>
      <c r="X71" s="971"/>
      <c r="Y71" s="1" t="s">
        <v>265</v>
      </c>
      <c r="Z71" s="1" t="s">
        <v>262</v>
      </c>
      <c r="AA71" s="119">
        <v>25</v>
      </c>
      <c r="AB71" s="287"/>
      <c r="AC71" s="250"/>
      <c r="AD71" s="5"/>
    </row>
    <row r="72" spans="1:30">
      <c r="A72" s="5"/>
      <c r="C72" s="5"/>
      <c r="D72" s="1017" t="s">
        <v>268</v>
      </c>
      <c r="E72" s="1018"/>
      <c r="F72" s="1018"/>
      <c r="G72" s="1018"/>
      <c r="H72" s="1018"/>
      <c r="I72" s="1018"/>
      <c r="J72" s="1018"/>
      <c r="K72" s="1018"/>
      <c r="L72" s="1019"/>
      <c r="M72" s="234">
        <f>M67*L71</f>
        <v>27.446599402006406</v>
      </c>
      <c r="N72" s="250"/>
      <c r="R72" s="5"/>
      <c r="S72" s="618"/>
      <c r="T72" s="618"/>
      <c r="U72" s="618"/>
      <c r="V72" s="618"/>
      <c r="W72" s="618"/>
      <c r="X72" s="618"/>
      <c r="Y72" s="101"/>
      <c r="Z72" s="101"/>
      <c r="AA72" s="227"/>
      <c r="AB72" s="287"/>
      <c r="AC72" s="250"/>
      <c r="AD72" s="5"/>
    </row>
    <row r="73" spans="1:30">
      <c r="A73" s="5"/>
      <c r="C73" s="5"/>
      <c r="D73" s="1020" t="s">
        <v>269</v>
      </c>
      <c r="E73" s="1021"/>
      <c r="F73" s="1021"/>
      <c r="G73" s="1021"/>
      <c r="H73" s="1021"/>
      <c r="I73" s="1021"/>
      <c r="J73" s="1021"/>
      <c r="K73" s="1021"/>
      <c r="L73" s="1021"/>
      <c r="M73" s="1022"/>
      <c r="N73" s="250"/>
      <c r="R73" s="5"/>
      <c r="S73" s="618"/>
      <c r="T73" s="618"/>
      <c r="U73" s="618"/>
      <c r="V73" s="618"/>
      <c r="W73" s="618"/>
      <c r="X73" s="618"/>
      <c r="Y73" s="101"/>
      <c r="Z73" s="101"/>
      <c r="AA73" s="227"/>
      <c r="AB73" s="287"/>
      <c r="AC73" s="250"/>
      <c r="AD73" s="5"/>
    </row>
    <row r="74" spans="1:30" ht="15.6" customHeight="1">
      <c r="A74" s="5"/>
      <c r="C74" s="5"/>
      <c r="D74" s="1023" t="s">
        <v>270</v>
      </c>
      <c r="E74" s="1024"/>
      <c r="F74" s="1024"/>
      <c r="G74" s="1024"/>
      <c r="H74" s="1024"/>
      <c r="I74" s="1025"/>
      <c r="J74" s="241" t="s">
        <v>271</v>
      </c>
      <c r="K74" s="241" t="s">
        <v>272</v>
      </c>
      <c r="L74" s="242" t="s">
        <v>273</v>
      </c>
      <c r="M74" s="235" t="s">
        <v>274</v>
      </c>
      <c r="N74" s="250"/>
      <c r="R74" s="5"/>
      <c r="S74" s="997" t="s">
        <v>266</v>
      </c>
      <c r="T74" s="997"/>
      <c r="U74" s="997"/>
      <c r="V74" s="997"/>
      <c r="W74" s="997"/>
      <c r="X74" s="997"/>
      <c r="Y74" s="101" t="s">
        <v>267</v>
      </c>
      <c r="Z74" s="101" t="s">
        <v>262</v>
      </c>
      <c r="AA74" s="227">
        <f>AA70-AA71</f>
        <v>7</v>
      </c>
      <c r="AB74" s="288"/>
      <c r="AC74" s="250"/>
      <c r="AD74" s="5"/>
    </row>
    <row r="75" spans="1:30">
      <c r="A75" s="5"/>
      <c r="C75" s="5"/>
      <c r="D75" s="844" t="s">
        <v>155</v>
      </c>
      <c r="E75" s="845"/>
      <c r="F75" s="845"/>
      <c r="G75" s="845"/>
      <c r="H75" s="845"/>
      <c r="I75" s="846"/>
      <c r="J75" s="246">
        <f>Données!E28</f>
        <v>20</v>
      </c>
      <c r="K75" s="246">
        <f>Données!Y27</f>
        <v>0</v>
      </c>
      <c r="L75" s="245">
        <f>L$70-J75</f>
        <v>-2</v>
      </c>
      <c r="M75" s="245">
        <f>$J$28-K75</f>
        <v>18</v>
      </c>
      <c r="N75" s="250"/>
      <c r="R75" s="5"/>
      <c r="S75" s="988" t="s">
        <v>268</v>
      </c>
      <c r="T75" s="988"/>
      <c r="U75" s="988"/>
      <c r="V75" s="988"/>
      <c r="W75" s="988"/>
      <c r="X75" s="988"/>
      <c r="Y75" s="988"/>
      <c r="Z75" s="988"/>
      <c r="AA75" s="988"/>
      <c r="AB75" s="234" t="e">
        <f>AA74*#REF!</f>
        <v>#REF!</v>
      </c>
      <c r="AC75" s="250"/>
      <c r="AD75" s="5"/>
    </row>
    <row r="76" spans="1:30">
      <c r="A76" s="5"/>
      <c r="C76" s="5"/>
      <c r="D76" s="862" t="s">
        <v>275</v>
      </c>
      <c r="E76" s="863"/>
      <c r="F76" s="863"/>
      <c r="G76" s="863"/>
      <c r="H76" s="863"/>
      <c r="I76" s="864"/>
      <c r="J76" s="245">
        <f>Données!E33</f>
        <v>18</v>
      </c>
      <c r="K76" s="245">
        <f>Données!Y31</f>
        <v>0</v>
      </c>
      <c r="L76" s="245">
        <f>L$70-J76</f>
        <v>0</v>
      </c>
      <c r="M76" s="245">
        <f>$J$28-K76</f>
        <v>18</v>
      </c>
      <c r="N76" s="250"/>
      <c r="R76" s="5"/>
      <c r="S76" s="989" t="s">
        <v>269</v>
      </c>
      <c r="T76" s="989"/>
      <c r="U76" s="989"/>
      <c r="V76" s="989"/>
      <c r="W76" s="989"/>
      <c r="X76" s="989"/>
      <c r="Y76" s="989"/>
      <c r="Z76" s="989"/>
      <c r="AA76" s="989"/>
      <c r="AB76" s="989"/>
      <c r="AC76" s="250"/>
      <c r="AD76" s="5"/>
    </row>
    <row r="77" spans="1:30">
      <c r="A77" s="5"/>
      <c r="C77" s="5"/>
      <c r="D77" s="972" t="s">
        <v>290</v>
      </c>
      <c r="E77" s="973"/>
      <c r="F77" s="973"/>
      <c r="G77" s="973"/>
      <c r="H77" s="973"/>
      <c r="I77" s="974"/>
      <c r="J77" s="245">
        <f>Données!G53</f>
        <v>18</v>
      </c>
      <c r="K77" s="245" t="e">
        <f>Données!#REF!</f>
        <v>#REF!</v>
      </c>
      <c r="L77" s="245">
        <f>L$70-J77</f>
        <v>0</v>
      </c>
      <c r="M77" s="245">
        <f>$J$28-J77</f>
        <v>0</v>
      </c>
      <c r="N77" s="250"/>
      <c r="R77" s="5"/>
      <c r="S77" s="990" t="s">
        <v>270</v>
      </c>
      <c r="T77" s="991"/>
      <c r="U77" s="991"/>
      <c r="V77" s="991"/>
      <c r="W77" s="991"/>
      <c r="X77" s="992"/>
      <c r="Y77" s="241" t="s">
        <v>271</v>
      </c>
      <c r="Z77" s="241" t="s">
        <v>272</v>
      </c>
      <c r="AA77" s="242" t="s">
        <v>273</v>
      </c>
      <c r="AB77" s="235" t="s">
        <v>274</v>
      </c>
      <c r="AC77" s="250"/>
      <c r="AD77" s="5"/>
    </row>
    <row r="78" spans="1:30">
      <c r="A78" s="5"/>
      <c r="C78" s="5"/>
      <c r="D78" s="972" t="s">
        <v>293</v>
      </c>
      <c r="E78" s="973"/>
      <c r="F78" s="973"/>
      <c r="G78" s="973"/>
      <c r="H78" s="973"/>
      <c r="I78" s="974"/>
      <c r="J78" s="247">
        <f>Données!E36</f>
        <v>18</v>
      </c>
      <c r="K78" s="247">
        <f>Données!Y32</f>
        <v>0</v>
      </c>
      <c r="L78" s="245">
        <f>L$70-J78</f>
        <v>0</v>
      </c>
      <c r="M78" s="245">
        <f>$J$28-K78</f>
        <v>18</v>
      </c>
      <c r="N78" s="250"/>
      <c r="R78" s="5"/>
      <c r="S78" s="844" t="s">
        <v>294</v>
      </c>
      <c r="T78" s="845"/>
      <c r="U78" s="845"/>
      <c r="V78" s="845"/>
      <c r="W78" s="845"/>
      <c r="X78" s="846"/>
      <c r="Y78" s="246" t="s">
        <v>174</v>
      </c>
      <c r="Z78" s="246">
        <f>Données!F58</f>
        <v>20</v>
      </c>
      <c r="AA78" s="245" t="s">
        <v>174</v>
      </c>
      <c r="AB78" s="245">
        <f>AA71-Z78</f>
        <v>5</v>
      </c>
      <c r="AC78" s="251" t="s">
        <v>263</v>
      </c>
      <c r="AD78" s="5"/>
    </row>
    <row r="79" spans="1:30">
      <c r="A79" s="5"/>
      <c r="C79" s="5"/>
      <c r="D79" s="862" t="s">
        <v>199</v>
      </c>
      <c r="E79" s="863"/>
      <c r="F79" s="863"/>
      <c r="G79" s="863"/>
      <c r="H79" s="863"/>
      <c r="I79" s="864"/>
      <c r="J79" s="247">
        <f>Données!G58</f>
        <v>10</v>
      </c>
      <c r="K79" s="247">
        <f>Données!Y33</f>
        <v>0</v>
      </c>
      <c r="L79" s="245">
        <f>L$70-J79</f>
        <v>8</v>
      </c>
      <c r="M79" s="245">
        <f>$J$28-K79</f>
        <v>18</v>
      </c>
      <c r="N79" s="250"/>
      <c r="R79" s="5"/>
      <c r="S79" s="818"/>
      <c r="T79" s="818"/>
      <c r="U79" s="818"/>
      <c r="V79" s="818"/>
      <c r="W79" s="818"/>
      <c r="X79" s="818"/>
      <c r="Y79" s="245" t="s">
        <v>174</v>
      </c>
      <c r="Z79" s="245">
        <f>Données!J77</f>
        <v>0</v>
      </c>
      <c r="AA79" s="245" t="s">
        <v>174</v>
      </c>
      <c r="AB79" s="245">
        <f t="shared" ref="AB79:AB84" si="3">AA$23-Z79</f>
        <v>0</v>
      </c>
      <c r="AC79" s="253" t="s">
        <v>263</v>
      </c>
      <c r="AD79" s="5"/>
    </row>
    <row r="80" spans="1:30">
      <c r="A80" s="5"/>
      <c r="C80" s="5"/>
      <c r="D80" s="1011" t="s">
        <v>278</v>
      </c>
      <c r="E80" s="1012"/>
      <c r="F80" s="1012"/>
      <c r="G80" s="1012"/>
      <c r="H80" s="1012"/>
      <c r="I80" s="1012"/>
      <c r="J80" s="1012"/>
      <c r="K80" s="1012"/>
      <c r="L80" s="1013"/>
      <c r="M80" s="249"/>
      <c r="N80" s="250"/>
      <c r="R80" s="5"/>
      <c r="S80" s="971"/>
      <c r="T80" s="971"/>
      <c r="U80" s="971"/>
      <c r="V80" s="971"/>
      <c r="W80" s="971"/>
      <c r="X80" s="971"/>
      <c r="Y80" s="245" t="s">
        <v>174</v>
      </c>
      <c r="Z80" s="245">
        <f>Données!J81</f>
        <v>0</v>
      </c>
      <c r="AA80" s="245" t="s">
        <v>174</v>
      </c>
      <c r="AB80" s="245">
        <f t="shared" si="3"/>
        <v>0</v>
      </c>
      <c r="AC80" s="5"/>
      <c r="AD80" s="5"/>
    </row>
    <row r="81" spans="1:30" ht="18.75">
      <c r="A81" s="5"/>
      <c r="C81" s="5"/>
      <c r="D81" s="1014" t="s">
        <v>279</v>
      </c>
      <c r="E81" s="1015"/>
      <c r="F81" s="1015"/>
      <c r="G81" s="1015"/>
      <c r="H81" s="1015"/>
      <c r="I81" s="1015"/>
      <c r="J81" s="1015"/>
      <c r="K81" s="1015"/>
      <c r="L81" s="1016"/>
      <c r="M81" s="271">
        <f>M72</f>
        <v>27.446599402006406</v>
      </c>
      <c r="N81" s="250"/>
      <c r="S81" s="972"/>
      <c r="T81" s="973"/>
      <c r="U81" s="973"/>
      <c r="V81" s="973"/>
      <c r="W81" s="973"/>
      <c r="X81" s="974"/>
      <c r="Y81" s="247" t="s">
        <v>174</v>
      </c>
      <c r="Z81" s="247">
        <f>Données!J78</f>
        <v>0</v>
      </c>
      <c r="AA81" s="245" t="s">
        <v>174</v>
      </c>
      <c r="AB81" s="245">
        <f t="shared" si="3"/>
        <v>0</v>
      </c>
      <c r="AD81" s="5"/>
    </row>
    <row r="82" spans="1:30">
      <c r="A82" s="5"/>
      <c r="C82" s="5"/>
      <c r="D82" s="5"/>
      <c r="E82" s="5"/>
      <c r="F82" s="5"/>
      <c r="G82" s="5"/>
      <c r="H82" s="5"/>
      <c r="I82" s="5"/>
      <c r="J82" s="5"/>
      <c r="K82" s="5"/>
      <c r="L82" s="5"/>
      <c r="M82" s="5"/>
      <c r="N82" s="250"/>
      <c r="S82" s="997"/>
      <c r="T82" s="997"/>
      <c r="U82" s="997"/>
      <c r="V82" s="997"/>
      <c r="W82" s="997"/>
      <c r="X82" s="997"/>
      <c r="Y82" s="247" t="s">
        <v>174</v>
      </c>
      <c r="Z82" s="247">
        <f>Données!J106</f>
        <v>0</v>
      </c>
      <c r="AA82" s="245"/>
      <c r="AB82" s="245">
        <f t="shared" si="3"/>
        <v>0</v>
      </c>
      <c r="AD82" s="5"/>
    </row>
    <row r="83" spans="1:30">
      <c r="A83" s="5"/>
      <c r="C83" s="5"/>
      <c r="D83" s="5"/>
      <c r="E83" s="5"/>
      <c r="F83" s="5"/>
      <c r="G83" s="5"/>
      <c r="H83" s="5"/>
      <c r="I83" s="5"/>
      <c r="J83" s="5"/>
      <c r="K83" s="5"/>
      <c r="L83" s="5"/>
      <c r="M83" s="5"/>
      <c r="N83" s="250"/>
      <c r="S83" s="862"/>
      <c r="T83" s="863"/>
      <c r="U83" s="863"/>
      <c r="V83" s="863"/>
      <c r="W83" s="863"/>
      <c r="X83" s="864"/>
      <c r="Y83" s="247" t="s">
        <v>174</v>
      </c>
      <c r="Z83" s="247">
        <f>Données!J84</f>
        <v>0</v>
      </c>
      <c r="AA83" s="245"/>
      <c r="AB83" s="245">
        <f t="shared" si="3"/>
        <v>0</v>
      </c>
      <c r="AD83" s="5"/>
    </row>
    <row r="84" spans="1:30">
      <c r="A84" s="5"/>
      <c r="C84" s="5"/>
      <c r="D84" s="5"/>
      <c r="E84" s="5"/>
      <c r="F84" s="5"/>
      <c r="G84" s="5"/>
      <c r="H84" s="5"/>
      <c r="I84" s="5"/>
      <c r="J84" s="5"/>
      <c r="K84" s="5"/>
      <c r="L84" s="5"/>
      <c r="M84" s="5"/>
      <c r="N84" s="250"/>
      <c r="S84" s="862"/>
      <c r="T84" s="863"/>
      <c r="U84" s="863"/>
      <c r="V84" s="863"/>
      <c r="W84" s="863"/>
      <c r="X84" s="864"/>
      <c r="Y84" s="247" t="s">
        <v>174</v>
      </c>
      <c r="Z84" s="247">
        <f>Données!J99</f>
        <v>0</v>
      </c>
      <c r="AA84" s="245" t="s">
        <v>174</v>
      </c>
      <c r="AB84" s="245">
        <f t="shared" si="3"/>
        <v>0</v>
      </c>
      <c r="AD84" s="5"/>
    </row>
    <row r="85" spans="1:30">
      <c r="A85" s="5"/>
      <c r="C85" s="5"/>
      <c r="D85" s="5"/>
      <c r="E85" s="5"/>
      <c r="F85" s="5"/>
      <c r="G85" s="5"/>
      <c r="H85" s="5"/>
      <c r="I85" s="5"/>
      <c r="J85" s="5"/>
      <c r="K85" s="5"/>
      <c r="L85" s="5"/>
      <c r="M85" s="5"/>
      <c r="N85" s="250"/>
      <c r="S85" s="993" t="s">
        <v>278</v>
      </c>
      <c r="T85" s="993"/>
      <c r="U85" s="993"/>
      <c r="V85" s="993"/>
      <c r="W85" s="993"/>
      <c r="X85" s="993"/>
      <c r="Y85" s="993"/>
      <c r="Z85" s="993"/>
      <c r="AA85" s="993"/>
      <c r="AB85" s="249">
        <f>AB67*AA74</f>
        <v>1.5755316140055184</v>
      </c>
      <c r="AD85" s="5"/>
    </row>
    <row r="86" spans="1:30" ht="18.75">
      <c r="A86" s="5"/>
      <c r="C86" s="5"/>
      <c r="D86" s="5"/>
      <c r="E86" s="5"/>
      <c r="F86" s="5"/>
      <c r="G86" s="5"/>
      <c r="H86" s="5"/>
      <c r="I86" s="5"/>
      <c r="J86" s="5"/>
      <c r="K86" s="5"/>
      <c r="L86" s="5"/>
      <c r="M86" s="5"/>
      <c r="N86" s="250"/>
      <c r="S86" s="987" t="s">
        <v>279</v>
      </c>
      <c r="T86" s="987"/>
      <c r="U86" s="987"/>
      <c r="V86" s="987"/>
      <c r="W86" s="987"/>
      <c r="X86" s="987"/>
      <c r="Y86" s="987"/>
      <c r="Z86" s="987"/>
      <c r="AA86" s="987"/>
      <c r="AB86" s="271" t="e">
        <f>AB75+AB85</f>
        <v>#REF!</v>
      </c>
      <c r="AD86" s="5"/>
    </row>
    <row r="87" spans="1:30">
      <c r="A87" s="5"/>
      <c r="C87" s="5"/>
      <c r="N87" s="250"/>
      <c r="S87" s="5"/>
      <c r="T87" s="5"/>
      <c r="U87" s="5"/>
      <c r="V87" s="5"/>
      <c r="W87" s="5"/>
      <c r="X87" s="5"/>
      <c r="Y87" s="5"/>
      <c r="Z87" s="5"/>
      <c r="AA87" s="5"/>
      <c r="AB87" s="5"/>
      <c r="AD87" s="5"/>
    </row>
    <row r="88" spans="1:30">
      <c r="A88" s="5"/>
      <c r="C88" s="5"/>
      <c r="N88" s="631"/>
      <c r="AD88" s="5"/>
    </row>
    <row r="89" spans="1:30">
      <c r="A89" s="5"/>
      <c r="C89" s="5"/>
      <c r="N89" s="631"/>
    </row>
    <row r="90" spans="1:30">
      <c r="A90" s="5"/>
      <c r="C90" s="5"/>
      <c r="N90" s="631"/>
    </row>
    <row r="91" spans="1:30">
      <c r="C91" s="5"/>
      <c r="N91" s="631"/>
    </row>
    <row r="92" spans="1:30">
      <c r="C92" s="5"/>
      <c r="N92" s="631"/>
    </row>
    <row r="93" spans="1:30">
      <c r="C93" s="5"/>
      <c r="N93" s="631"/>
    </row>
    <row r="94" spans="1:30">
      <c r="C94" s="5"/>
      <c r="N94" s="631"/>
    </row>
    <row r="95" spans="1:30">
      <c r="C95" s="5"/>
      <c r="N95" s="631"/>
    </row>
    <row r="96" spans="1:30">
      <c r="C96" s="5"/>
      <c r="N96" s="631"/>
    </row>
    <row r="97" spans="3:14">
      <c r="C97" s="5"/>
      <c r="N97" s="631"/>
    </row>
    <row r="98" spans="3:14">
      <c r="C98" s="5"/>
      <c r="N98" s="631"/>
    </row>
    <row r="99" spans="3:14">
      <c r="C99" s="5"/>
      <c r="N99" s="631"/>
    </row>
    <row r="100" spans="3:14">
      <c r="C100" s="5"/>
      <c r="N100" s="251"/>
    </row>
    <row r="101" spans="3:14">
      <c r="C101" s="5"/>
      <c r="N101" s="250"/>
    </row>
    <row r="102" spans="3:14">
      <c r="C102" s="5"/>
      <c r="N102" s="250"/>
    </row>
    <row r="103" spans="3:14">
      <c r="C103" s="5"/>
      <c r="N103" s="250"/>
    </row>
    <row r="104" spans="3:14">
      <c r="C104" s="5"/>
      <c r="N104" s="250"/>
    </row>
    <row r="105" spans="3:14">
      <c r="C105" s="5"/>
      <c r="N105" s="250"/>
    </row>
    <row r="106" spans="3:14">
      <c r="C106" s="5"/>
      <c r="N106" s="250"/>
    </row>
    <row r="107" spans="3:14">
      <c r="C107" s="5"/>
      <c r="N107" s="250"/>
    </row>
    <row r="108" spans="3:14">
      <c r="C108" s="5"/>
      <c r="N108" s="251"/>
    </row>
    <row r="109" spans="3:14">
      <c r="C109" s="5"/>
      <c r="N109" s="253"/>
    </row>
    <row r="110" spans="3:14">
      <c r="C110" s="5"/>
      <c r="N110" s="5"/>
    </row>
    <row r="111" spans="3:14">
      <c r="C111" s="5"/>
      <c r="N111" s="5"/>
    </row>
    <row r="112" spans="3:14">
      <c r="C112" s="5"/>
      <c r="N112" s="5"/>
    </row>
    <row r="113" spans="3:14">
      <c r="C113" s="5"/>
      <c r="N113" s="5"/>
    </row>
    <row r="114" spans="3:14">
      <c r="C114" s="5"/>
      <c r="N114" s="5"/>
    </row>
  </sheetData>
  <mergeCells count="122">
    <mergeCell ref="S82:X82"/>
    <mergeCell ref="S83:X83"/>
    <mergeCell ref="S84:X84"/>
    <mergeCell ref="S85:AA85"/>
    <mergeCell ref="S86:AA86"/>
    <mergeCell ref="S77:X77"/>
    <mergeCell ref="S78:X78"/>
    <mergeCell ref="S79:X79"/>
    <mergeCell ref="S80:X80"/>
    <mergeCell ref="S81:X81"/>
    <mergeCell ref="S70:X70"/>
    <mergeCell ref="S71:X71"/>
    <mergeCell ref="S74:X74"/>
    <mergeCell ref="S75:AA75"/>
    <mergeCell ref="S76:AB76"/>
    <mergeCell ref="T57:W57"/>
    <mergeCell ref="AC57:AC69"/>
    <mergeCell ref="T58:W58"/>
    <mergeCell ref="T59:W59"/>
    <mergeCell ref="T60:W60"/>
    <mergeCell ref="T61:W61"/>
    <mergeCell ref="T62:W62"/>
    <mergeCell ref="T63:W63"/>
    <mergeCell ref="T64:W64"/>
    <mergeCell ref="T65:W65"/>
    <mergeCell ref="T66:W66"/>
    <mergeCell ref="X68:Z68"/>
    <mergeCell ref="Q33:V33"/>
    <mergeCell ref="Q34:V34"/>
    <mergeCell ref="Q35:Y35"/>
    <mergeCell ref="Q36:Y36"/>
    <mergeCell ref="S55:S56"/>
    <mergeCell ref="T55:W56"/>
    <mergeCell ref="Q28:V28"/>
    <mergeCell ref="Q29:V29"/>
    <mergeCell ref="Q30:V30"/>
    <mergeCell ref="Q31:V31"/>
    <mergeCell ref="Q32:V32"/>
    <mergeCell ref="Q21:V21"/>
    <mergeCell ref="Q24:V24"/>
    <mergeCell ref="Q25:Y25"/>
    <mergeCell ref="Q26:Z26"/>
    <mergeCell ref="Q27:V27"/>
    <mergeCell ref="Q5:Q6"/>
    <mergeCell ref="R5:U6"/>
    <mergeCell ref="R7:U7"/>
    <mergeCell ref="AA7:AA19"/>
    <mergeCell ref="R8:U8"/>
    <mergeCell ref="R9:U9"/>
    <mergeCell ref="R10:U10"/>
    <mergeCell ref="R11:U11"/>
    <mergeCell ref="R12:U12"/>
    <mergeCell ref="R13:U13"/>
    <mergeCell ref="R14:U14"/>
    <mergeCell ref="R15:U15"/>
    <mergeCell ref="R16:U16"/>
    <mergeCell ref="V18:X18"/>
    <mergeCell ref="Q20:V20"/>
    <mergeCell ref="B16:B17"/>
    <mergeCell ref="C16:F17"/>
    <mergeCell ref="C18:F18"/>
    <mergeCell ref="H14:J14"/>
    <mergeCell ref="C23:F23"/>
    <mergeCell ref="B34:G34"/>
    <mergeCell ref="B35:G35"/>
    <mergeCell ref="B36:G36"/>
    <mergeCell ref="C22:F22"/>
    <mergeCell ref="G25:I25"/>
    <mergeCell ref="B27:G27"/>
    <mergeCell ref="C19:F19"/>
    <mergeCell ref="C20:F20"/>
    <mergeCell ref="C21:F21"/>
    <mergeCell ref="A2:L3"/>
    <mergeCell ref="B4:J4"/>
    <mergeCell ref="B5:B6"/>
    <mergeCell ref="C5:F6"/>
    <mergeCell ref="C7:F7"/>
    <mergeCell ref="B13:J13"/>
    <mergeCell ref="B8:I8"/>
    <mergeCell ref="B9:G9"/>
    <mergeCell ref="H9:J9"/>
    <mergeCell ref="B10:J10"/>
    <mergeCell ref="B11:B12"/>
    <mergeCell ref="C11:F12"/>
    <mergeCell ref="C50:N51"/>
    <mergeCell ref="D52:L52"/>
    <mergeCell ref="D53:D54"/>
    <mergeCell ref="E53:H54"/>
    <mergeCell ref="E55:H55"/>
    <mergeCell ref="E60:H60"/>
    <mergeCell ref="D56:I56"/>
    <mergeCell ref="J56:L56"/>
    <mergeCell ref="D57:L57"/>
    <mergeCell ref="D58:D59"/>
    <mergeCell ref="E58:H59"/>
    <mergeCell ref="D76:I76"/>
    <mergeCell ref="D77:I77"/>
    <mergeCell ref="D78:I78"/>
    <mergeCell ref="D79:I79"/>
    <mergeCell ref="D80:L80"/>
    <mergeCell ref="D81:L81"/>
    <mergeCell ref="D63:D64"/>
    <mergeCell ref="E63:H64"/>
    <mergeCell ref="D61:L61"/>
    <mergeCell ref="E65:H65"/>
    <mergeCell ref="I67:K67"/>
    <mergeCell ref="D69:I69"/>
    <mergeCell ref="D70:I70"/>
    <mergeCell ref="D71:I71"/>
    <mergeCell ref="D72:L72"/>
    <mergeCell ref="D73:M73"/>
    <mergeCell ref="D74:I74"/>
    <mergeCell ref="D75:I75"/>
    <mergeCell ref="B37:G37"/>
    <mergeCell ref="B38:J38"/>
    <mergeCell ref="B39:J39"/>
    <mergeCell ref="B28:G28"/>
    <mergeCell ref="B29:G29"/>
    <mergeCell ref="B30:J30"/>
    <mergeCell ref="B31:K31"/>
    <mergeCell ref="B32:G32"/>
    <mergeCell ref="B33:G33"/>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220223-CAE1-42AF-996D-08C338E081E7}">
  <sheetPr codeName="Feuil5"/>
  <dimension ref="A1:Z57"/>
  <sheetViews>
    <sheetView zoomScale="86" workbookViewId="0">
      <selection activeCell="X37" sqref="X37"/>
    </sheetView>
  </sheetViews>
  <sheetFormatPr baseColWidth="10" defaultColWidth="11" defaultRowHeight="15.75"/>
  <sheetData>
    <row r="1" spans="1:26">
      <c r="A1" s="5"/>
      <c r="B1" s="5"/>
      <c r="C1" s="5"/>
      <c r="D1" s="5"/>
      <c r="E1" s="5"/>
      <c r="F1" s="5"/>
      <c r="G1" s="5"/>
      <c r="H1" s="5"/>
      <c r="I1" s="5"/>
      <c r="J1" s="5"/>
      <c r="K1" s="5"/>
      <c r="L1" s="5"/>
      <c r="M1" s="5"/>
    </row>
    <row r="2" spans="1:26">
      <c r="A2" s="5"/>
      <c r="B2" s="5"/>
      <c r="C2" s="5"/>
      <c r="D2" s="5"/>
      <c r="E2" s="5"/>
      <c r="F2" s="5"/>
      <c r="G2" s="5"/>
      <c r="H2" s="5"/>
      <c r="I2" s="5"/>
      <c r="J2" s="5"/>
      <c r="K2" s="5"/>
      <c r="L2" s="5"/>
      <c r="M2" s="5"/>
    </row>
    <row r="3" spans="1:26">
      <c r="A3" s="5"/>
      <c r="B3" s="1001" t="s">
        <v>219</v>
      </c>
      <c r="C3" s="1001"/>
      <c r="D3" s="1001"/>
      <c r="E3" s="1001"/>
      <c r="F3" s="1001"/>
      <c r="G3" s="1001"/>
      <c r="H3" s="1001"/>
      <c r="I3" s="1001"/>
      <c r="J3" s="1002"/>
      <c r="K3" s="286"/>
      <c r="L3" s="250"/>
      <c r="M3" s="5"/>
    </row>
    <row r="4" spans="1:26" ht="18">
      <c r="A4" s="5"/>
      <c r="B4" s="994" t="s">
        <v>220</v>
      </c>
      <c r="C4" s="994" t="s">
        <v>221</v>
      </c>
      <c r="D4" s="994"/>
      <c r="E4" s="994"/>
      <c r="F4" s="994"/>
      <c r="G4" s="108" t="s">
        <v>222</v>
      </c>
      <c r="H4" s="108" t="s">
        <v>223</v>
      </c>
      <c r="I4" s="108" t="s">
        <v>224</v>
      </c>
      <c r="J4" s="91" t="s">
        <v>225</v>
      </c>
      <c r="K4" s="287"/>
      <c r="L4" s="250"/>
      <c r="M4" s="5"/>
      <c r="N4" s="5"/>
      <c r="O4" s="5"/>
      <c r="P4" s="5"/>
      <c r="Q4" s="5"/>
      <c r="R4" s="5"/>
      <c r="S4" s="5"/>
      <c r="T4" s="5"/>
      <c r="U4" s="5"/>
      <c r="V4" s="5"/>
      <c r="W4" s="5"/>
      <c r="X4" s="5"/>
      <c r="Y4" s="5"/>
      <c r="Z4" s="5"/>
    </row>
    <row r="5" spans="1:26" ht="18.75">
      <c r="A5" s="5"/>
      <c r="B5" s="994"/>
      <c r="C5" s="994"/>
      <c r="D5" s="994"/>
      <c r="E5" s="994"/>
      <c r="F5" s="994"/>
      <c r="G5" s="2" t="s">
        <v>226</v>
      </c>
      <c r="H5" s="89" t="s">
        <v>227</v>
      </c>
      <c r="I5" s="89" t="s">
        <v>228</v>
      </c>
      <c r="J5" s="92" t="s">
        <v>229</v>
      </c>
      <c r="K5" s="287"/>
      <c r="L5" s="250"/>
      <c r="M5" s="5"/>
      <c r="N5" s="5"/>
      <c r="O5" s="5"/>
      <c r="P5" s="5"/>
      <c r="Q5" s="5"/>
      <c r="R5" s="5"/>
      <c r="S5" s="5"/>
      <c r="T5" s="5"/>
      <c r="U5" s="5"/>
      <c r="V5" s="5"/>
      <c r="W5" s="5"/>
      <c r="X5" s="5"/>
      <c r="Y5" s="5"/>
      <c r="Z5" s="5"/>
    </row>
    <row r="6" spans="1:26">
      <c r="A6" s="5"/>
      <c r="B6" s="2" t="s">
        <v>295</v>
      </c>
      <c r="C6" s="818" t="s">
        <v>296</v>
      </c>
      <c r="D6" s="818"/>
      <c r="E6" s="818"/>
      <c r="F6" s="818"/>
      <c r="G6" s="1">
        <f>3.8*3.94</f>
        <v>14.972</v>
      </c>
      <c r="H6" s="1">
        <f>Parois!L13</f>
        <v>0.31196948579298983</v>
      </c>
      <c r="I6" s="1">
        <v>0</v>
      </c>
      <c r="J6" s="230">
        <f>G6*H6*I6</f>
        <v>0</v>
      </c>
      <c r="K6" s="287"/>
      <c r="L6" s="250"/>
      <c r="M6" s="5"/>
      <c r="N6" s="5"/>
      <c r="O6" s="1072" t="s">
        <v>297</v>
      </c>
      <c r="P6" s="1073"/>
      <c r="Q6" s="1073"/>
      <c r="R6" s="1073"/>
      <c r="S6" s="1073"/>
      <c r="T6" s="1073"/>
      <c r="U6" s="1073"/>
      <c r="V6" s="1073"/>
      <c r="W6" s="1074"/>
      <c r="X6" s="552"/>
      <c r="Y6" s="553"/>
      <c r="Z6" s="5"/>
    </row>
    <row r="7" spans="1:26" ht="18.75">
      <c r="A7" s="5"/>
      <c r="B7" s="1005"/>
      <c r="C7" s="1006"/>
      <c r="D7" s="1006"/>
      <c r="E7" s="1006"/>
      <c r="F7" s="1006"/>
      <c r="G7" s="1006"/>
      <c r="H7" s="1006"/>
      <c r="I7" s="1007"/>
      <c r="J7" s="105">
        <f>SUM(J6:J6)</f>
        <v>0</v>
      </c>
      <c r="K7" s="287"/>
      <c r="L7" s="250"/>
      <c r="M7" s="5"/>
      <c r="N7" s="5"/>
      <c r="O7" s="1075" t="s">
        <v>220</v>
      </c>
      <c r="P7" s="1077" t="s">
        <v>221</v>
      </c>
      <c r="Q7" s="1078"/>
      <c r="R7" s="1078"/>
      <c r="S7" s="1079"/>
      <c r="T7" s="161" t="s">
        <v>298</v>
      </c>
      <c r="U7" s="161" t="s">
        <v>299</v>
      </c>
      <c r="V7" s="161" t="s">
        <v>300</v>
      </c>
      <c r="W7" s="162" t="s">
        <v>301</v>
      </c>
      <c r="X7" s="554"/>
      <c r="Y7" s="553"/>
      <c r="Z7" s="5"/>
    </row>
    <row r="8" spans="1:26" ht="18.75">
      <c r="A8" s="5"/>
      <c r="B8" s="1008" t="s">
        <v>220</v>
      </c>
      <c r="C8" s="1009" t="s">
        <v>302</v>
      </c>
      <c r="D8" s="1010"/>
      <c r="E8" s="1010"/>
      <c r="F8" s="1121"/>
      <c r="G8" s="114" t="s">
        <v>303</v>
      </c>
      <c r="H8" s="114" t="s">
        <v>304</v>
      </c>
      <c r="I8" s="114" t="s">
        <v>224</v>
      </c>
      <c r="J8" s="90" t="s">
        <v>305</v>
      </c>
      <c r="K8" s="287"/>
      <c r="L8" s="250"/>
      <c r="M8" s="5"/>
      <c r="N8" s="5"/>
      <c r="O8" s="1076"/>
      <c r="P8" s="1080"/>
      <c r="Q8" s="1081"/>
      <c r="R8" s="1081"/>
      <c r="S8" s="1082"/>
      <c r="T8" s="164" t="s">
        <v>306</v>
      </c>
      <c r="U8" s="165" t="s">
        <v>227</v>
      </c>
      <c r="V8" s="165" t="s">
        <v>228</v>
      </c>
      <c r="W8" s="166" t="s">
        <v>229</v>
      </c>
      <c r="X8" s="554"/>
      <c r="Y8" s="553"/>
      <c r="Z8" s="5"/>
    </row>
    <row r="9" spans="1:26">
      <c r="A9" s="5"/>
      <c r="B9" s="976"/>
      <c r="C9" s="979"/>
      <c r="D9" s="980"/>
      <c r="E9" s="980"/>
      <c r="F9" s="1122"/>
      <c r="G9" s="57" t="s">
        <v>307</v>
      </c>
      <c r="H9" s="57" t="s">
        <v>308</v>
      </c>
      <c r="I9" s="57" t="s">
        <v>228</v>
      </c>
      <c r="J9" s="58" t="s">
        <v>229</v>
      </c>
      <c r="K9" s="287"/>
      <c r="L9" s="250"/>
      <c r="M9" s="5"/>
      <c r="N9" s="5"/>
      <c r="O9" s="540" t="s">
        <v>309</v>
      </c>
      <c r="P9" s="818" t="s">
        <v>296</v>
      </c>
      <c r="Q9" s="818"/>
      <c r="R9" s="818"/>
      <c r="S9" s="818"/>
      <c r="T9" s="1">
        <f>3.8*3.94</f>
        <v>14.972</v>
      </c>
      <c r="U9" s="1">
        <f>Parois!L13</f>
        <v>0.31196948579298983</v>
      </c>
      <c r="V9" s="1">
        <v>1</v>
      </c>
      <c r="W9" s="459">
        <f>T9*U9*V9</f>
        <v>4.6708071412926433</v>
      </c>
      <c r="X9" s="554"/>
      <c r="Y9" s="553"/>
      <c r="Z9" s="5"/>
    </row>
    <row r="10" spans="1:26">
      <c r="A10" s="5"/>
      <c r="B10" s="57"/>
      <c r="C10" s="1123" t="s">
        <v>174</v>
      </c>
      <c r="D10" s="1124"/>
      <c r="E10" s="1124"/>
      <c r="F10" s="1125"/>
      <c r="G10" s="57"/>
      <c r="H10" s="59"/>
      <c r="I10" s="59"/>
      <c r="J10" s="94"/>
      <c r="K10" s="287"/>
      <c r="L10" s="250"/>
      <c r="M10" s="5"/>
      <c r="N10" s="5"/>
      <c r="O10" s="1118"/>
      <c r="P10" s="1119"/>
      <c r="Q10" s="1119"/>
      <c r="R10" s="1119"/>
      <c r="S10" s="1119"/>
      <c r="T10" s="1119"/>
      <c r="U10" s="1119"/>
      <c r="V10" s="1120"/>
      <c r="W10" s="160"/>
      <c r="X10" s="554"/>
      <c r="Y10" s="553"/>
      <c r="Z10" s="5"/>
    </row>
    <row r="11" spans="1:26" ht="18.75">
      <c r="A11" s="5"/>
      <c r="B11" s="1029" t="s">
        <v>282</v>
      </c>
      <c r="C11" s="1126"/>
      <c r="D11" s="1126"/>
      <c r="E11" s="1126"/>
      <c r="F11" s="1126"/>
      <c r="G11" s="1126"/>
      <c r="H11" s="1127"/>
      <c r="I11" s="1128"/>
      <c r="J11" s="95">
        <f>0</f>
        <v>0</v>
      </c>
      <c r="K11" s="287"/>
      <c r="L11" s="250"/>
      <c r="M11" s="5"/>
      <c r="N11" s="5"/>
      <c r="O11" s="1061" t="s">
        <v>220</v>
      </c>
      <c r="P11" s="1063" t="s">
        <v>302</v>
      </c>
      <c r="Q11" s="1064"/>
      <c r="R11" s="1064"/>
      <c r="S11" s="1104"/>
      <c r="T11" s="168" t="s">
        <v>310</v>
      </c>
      <c r="U11" s="168" t="s">
        <v>311</v>
      </c>
      <c r="V11" s="168" t="s">
        <v>300</v>
      </c>
      <c r="W11" s="169" t="s">
        <v>312</v>
      </c>
      <c r="X11" s="554"/>
      <c r="Y11" s="553"/>
      <c r="Z11" s="5"/>
    </row>
    <row r="12" spans="1:26" ht="18">
      <c r="A12" s="5"/>
      <c r="B12" s="995" t="s">
        <v>244</v>
      </c>
      <c r="C12" s="996"/>
      <c r="D12" s="996"/>
      <c r="E12" s="996"/>
      <c r="F12" s="996"/>
      <c r="G12" s="996"/>
      <c r="H12" s="1028" t="s">
        <v>245</v>
      </c>
      <c r="I12" s="1028"/>
      <c r="J12" s="1129"/>
      <c r="K12" s="287"/>
      <c r="L12" s="250"/>
      <c r="M12" s="5"/>
      <c r="N12" s="5"/>
      <c r="O12" s="1062"/>
      <c r="P12" s="1066"/>
      <c r="Q12" s="1067"/>
      <c r="R12" s="1067"/>
      <c r="S12" s="1105"/>
      <c r="T12" s="170" t="s">
        <v>307</v>
      </c>
      <c r="U12" s="170" t="s">
        <v>308</v>
      </c>
      <c r="V12" s="170" t="s">
        <v>228</v>
      </c>
      <c r="W12" s="171" t="s">
        <v>229</v>
      </c>
      <c r="X12" s="554"/>
      <c r="Y12" s="553"/>
      <c r="Z12" s="5"/>
    </row>
    <row r="13" spans="1:26">
      <c r="A13" s="5"/>
      <c r="B13" s="1001" t="s">
        <v>247</v>
      </c>
      <c r="C13" s="1001"/>
      <c r="D13" s="1001"/>
      <c r="E13" s="1001"/>
      <c r="F13" s="1001"/>
      <c r="G13" s="1001"/>
      <c r="H13" s="1001"/>
      <c r="I13" s="1001"/>
      <c r="J13" s="1002"/>
      <c r="K13" s="287"/>
      <c r="L13" s="250"/>
      <c r="M13" s="5"/>
      <c r="N13" s="5"/>
      <c r="O13" s="172"/>
      <c r="P13" s="1106" t="s">
        <v>174</v>
      </c>
      <c r="Q13" s="1107"/>
      <c r="R13" s="1107"/>
      <c r="S13" s="1108"/>
      <c r="T13" s="170"/>
      <c r="U13" s="173"/>
      <c r="V13" s="173"/>
      <c r="W13" s="163"/>
      <c r="X13" s="554"/>
      <c r="Y13" s="553"/>
      <c r="Z13" s="5"/>
    </row>
    <row r="14" spans="1:26" ht="18.75">
      <c r="A14" s="5"/>
      <c r="B14" s="994" t="s">
        <v>220</v>
      </c>
      <c r="C14" s="994" t="s">
        <v>249</v>
      </c>
      <c r="D14" s="994"/>
      <c r="E14" s="994"/>
      <c r="F14" s="994"/>
      <c r="G14" s="108" t="s">
        <v>222</v>
      </c>
      <c r="H14" s="108" t="s">
        <v>223</v>
      </c>
      <c r="I14" s="313" t="s">
        <v>250</v>
      </c>
      <c r="J14" s="109" t="s">
        <v>251</v>
      </c>
      <c r="K14" s="287"/>
      <c r="L14" s="250"/>
      <c r="M14" s="5"/>
      <c r="N14" s="5"/>
      <c r="O14" s="1109" t="s">
        <v>313</v>
      </c>
      <c r="P14" s="1110"/>
      <c r="Q14" s="1110"/>
      <c r="R14" s="1110"/>
      <c r="S14" s="1110"/>
      <c r="T14" s="1110"/>
      <c r="U14" s="1110"/>
      <c r="V14" s="1111"/>
      <c r="W14" s="174">
        <v>0</v>
      </c>
      <c r="X14" s="554"/>
      <c r="Y14" s="553"/>
      <c r="Z14" s="5"/>
    </row>
    <row r="15" spans="1:26" ht="20.25">
      <c r="A15" s="5"/>
      <c r="B15" s="994"/>
      <c r="C15" s="994"/>
      <c r="D15" s="994"/>
      <c r="E15" s="994"/>
      <c r="F15" s="994"/>
      <c r="G15" s="2" t="s">
        <v>226</v>
      </c>
      <c r="H15" s="89" t="s">
        <v>227</v>
      </c>
      <c r="I15" s="89" t="s">
        <v>228</v>
      </c>
      <c r="J15" s="92" t="s">
        <v>229</v>
      </c>
      <c r="K15" s="287"/>
      <c r="L15" s="250"/>
      <c r="M15" s="5"/>
      <c r="N15" s="5"/>
      <c r="O15" s="1112" t="s">
        <v>244</v>
      </c>
      <c r="P15" s="1113"/>
      <c r="Q15" s="1113"/>
      <c r="R15" s="1113"/>
      <c r="S15" s="1113"/>
      <c r="T15" s="1114"/>
      <c r="U15" s="1115" t="s">
        <v>314</v>
      </c>
      <c r="V15" s="1116"/>
      <c r="W15" s="1117"/>
      <c r="X15" s="554"/>
      <c r="Y15" s="553"/>
      <c r="Z15" s="5"/>
    </row>
    <row r="16" spans="1:26">
      <c r="A16" s="5"/>
      <c r="B16" s="1"/>
      <c r="C16" s="862"/>
      <c r="D16" s="863"/>
      <c r="E16" s="863"/>
      <c r="F16" s="864"/>
      <c r="G16" s="269" t="s">
        <v>174</v>
      </c>
      <c r="H16" s="269" t="s">
        <v>174</v>
      </c>
      <c r="I16" s="269" t="s">
        <v>174</v>
      </c>
      <c r="J16" s="270"/>
      <c r="K16" s="287"/>
      <c r="L16" s="250"/>
      <c r="M16" s="5"/>
      <c r="N16" s="5"/>
      <c r="O16" s="1072" t="s">
        <v>315</v>
      </c>
      <c r="P16" s="1073"/>
      <c r="Q16" s="1073"/>
      <c r="R16" s="1073"/>
      <c r="S16" s="1073"/>
      <c r="T16" s="1073"/>
      <c r="U16" s="1073"/>
      <c r="V16" s="1073"/>
      <c r="W16" s="1074"/>
      <c r="X16" s="554"/>
      <c r="Y16" s="553"/>
      <c r="Z16" s="5"/>
    </row>
    <row r="17" spans="1:26" ht="18.75">
      <c r="A17" s="5"/>
      <c r="B17" s="1"/>
      <c r="C17" s="862" t="s">
        <v>174</v>
      </c>
      <c r="D17" s="863"/>
      <c r="E17" s="863"/>
      <c r="F17" s="864"/>
      <c r="G17" s="269" t="s">
        <v>174</v>
      </c>
      <c r="H17" s="269" t="s">
        <v>174</v>
      </c>
      <c r="I17" s="269" t="s">
        <v>174</v>
      </c>
      <c r="J17" s="270"/>
      <c r="K17" s="287"/>
      <c r="L17" s="250"/>
      <c r="M17" s="5"/>
      <c r="N17" s="5"/>
      <c r="O17" s="1075" t="s">
        <v>220</v>
      </c>
      <c r="P17" s="1077" t="s">
        <v>249</v>
      </c>
      <c r="Q17" s="1078"/>
      <c r="R17" s="1078"/>
      <c r="S17" s="1079"/>
      <c r="T17" s="161" t="s">
        <v>298</v>
      </c>
      <c r="U17" s="161" t="s">
        <v>299</v>
      </c>
      <c r="V17" s="555" t="s">
        <v>316</v>
      </c>
      <c r="W17" s="556" t="s">
        <v>317</v>
      </c>
      <c r="X17" s="554"/>
      <c r="Y17" s="553"/>
      <c r="Z17" s="5"/>
    </row>
    <row r="18" spans="1:26" ht="18">
      <c r="A18" s="5"/>
      <c r="B18" s="818" t="s">
        <v>318</v>
      </c>
      <c r="C18" s="818"/>
      <c r="D18" s="818"/>
      <c r="E18" s="818"/>
      <c r="F18" s="818"/>
      <c r="G18" s="818"/>
      <c r="H18" s="818"/>
      <c r="I18" s="818"/>
      <c r="J18" s="91">
        <f>J17+J16</f>
        <v>0</v>
      </c>
      <c r="K18" s="287"/>
      <c r="L18" s="250"/>
      <c r="M18" s="5"/>
      <c r="N18" s="5"/>
      <c r="O18" s="1076"/>
      <c r="P18" s="1080"/>
      <c r="Q18" s="1081"/>
      <c r="R18" s="1081"/>
      <c r="S18" s="1082"/>
      <c r="T18" s="164" t="s">
        <v>306</v>
      </c>
      <c r="U18" s="165" t="s">
        <v>227</v>
      </c>
      <c r="V18" s="165" t="s">
        <v>228</v>
      </c>
      <c r="W18" s="166" t="s">
        <v>229</v>
      </c>
      <c r="X18" s="554"/>
      <c r="Y18" s="553"/>
      <c r="Z18" s="5"/>
    </row>
    <row r="19" spans="1:26" ht="18">
      <c r="A19" s="5"/>
      <c r="B19" s="1130" t="s">
        <v>220</v>
      </c>
      <c r="C19" s="1132" t="s">
        <v>302</v>
      </c>
      <c r="D19" s="1133"/>
      <c r="E19" s="1133"/>
      <c r="F19" s="1134"/>
      <c r="G19" s="86" t="s">
        <v>303</v>
      </c>
      <c r="H19" s="86" t="s">
        <v>304</v>
      </c>
      <c r="I19" s="313" t="s">
        <v>250</v>
      </c>
      <c r="J19" s="90" t="s">
        <v>319</v>
      </c>
      <c r="K19" s="287"/>
      <c r="L19" s="250"/>
      <c r="M19" s="5"/>
      <c r="N19" s="5"/>
      <c r="O19" s="176"/>
      <c r="P19" s="1046" t="s">
        <v>275</v>
      </c>
      <c r="Q19" s="1047"/>
      <c r="R19" s="1047"/>
      <c r="S19" s="1083"/>
      <c r="T19" s="557"/>
      <c r="U19" s="557">
        <v>2.6419999999999999</v>
      </c>
      <c r="V19" s="557">
        <v>0</v>
      </c>
      <c r="W19" s="558">
        <v>0</v>
      </c>
      <c r="X19" s="554"/>
      <c r="Y19" s="553"/>
      <c r="Z19" s="5"/>
    </row>
    <row r="20" spans="1:26">
      <c r="A20" s="5"/>
      <c r="B20" s="1131"/>
      <c r="C20" s="1135"/>
      <c r="D20" s="1136"/>
      <c r="E20" s="1136"/>
      <c r="F20" s="1137"/>
      <c r="G20" s="59" t="s">
        <v>307</v>
      </c>
      <c r="H20" s="59" t="s">
        <v>308</v>
      </c>
      <c r="I20" s="59" t="s">
        <v>228</v>
      </c>
      <c r="J20" s="94" t="s">
        <v>229</v>
      </c>
      <c r="K20" s="287"/>
      <c r="L20" s="250"/>
      <c r="M20" s="5"/>
      <c r="N20" s="5"/>
      <c r="O20" s="176"/>
      <c r="P20" s="1046" t="s">
        <v>246</v>
      </c>
      <c r="Q20" s="1047"/>
      <c r="R20" s="1047"/>
      <c r="S20" s="1083"/>
      <c r="T20" s="557"/>
      <c r="U20" s="557">
        <v>2.5</v>
      </c>
      <c r="V20" s="557">
        <v>0</v>
      </c>
      <c r="W20" s="558">
        <v>0</v>
      </c>
      <c r="X20" s="554"/>
      <c r="Y20" s="553"/>
      <c r="Z20" s="5"/>
    </row>
    <row r="21" spans="1:26">
      <c r="A21" s="5"/>
      <c r="B21" s="1"/>
      <c r="C21" s="810" t="s">
        <v>174</v>
      </c>
      <c r="D21" s="810"/>
      <c r="E21" s="810"/>
      <c r="F21" s="810"/>
      <c r="G21" s="1"/>
      <c r="H21" s="1"/>
      <c r="I21" s="1"/>
      <c r="J21" s="119"/>
      <c r="K21" s="287"/>
      <c r="L21" s="250"/>
      <c r="M21" s="5"/>
      <c r="N21" s="5"/>
      <c r="O21" s="1087" t="s">
        <v>318</v>
      </c>
      <c r="P21" s="1088"/>
      <c r="Q21" s="1088"/>
      <c r="R21" s="1088"/>
      <c r="S21" s="1088"/>
      <c r="T21" s="1088"/>
      <c r="U21" s="1088"/>
      <c r="V21" s="1089"/>
      <c r="W21" s="159">
        <v>0</v>
      </c>
      <c r="X21" s="554"/>
      <c r="Y21" s="553"/>
      <c r="Z21" s="5"/>
    </row>
    <row r="22" spans="1:26" ht="18.75">
      <c r="A22" s="5"/>
      <c r="B22" s="1003" t="s">
        <v>254</v>
      </c>
      <c r="C22" s="1003"/>
      <c r="D22" s="1003"/>
      <c r="E22" s="1003"/>
      <c r="F22" s="1003"/>
      <c r="G22" s="1003"/>
      <c r="H22" s="1003"/>
      <c r="I22" s="1003"/>
      <c r="J22" s="1004"/>
      <c r="K22" s="287"/>
      <c r="L22" s="250"/>
      <c r="M22" s="5"/>
      <c r="N22" s="5"/>
      <c r="O22" s="1090" t="s">
        <v>220</v>
      </c>
      <c r="P22" s="1092" t="s">
        <v>302</v>
      </c>
      <c r="Q22" s="1093"/>
      <c r="R22" s="1093"/>
      <c r="S22" s="1094"/>
      <c r="T22" s="559" t="s">
        <v>310</v>
      </c>
      <c r="U22" s="559" t="s">
        <v>311</v>
      </c>
      <c r="V22" s="555" t="s">
        <v>316</v>
      </c>
      <c r="W22" s="560" t="s">
        <v>320</v>
      </c>
      <c r="X22" s="554"/>
      <c r="Y22" s="553"/>
      <c r="Z22" s="5"/>
    </row>
    <row r="23" spans="1:26">
      <c r="A23" s="5"/>
      <c r="B23" s="1002" t="s">
        <v>321</v>
      </c>
      <c r="C23" s="1138"/>
      <c r="D23" s="1138"/>
      <c r="E23" s="1138"/>
      <c r="F23" s="1138"/>
      <c r="G23" s="1138"/>
      <c r="H23" s="1138"/>
      <c r="I23" s="1138"/>
      <c r="J23" s="1138"/>
      <c r="K23" s="287"/>
      <c r="L23" s="250"/>
      <c r="M23" s="5"/>
      <c r="N23" s="5"/>
      <c r="O23" s="1091"/>
      <c r="P23" s="1095"/>
      <c r="Q23" s="1096"/>
      <c r="R23" s="1096"/>
      <c r="S23" s="1097"/>
      <c r="T23" s="178" t="s">
        <v>307</v>
      </c>
      <c r="U23" s="178" t="s">
        <v>308</v>
      </c>
      <c r="V23" s="178" t="s">
        <v>228</v>
      </c>
      <c r="W23" s="163" t="s">
        <v>229</v>
      </c>
      <c r="X23" s="554"/>
      <c r="Y23" s="553"/>
      <c r="Z23" s="5"/>
    </row>
    <row r="24" spans="1:26" ht="18">
      <c r="A24" s="5"/>
      <c r="B24" s="994" t="s">
        <v>220</v>
      </c>
      <c r="C24" s="994" t="s">
        <v>249</v>
      </c>
      <c r="D24" s="994"/>
      <c r="E24" s="994"/>
      <c r="F24" s="994"/>
      <c r="G24" s="196" t="s">
        <v>222</v>
      </c>
      <c r="H24" s="196" t="s">
        <v>223</v>
      </c>
      <c r="I24" s="196" t="s">
        <v>224</v>
      </c>
      <c r="J24" s="231" t="s">
        <v>225</v>
      </c>
      <c r="K24" s="287"/>
      <c r="L24" s="250"/>
      <c r="M24" s="5"/>
      <c r="N24" s="5"/>
      <c r="O24" s="179"/>
      <c r="P24" s="1098" t="s">
        <v>174</v>
      </c>
      <c r="Q24" s="1099"/>
      <c r="R24" s="1099"/>
      <c r="S24" s="1100"/>
      <c r="T24" s="180"/>
      <c r="U24" s="180"/>
      <c r="V24" s="180"/>
      <c r="W24" s="561"/>
      <c r="X24" s="554"/>
      <c r="Y24" s="553"/>
      <c r="Z24" s="5"/>
    </row>
    <row r="25" spans="1:26" ht="18">
      <c r="A25" s="5"/>
      <c r="B25" s="994"/>
      <c r="C25" s="994"/>
      <c r="D25" s="994"/>
      <c r="E25" s="994"/>
      <c r="F25" s="994"/>
      <c r="G25" s="62" t="s">
        <v>226</v>
      </c>
      <c r="H25" s="197" t="s">
        <v>227</v>
      </c>
      <c r="I25" s="197" t="s">
        <v>228</v>
      </c>
      <c r="J25" s="232" t="s">
        <v>229</v>
      </c>
      <c r="K25" s="287"/>
      <c r="L25" s="250"/>
      <c r="M25" s="5"/>
      <c r="N25" s="5"/>
      <c r="O25" s="1101" t="s">
        <v>254</v>
      </c>
      <c r="P25" s="1102"/>
      <c r="Q25" s="1102"/>
      <c r="R25" s="1102"/>
      <c r="S25" s="1102"/>
      <c r="T25" s="1102"/>
      <c r="U25" s="1102"/>
      <c r="V25" s="1102"/>
      <c r="W25" s="1103"/>
      <c r="X25" s="554"/>
      <c r="Y25" s="553"/>
      <c r="Z25" s="5"/>
    </row>
    <row r="26" spans="1:26">
      <c r="A26" s="5"/>
      <c r="B26" s="1"/>
      <c r="C26" s="862"/>
      <c r="D26" s="863"/>
      <c r="E26" s="863"/>
      <c r="F26" s="864"/>
      <c r="G26" s="1"/>
      <c r="H26" s="1"/>
      <c r="I26" s="1"/>
      <c r="J26" s="119"/>
      <c r="K26" s="287"/>
      <c r="L26" s="250"/>
      <c r="M26" s="5"/>
      <c r="N26" s="5"/>
      <c r="O26" s="1072" t="s">
        <v>322</v>
      </c>
      <c r="P26" s="1073"/>
      <c r="Q26" s="1073"/>
      <c r="R26" s="1073"/>
      <c r="S26" s="1073"/>
      <c r="T26" s="1073"/>
      <c r="U26" s="1073"/>
      <c r="V26" s="1073"/>
      <c r="W26" s="1074"/>
      <c r="X26" s="554"/>
      <c r="Y26" s="553"/>
      <c r="Z26" s="5"/>
    </row>
    <row r="27" spans="1:26" ht="18.75">
      <c r="A27" s="5"/>
      <c r="B27" s="98" t="s">
        <v>287</v>
      </c>
      <c r="C27" s="98"/>
      <c r="D27" s="98"/>
      <c r="E27" s="98"/>
      <c r="F27" s="98"/>
      <c r="G27" s="98"/>
      <c r="H27" s="1030" t="s">
        <v>288</v>
      </c>
      <c r="I27" s="1139"/>
      <c r="J27" s="1139"/>
      <c r="K27" s="287"/>
      <c r="L27" s="250"/>
      <c r="M27" s="5"/>
      <c r="N27" s="5"/>
      <c r="O27" s="1075" t="s">
        <v>220</v>
      </c>
      <c r="P27" s="1077" t="s">
        <v>249</v>
      </c>
      <c r="Q27" s="1078"/>
      <c r="R27" s="1078"/>
      <c r="S27" s="1079"/>
      <c r="T27" s="200" t="s">
        <v>298</v>
      </c>
      <c r="U27" s="200" t="s">
        <v>299</v>
      </c>
      <c r="V27" s="200" t="s">
        <v>300</v>
      </c>
      <c r="W27" s="562" t="s">
        <v>301</v>
      </c>
      <c r="X27" s="554"/>
      <c r="Y27" s="553"/>
      <c r="Z27" s="5"/>
    </row>
    <row r="28" spans="1:26" ht="18">
      <c r="A28" s="5"/>
      <c r="B28" s="118" t="s">
        <v>257</v>
      </c>
      <c r="C28" s="97"/>
      <c r="D28" s="97"/>
      <c r="E28" s="97"/>
      <c r="F28" s="97"/>
      <c r="G28" s="99"/>
      <c r="H28" s="100"/>
      <c r="I28" s="101"/>
      <c r="J28" s="227"/>
      <c r="K28" s="287"/>
      <c r="L28" s="250"/>
      <c r="M28" s="5"/>
      <c r="N28" s="5"/>
      <c r="O28" s="1076"/>
      <c r="P28" s="1080"/>
      <c r="Q28" s="1081"/>
      <c r="R28" s="1081"/>
      <c r="S28" s="1082"/>
      <c r="T28" s="201" t="s">
        <v>306</v>
      </c>
      <c r="U28" s="202" t="s">
        <v>227</v>
      </c>
      <c r="V28" s="202" t="s">
        <v>228</v>
      </c>
      <c r="W28" s="545" t="s">
        <v>229</v>
      </c>
      <c r="X28" s="554"/>
      <c r="Y28" s="553"/>
      <c r="Z28" s="5"/>
    </row>
    <row r="29" spans="1:26" ht="18">
      <c r="A29" s="5"/>
      <c r="B29" s="1008" t="s">
        <v>220</v>
      </c>
      <c r="C29" s="1009" t="s">
        <v>221</v>
      </c>
      <c r="D29" s="1010"/>
      <c r="E29" s="1010"/>
      <c r="F29" s="1010"/>
      <c r="G29" s="196" t="s">
        <v>232</v>
      </c>
      <c r="H29" s="196" t="s">
        <v>222</v>
      </c>
      <c r="I29" s="196" t="s">
        <v>223</v>
      </c>
      <c r="J29" s="231" t="s">
        <v>233</v>
      </c>
      <c r="K29" s="287"/>
      <c r="L29" s="250"/>
      <c r="M29" s="5"/>
      <c r="N29" s="5"/>
      <c r="O29" s="176"/>
      <c r="P29" s="1046"/>
      <c r="Q29" s="1047"/>
      <c r="R29" s="1047"/>
      <c r="S29" s="1083"/>
      <c r="T29" s="177"/>
      <c r="U29" s="177"/>
      <c r="V29" s="177"/>
      <c r="W29" s="191"/>
      <c r="X29" s="554"/>
      <c r="Y29" s="553"/>
      <c r="Z29" s="5"/>
    </row>
    <row r="30" spans="1:26" ht="18.75">
      <c r="A30" s="5"/>
      <c r="B30" s="976"/>
      <c r="C30" s="979"/>
      <c r="D30" s="980"/>
      <c r="E30" s="980"/>
      <c r="F30" s="980"/>
      <c r="G30" s="62" t="s">
        <v>228</v>
      </c>
      <c r="H30" s="62" t="s">
        <v>226</v>
      </c>
      <c r="I30" s="197" t="s">
        <v>227</v>
      </c>
      <c r="J30" s="232" t="s">
        <v>229</v>
      </c>
      <c r="K30" s="287"/>
      <c r="L30" s="250"/>
      <c r="M30" s="5"/>
      <c r="N30" s="5"/>
      <c r="O30" s="182" t="s">
        <v>287</v>
      </c>
      <c r="P30" s="181"/>
      <c r="Q30" s="181"/>
      <c r="R30" s="181"/>
      <c r="S30" s="181"/>
      <c r="T30" s="181"/>
      <c r="U30" s="1084" t="s">
        <v>323</v>
      </c>
      <c r="V30" s="1085"/>
      <c r="W30" s="1086"/>
      <c r="X30" s="554"/>
      <c r="Y30" s="553"/>
      <c r="Z30" s="5"/>
    </row>
    <row r="31" spans="1:26">
      <c r="A31" s="5"/>
      <c r="B31" s="155"/>
      <c r="C31" s="981" t="s">
        <v>241</v>
      </c>
      <c r="D31" s="982"/>
      <c r="E31" s="982"/>
      <c r="F31" s="983"/>
      <c r="G31" s="264">
        <f>0</f>
        <v>0</v>
      </c>
      <c r="H31" s="65">
        <f>0</f>
        <v>0</v>
      </c>
      <c r="I31" s="265">
        <f>Parois!L28</f>
        <v>2.642391922017747</v>
      </c>
      <c r="J31" s="266">
        <f>G31*H31*I31</f>
        <v>0</v>
      </c>
      <c r="K31" s="287"/>
      <c r="L31" s="252"/>
      <c r="M31" s="5"/>
      <c r="N31" s="5"/>
      <c r="O31" s="1058" t="s">
        <v>324</v>
      </c>
      <c r="P31" s="1059"/>
      <c r="Q31" s="1059"/>
      <c r="R31" s="1059"/>
      <c r="S31" s="1059"/>
      <c r="T31" s="1059"/>
      <c r="U31" s="1060"/>
      <c r="V31" s="563"/>
      <c r="W31" s="163"/>
      <c r="X31" s="554"/>
      <c r="Y31" s="553"/>
      <c r="Z31" s="5"/>
    </row>
    <row r="32" spans="1:26" ht="18.75">
      <c r="A32" s="5"/>
      <c r="B32" s="155"/>
      <c r="C32" s="981" t="s">
        <v>325</v>
      </c>
      <c r="D32" s="982"/>
      <c r="E32" s="982"/>
      <c r="F32" s="983"/>
      <c r="G32" s="264">
        <f>0</f>
        <v>0</v>
      </c>
      <c r="H32" s="65">
        <f>0</f>
        <v>0</v>
      </c>
      <c r="I32" s="265">
        <f>Parois!L28</f>
        <v>2.642391922017747</v>
      </c>
      <c r="J32" s="266">
        <f>G32*H32*I32</f>
        <v>0</v>
      </c>
      <c r="K32" s="287"/>
      <c r="L32" s="250"/>
      <c r="M32" s="5"/>
      <c r="N32" s="5"/>
      <c r="O32" s="1061" t="s">
        <v>220</v>
      </c>
      <c r="P32" s="1063" t="s">
        <v>221</v>
      </c>
      <c r="Q32" s="1064"/>
      <c r="R32" s="1064"/>
      <c r="S32" s="1065"/>
      <c r="T32" s="564" t="s">
        <v>326</v>
      </c>
      <c r="U32" s="203" t="s">
        <v>298</v>
      </c>
      <c r="V32" s="203" t="s">
        <v>299</v>
      </c>
      <c r="W32" s="565" t="s">
        <v>327</v>
      </c>
      <c r="X32" s="554"/>
      <c r="Y32" s="553"/>
      <c r="Z32" s="5"/>
    </row>
    <row r="33" spans="1:26" ht="18">
      <c r="A33" s="5"/>
      <c r="B33" s="57" t="s">
        <v>255</v>
      </c>
      <c r="C33" s="57"/>
      <c r="D33" s="57"/>
      <c r="E33" s="57"/>
      <c r="F33" s="58"/>
      <c r="G33" s="1"/>
      <c r="H33" s="1"/>
      <c r="I33" s="88" t="s">
        <v>328</v>
      </c>
      <c r="J33" s="457">
        <f>SUM(J31:J32)</f>
        <v>0</v>
      </c>
      <c r="K33" s="287"/>
      <c r="L33" s="250"/>
      <c r="M33" s="5"/>
      <c r="N33" s="5"/>
      <c r="O33" s="1062"/>
      <c r="P33" s="1066"/>
      <c r="Q33" s="1067"/>
      <c r="R33" s="1067"/>
      <c r="S33" s="1068"/>
      <c r="T33" s="204" t="s">
        <v>228</v>
      </c>
      <c r="U33" s="201" t="s">
        <v>306</v>
      </c>
      <c r="V33" s="202" t="s">
        <v>227</v>
      </c>
      <c r="W33" s="545" t="s">
        <v>229</v>
      </c>
      <c r="X33" s="554"/>
      <c r="Y33" s="553"/>
      <c r="Z33" s="5"/>
    </row>
    <row r="34" spans="1:26" ht="18">
      <c r="A34" s="5"/>
      <c r="B34" s="83" t="s">
        <v>258</v>
      </c>
      <c r="C34" s="84"/>
      <c r="D34" s="84"/>
      <c r="E34" s="84"/>
      <c r="F34" s="102"/>
      <c r="G34" s="999" t="s">
        <v>259</v>
      </c>
      <c r="H34" s="999"/>
      <c r="I34" s="999"/>
      <c r="J34" s="119"/>
      <c r="K34" s="287"/>
      <c r="L34" s="250"/>
      <c r="M34" s="5"/>
      <c r="N34" s="5"/>
      <c r="O34" s="539"/>
      <c r="P34" s="1069" t="s">
        <v>329</v>
      </c>
      <c r="Q34" s="1070"/>
      <c r="R34" s="1070"/>
      <c r="S34" s="1071"/>
      <c r="T34" s="566">
        <f>X46/W41</f>
        <v>0.14285714285714285</v>
      </c>
      <c r="U34" s="567">
        <f>(3.74+0.15)*3.945</f>
        <v>15.34605</v>
      </c>
      <c r="V34" s="567">
        <f>Parois!L$28</f>
        <v>2.642391922017747</v>
      </c>
      <c r="W34" s="568">
        <f>T34*U34*V34</f>
        <v>5.7928969364114913</v>
      </c>
      <c r="X34" s="554"/>
      <c r="Y34" s="569"/>
      <c r="Z34" s="5"/>
    </row>
    <row r="35" spans="1:26">
      <c r="A35" s="5"/>
      <c r="B35" s="104" t="s">
        <v>260</v>
      </c>
      <c r="C35" s="103"/>
      <c r="D35" s="103"/>
      <c r="E35" s="103"/>
      <c r="F35" s="103"/>
      <c r="G35" s="103"/>
      <c r="H35" s="103"/>
      <c r="I35" s="103"/>
      <c r="J35" s="103"/>
      <c r="K35" s="287"/>
      <c r="L35" s="250"/>
      <c r="M35" s="5"/>
      <c r="N35" s="5"/>
      <c r="O35" s="539"/>
      <c r="P35" s="1069" t="s">
        <v>325</v>
      </c>
      <c r="Q35" s="1070"/>
      <c r="R35" s="1070"/>
      <c r="S35" s="1071"/>
      <c r="T35" s="566">
        <f>X47/W41</f>
        <v>-0.14285714285714285</v>
      </c>
      <c r="U35" s="567">
        <f>(3.74+0.15)*3.945</f>
        <v>15.34605</v>
      </c>
      <c r="V35" s="567">
        <f>Parois!L$28</f>
        <v>2.642391922017747</v>
      </c>
      <c r="W35" s="568">
        <f>T35*U35*V35</f>
        <v>-5.7928969364114913</v>
      </c>
      <c r="X35" s="554"/>
      <c r="Y35" s="553"/>
      <c r="Z35" s="5"/>
    </row>
    <row r="36" spans="1:26" ht="19.5">
      <c r="A36" s="5"/>
      <c r="B36" s="818" t="s">
        <v>6</v>
      </c>
      <c r="C36" s="818"/>
      <c r="D36" s="818"/>
      <c r="E36" s="818"/>
      <c r="F36" s="818"/>
      <c r="G36" s="818"/>
      <c r="H36" s="1" t="s">
        <v>261</v>
      </c>
      <c r="I36" s="1" t="s">
        <v>262</v>
      </c>
      <c r="J36" s="119">
        <v>-8</v>
      </c>
      <c r="K36" s="287"/>
      <c r="L36" s="250"/>
      <c r="M36" s="5"/>
      <c r="N36" s="5"/>
      <c r="O36" s="167" t="s">
        <v>255</v>
      </c>
      <c r="P36" s="170"/>
      <c r="Q36" s="170"/>
      <c r="R36" s="170"/>
      <c r="S36" s="171"/>
      <c r="T36" s="176"/>
      <c r="U36" s="177"/>
      <c r="V36" s="177"/>
      <c r="W36" s="162" t="s">
        <v>330</v>
      </c>
      <c r="X36" s="671">
        <f>W34</f>
        <v>5.7928969364114913</v>
      </c>
      <c r="Y36" s="553"/>
      <c r="Z36" s="5"/>
    </row>
    <row r="37" spans="1:26" ht="19.5">
      <c r="A37" s="5"/>
      <c r="B37" s="971" t="s">
        <v>264</v>
      </c>
      <c r="C37" s="971"/>
      <c r="D37" s="971"/>
      <c r="E37" s="971"/>
      <c r="F37" s="971"/>
      <c r="G37" s="971"/>
      <c r="H37" s="1" t="s">
        <v>265</v>
      </c>
      <c r="I37" s="1" t="s">
        <v>262</v>
      </c>
      <c r="J37" s="119">
        <f>Données!G46</f>
        <v>16</v>
      </c>
      <c r="K37" s="287"/>
      <c r="L37" s="250"/>
      <c r="M37" s="5"/>
      <c r="N37" s="5"/>
      <c r="O37" s="184" t="s">
        <v>258</v>
      </c>
      <c r="P37" s="185"/>
      <c r="Q37" s="185"/>
      <c r="R37" s="185"/>
      <c r="S37" s="570"/>
      <c r="T37" s="1052" t="s">
        <v>331</v>
      </c>
      <c r="U37" s="1053"/>
      <c r="V37" s="1054"/>
      <c r="W37" s="191"/>
      <c r="X37" s="554"/>
      <c r="Y37" s="553"/>
      <c r="Z37" s="5"/>
    </row>
    <row r="38" spans="1:26" ht="19.5">
      <c r="A38" s="5"/>
      <c r="B38" s="997" t="s">
        <v>266</v>
      </c>
      <c r="C38" s="997"/>
      <c r="D38" s="997"/>
      <c r="E38" s="997"/>
      <c r="F38" s="997"/>
      <c r="G38" s="997"/>
      <c r="H38" s="101" t="s">
        <v>267</v>
      </c>
      <c r="I38" s="101" t="s">
        <v>262</v>
      </c>
      <c r="J38" s="227">
        <f>J37-J36</f>
        <v>24</v>
      </c>
      <c r="K38" s="288"/>
      <c r="L38" s="250"/>
      <c r="M38" s="5"/>
      <c r="N38" s="5"/>
      <c r="O38" s="186" t="s">
        <v>260</v>
      </c>
      <c r="P38" s="187"/>
      <c r="Q38" s="187"/>
      <c r="R38" s="188"/>
      <c r="S38" s="188"/>
      <c r="T38" s="189"/>
      <c r="U38" s="189"/>
      <c r="V38" s="189"/>
      <c r="W38" s="189"/>
      <c r="X38" s="554"/>
      <c r="Y38" s="553"/>
      <c r="Z38" s="5"/>
    </row>
    <row r="39" spans="1:26" ht="18.75">
      <c r="A39" s="5"/>
      <c r="B39" s="988" t="s">
        <v>268</v>
      </c>
      <c r="C39" s="988"/>
      <c r="D39" s="988"/>
      <c r="E39" s="988"/>
      <c r="F39" s="988"/>
      <c r="G39" s="988"/>
      <c r="H39" s="988"/>
      <c r="I39" s="988"/>
      <c r="J39" s="988"/>
      <c r="K39" s="234">
        <f>J38*J7</f>
        <v>0</v>
      </c>
      <c r="L39" s="251" t="s">
        <v>263</v>
      </c>
      <c r="M39" s="5"/>
      <c r="N39" s="5"/>
      <c r="O39" s="1046" t="s">
        <v>6</v>
      </c>
      <c r="P39" s="1047"/>
      <c r="Q39" s="1047"/>
      <c r="R39" s="1047"/>
      <c r="S39" s="1047"/>
      <c r="T39" s="1048"/>
      <c r="U39" s="177" t="s">
        <v>332</v>
      </c>
      <c r="V39" s="177" t="s">
        <v>262</v>
      </c>
      <c r="W39" s="191">
        <v>32</v>
      </c>
      <c r="X39" s="554"/>
      <c r="Y39" s="553"/>
      <c r="Z39" s="5"/>
    </row>
    <row r="40" spans="1:26" ht="18.75">
      <c r="A40" s="5"/>
      <c r="B40" s="1140" t="s">
        <v>269</v>
      </c>
      <c r="C40" s="1140"/>
      <c r="D40" s="1140"/>
      <c r="E40" s="1140"/>
      <c r="F40" s="1140"/>
      <c r="G40" s="1140"/>
      <c r="H40" s="1140"/>
      <c r="I40" s="1140"/>
      <c r="J40" s="1140"/>
      <c r="K40" s="1140"/>
      <c r="L40" s="250"/>
      <c r="M40" s="5"/>
      <c r="N40" s="5"/>
      <c r="O40" s="1049" t="s">
        <v>264</v>
      </c>
      <c r="P40" s="1050"/>
      <c r="Q40" s="1050"/>
      <c r="R40" s="1050"/>
      <c r="S40" s="1050"/>
      <c r="T40" s="1051"/>
      <c r="U40" s="177" t="s">
        <v>333</v>
      </c>
      <c r="V40" s="177" t="s">
        <v>262</v>
      </c>
      <c r="W40" s="191">
        <v>25</v>
      </c>
      <c r="X40" s="554"/>
      <c r="Y40" s="553"/>
      <c r="Z40" s="5"/>
    </row>
    <row r="41" spans="1:26" ht="18.75">
      <c r="A41" s="5"/>
      <c r="B41" s="990" t="s">
        <v>270</v>
      </c>
      <c r="C41" s="991"/>
      <c r="D41" s="991"/>
      <c r="E41" s="991"/>
      <c r="F41" s="991"/>
      <c r="G41" s="992"/>
      <c r="H41" s="241" t="s">
        <v>271</v>
      </c>
      <c r="I41" s="241" t="s">
        <v>272</v>
      </c>
      <c r="J41" s="242" t="s">
        <v>273</v>
      </c>
      <c r="K41" s="235" t="s">
        <v>274</v>
      </c>
      <c r="L41" s="250"/>
      <c r="M41" s="5"/>
      <c r="N41" s="5"/>
      <c r="O41" s="1046" t="s">
        <v>266</v>
      </c>
      <c r="P41" s="1047"/>
      <c r="Q41" s="1047"/>
      <c r="R41" s="1047"/>
      <c r="S41" s="1047"/>
      <c r="T41" s="1048"/>
      <c r="U41" s="183" t="s">
        <v>334</v>
      </c>
      <c r="V41" s="571" t="s">
        <v>262</v>
      </c>
      <c r="W41" s="163">
        <f>W39-W40</f>
        <v>7</v>
      </c>
      <c r="X41" s="572"/>
      <c r="Y41" s="553"/>
      <c r="Z41" s="5"/>
    </row>
    <row r="42" spans="1:26">
      <c r="A42" s="5"/>
      <c r="B42" s="844" t="s">
        <v>275</v>
      </c>
      <c r="C42" s="845"/>
      <c r="D42" s="845"/>
      <c r="E42" s="845"/>
      <c r="F42" s="845"/>
      <c r="G42" s="846"/>
      <c r="H42" s="246" t="e">
        <f>Données!#REF!</f>
        <v>#REF!</v>
      </c>
      <c r="I42" s="246" t="e">
        <f>Données!#REF!</f>
        <v>#REF!</v>
      </c>
      <c r="J42" s="245"/>
      <c r="K42" s="245" t="e">
        <f>$J$38-I42</f>
        <v>#REF!</v>
      </c>
      <c r="L42" s="250"/>
      <c r="M42" s="5"/>
      <c r="N42" s="5"/>
      <c r="O42" s="1055" t="s">
        <v>268</v>
      </c>
      <c r="P42" s="1056"/>
      <c r="Q42" s="1056"/>
      <c r="R42" s="1056"/>
      <c r="S42" s="1056"/>
      <c r="T42" s="1056"/>
      <c r="U42" s="1056"/>
      <c r="V42" s="1056"/>
      <c r="W42" s="1057"/>
      <c r="X42" s="181">
        <v>0</v>
      </c>
      <c r="Y42" s="573" t="s">
        <v>263</v>
      </c>
      <c r="Z42" s="5"/>
    </row>
    <row r="43" spans="1:26">
      <c r="A43" s="5"/>
      <c r="B43" s="818" t="s">
        <v>241</v>
      </c>
      <c r="C43" s="818"/>
      <c r="D43" s="818"/>
      <c r="E43" s="818"/>
      <c r="F43" s="818"/>
      <c r="G43" s="818"/>
      <c r="H43" s="245">
        <f>Données!E23</f>
        <v>22</v>
      </c>
      <c r="I43" s="245">
        <f>Données!F23</f>
        <v>26</v>
      </c>
      <c r="J43" s="245"/>
      <c r="K43" s="245">
        <f>$J$38-I43</f>
        <v>-2</v>
      </c>
      <c r="L43" s="250"/>
      <c r="M43" s="5"/>
      <c r="N43" s="5"/>
      <c r="O43" s="1037" t="s">
        <v>269</v>
      </c>
      <c r="P43" s="1038"/>
      <c r="Q43" s="1038"/>
      <c r="R43" s="1038"/>
      <c r="S43" s="1038"/>
      <c r="T43" s="1038"/>
      <c r="U43" s="1038"/>
      <c r="V43" s="1038"/>
      <c r="W43" s="1038"/>
      <c r="X43" s="1039"/>
      <c r="Y43" s="553"/>
      <c r="Z43" s="5"/>
    </row>
    <row r="44" spans="1:26" ht="16.5" customHeight="1">
      <c r="A44" s="5"/>
      <c r="B44" s="971" t="s">
        <v>325</v>
      </c>
      <c r="C44" s="971"/>
      <c r="D44" s="971"/>
      <c r="E44" s="971"/>
      <c r="F44" s="971"/>
      <c r="G44" s="971"/>
      <c r="H44" s="245">
        <f>Données!E24</f>
        <v>22</v>
      </c>
      <c r="I44" s="245">
        <f>Données!F24</f>
        <v>26</v>
      </c>
      <c r="J44" s="245"/>
      <c r="K44" s="245">
        <f>$J$38-H44</f>
        <v>2</v>
      </c>
      <c r="L44" s="250"/>
      <c r="M44" s="5"/>
      <c r="N44" s="5"/>
      <c r="O44" s="1040" t="s">
        <v>270</v>
      </c>
      <c r="P44" s="1041"/>
      <c r="Q44" s="1041"/>
      <c r="R44" s="1041"/>
      <c r="S44" s="1041"/>
      <c r="T44" s="1042"/>
      <c r="U44" s="574" t="s">
        <v>271</v>
      </c>
      <c r="V44" s="574" t="s">
        <v>272</v>
      </c>
      <c r="W44" s="575" t="s">
        <v>273</v>
      </c>
      <c r="X44" s="574" t="s">
        <v>274</v>
      </c>
      <c r="Y44" s="553"/>
      <c r="Z44" s="5"/>
    </row>
    <row r="45" spans="1:26">
      <c r="A45" s="5"/>
      <c r="B45" s="993" t="s">
        <v>278</v>
      </c>
      <c r="C45" s="993"/>
      <c r="D45" s="993"/>
      <c r="E45" s="993"/>
      <c r="F45" s="993"/>
      <c r="G45" s="993"/>
      <c r="H45" s="993"/>
      <c r="I45" s="993"/>
      <c r="J45" s="993"/>
      <c r="K45" s="249">
        <f>J42*J18+J43*J31+J44*J32</f>
        <v>0</v>
      </c>
      <c r="L45" s="251" t="s">
        <v>263</v>
      </c>
      <c r="M45" s="5"/>
      <c r="N45" s="5"/>
      <c r="O45" s="1043" t="s">
        <v>275</v>
      </c>
      <c r="P45" s="1044"/>
      <c r="Q45" s="1044"/>
      <c r="R45" s="1044"/>
      <c r="S45" s="1044"/>
      <c r="T45" s="1045"/>
      <c r="U45" s="576" t="s">
        <v>174</v>
      </c>
      <c r="V45" s="576">
        <v>25</v>
      </c>
      <c r="W45" s="248" t="s">
        <v>174</v>
      </c>
      <c r="X45" s="577">
        <f>W$40-V45</f>
        <v>0</v>
      </c>
      <c r="Y45" s="553"/>
      <c r="Z45" s="5"/>
    </row>
    <row r="46" spans="1:26" ht="16.5" customHeight="1">
      <c r="A46" s="5"/>
      <c r="B46" s="987" t="s">
        <v>279</v>
      </c>
      <c r="C46" s="987"/>
      <c r="D46" s="987"/>
      <c r="E46" s="987"/>
      <c r="F46" s="987"/>
      <c r="G46" s="987"/>
      <c r="H46" s="987"/>
      <c r="I46" s="987"/>
      <c r="J46" s="987"/>
      <c r="K46" s="254">
        <f>K39+K45</f>
        <v>0</v>
      </c>
      <c r="L46" s="253" t="s">
        <v>263</v>
      </c>
      <c r="M46" s="5"/>
      <c r="N46" s="5"/>
      <c r="O46" s="1046" t="s">
        <v>335</v>
      </c>
      <c r="P46" s="1047"/>
      <c r="Q46" s="1047"/>
      <c r="R46" s="1047"/>
      <c r="S46" s="1047"/>
      <c r="T46" s="1048"/>
      <c r="U46" s="577" t="s">
        <v>174</v>
      </c>
      <c r="V46" s="577">
        <v>24</v>
      </c>
      <c r="W46" s="248" t="s">
        <v>174</v>
      </c>
      <c r="X46" s="577">
        <f>W$40-V46</f>
        <v>1</v>
      </c>
      <c r="Y46" s="553"/>
      <c r="Z46" s="5"/>
    </row>
    <row r="47" spans="1:26">
      <c r="A47" s="5"/>
      <c r="B47" s="5"/>
      <c r="C47" s="5"/>
      <c r="D47" s="5"/>
      <c r="E47" s="5"/>
      <c r="F47" s="5"/>
      <c r="G47" s="5"/>
      <c r="H47" s="5"/>
      <c r="I47" s="5"/>
      <c r="J47" s="5"/>
      <c r="K47" s="5"/>
      <c r="L47" s="5"/>
      <c r="M47" s="5"/>
      <c r="N47" s="5"/>
      <c r="O47" s="1049" t="s">
        <v>325</v>
      </c>
      <c r="P47" s="1050"/>
      <c r="Q47" s="1050"/>
      <c r="R47" s="1050"/>
      <c r="S47" s="1050"/>
      <c r="T47" s="1051"/>
      <c r="U47" s="577" t="s">
        <v>174</v>
      </c>
      <c r="V47" s="577">
        <v>26</v>
      </c>
      <c r="W47" s="248" t="s">
        <v>174</v>
      </c>
      <c r="X47" s="577">
        <f>W$40-V47</f>
        <v>-1</v>
      </c>
      <c r="Y47" s="553"/>
      <c r="Z47" s="5"/>
    </row>
    <row r="48" spans="1:26">
      <c r="A48" s="5"/>
      <c r="B48" s="5"/>
      <c r="C48" s="5"/>
      <c r="D48" s="5"/>
      <c r="E48" s="5"/>
      <c r="F48" s="5"/>
      <c r="G48" s="5"/>
      <c r="H48" s="5"/>
      <c r="I48" s="5"/>
      <c r="J48" s="5"/>
      <c r="K48" s="5"/>
      <c r="L48" s="5"/>
      <c r="M48" s="5"/>
      <c r="N48" s="5"/>
      <c r="O48" s="1031" t="s">
        <v>278</v>
      </c>
      <c r="P48" s="1032"/>
      <c r="Q48" s="1032"/>
      <c r="R48" s="1032"/>
      <c r="S48" s="1032"/>
      <c r="T48" s="1032"/>
      <c r="U48" s="1032"/>
      <c r="V48" s="1032"/>
      <c r="W48" s="1033"/>
      <c r="X48" s="578">
        <f>X36*W41</f>
        <v>40.550278554880435</v>
      </c>
      <c r="Y48" s="573" t="s">
        <v>263</v>
      </c>
      <c r="Z48" s="5"/>
    </row>
    <row r="49" spans="1:26" ht="18.75">
      <c r="A49" s="5"/>
      <c r="B49" s="5"/>
      <c r="C49" s="5"/>
      <c r="D49" s="5"/>
      <c r="E49" s="5"/>
      <c r="F49" s="5"/>
      <c r="G49" s="5"/>
      <c r="H49" s="5"/>
      <c r="I49" s="5"/>
      <c r="J49" s="5"/>
      <c r="K49" s="5"/>
      <c r="L49" s="5"/>
      <c r="M49" s="5"/>
      <c r="N49" s="5"/>
      <c r="O49" s="1034" t="s">
        <v>279</v>
      </c>
      <c r="P49" s="1035"/>
      <c r="Q49" s="1035"/>
      <c r="R49" s="1035"/>
      <c r="S49" s="1035"/>
      <c r="T49" s="1035"/>
      <c r="U49" s="1035"/>
      <c r="V49" s="1035"/>
      <c r="W49" s="1036"/>
      <c r="X49" s="579">
        <f>X48+X42</f>
        <v>40.550278554880435</v>
      </c>
      <c r="Y49" s="580" t="s">
        <v>263</v>
      </c>
      <c r="Z49" s="5"/>
    </row>
    <row r="50" spans="1:26">
      <c r="A50" s="5"/>
      <c r="B50" s="5"/>
      <c r="C50" s="5"/>
      <c r="D50" s="5"/>
      <c r="E50" s="5"/>
      <c r="F50" s="5"/>
      <c r="G50" s="5"/>
      <c r="H50" s="5"/>
      <c r="I50" s="5"/>
      <c r="J50" s="5"/>
      <c r="K50" s="5"/>
      <c r="L50" s="5"/>
      <c r="M50" s="5"/>
      <c r="N50" s="5"/>
      <c r="O50" s="5"/>
      <c r="P50" s="5"/>
      <c r="Q50" s="5"/>
      <c r="R50" s="5"/>
      <c r="S50" s="5"/>
      <c r="T50" s="5"/>
      <c r="U50" s="5"/>
      <c r="V50" s="5"/>
      <c r="W50" s="5"/>
      <c r="X50" s="5"/>
      <c r="Y50" s="5"/>
      <c r="Z50" s="5"/>
    </row>
    <row r="51" spans="1:26">
      <c r="N51" s="5"/>
      <c r="O51" s="5"/>
      <c r="P51" s="5"/>
      <c r="Q51" s="5"/>
      <c r="R51" s="5"/>
      <c r="S51" s="5"/>
      <c r="T51" s="5"/>
      <c r="U51" s="5"/>
      <c r="V51" s="5"/>
      <c r="W51" s="5"/>
      <c r="X51" s="5"/>
      <c r="Y51" s="5"/>
      <c r="Z51" s="5"/>
    </row>
    <row r="57" spans="1:26">
      <c r="C57">
        <f>Données!E63</f>
        <v>11442.941828738316</v>
      </c>
    </row>
  </sheetData>
  <mergeCells count="85">
    <mergeCell ref="B45:J45"/>
    <mergeCell ref="B46:J46"/>
    <mergeCell ref="B40:K40"/>
    <mergeCell ref="B41:G41"/>
    <mergeCell ref="B42:G42"/>
    <mergeCell ref="B43:G43"/>
    <mergeCell ref="B44:G44"/>
    <mergeCell ref="G34:I34"/>
    <mergeCell ref="B36:G36"/>
    <mergeCell ref="B37:G37"/>
    <mergeCell ref="B38:G38"/>
    <mergeCell ref="B39:J39"/>
    <mergeCell ref="B29:B30"/>
    <mergeCell ref="C29:F30"/>
    <mergeCell ref="C31:F31"/>
    <mergeCell ref="C32:F32"/>
    <mergeCell ref="B22:J22"/>
    <mergeCell ref="B23:J23"/>
    <mergeCell ref="B24:B25"/>
    <mergeCell ref="C24:F25"/>
    <mergeCell ref="C26:F26"/>
    <mergeCell ref="H27:J27"/>
    <mergeCell ref="C21:F21"/>
    <mergeCell ref="C10:F10"/>
    <mergeCell ref="B11:I11"/>
    <mergeCell ref="B12:G12"/>
    <mergeCell ref="H12:J12"/>
    <mergeCell ref="B13:J13"/>
    <mergeCell ref="B14:B15"/>
    <mergeCell ref="C14:F15"/>
    <mergeCell ref="C16:F16"/>
    <mergeCell ref="C17:F17"/>
    <mergeCell ref="B18:I18"/>
    <mergeCell ref="B19:B20"/>
    <mergeCell ref="C19:F20"/>
    <mergeCell ref="B7:I7"/>
    <mergeCell ref="B8:B9"/>
    <mergeCell ref="C8:F9"/>
    <mergeCell ref="B3:J3"/>
    <mergeCell ref="B4:B5"/>
    <mergeCell ref="C4:F5"/>
    <mergeCell ref="C6:F6"/>
    <mergeCell ref="O6:W6"/>
    <mergeCell ref="O7:O8"/>
    <mergeCell ref="P7:S8"/>
    <mergeCell ref="P9:S9"/>
    <mergeCell ref="O10:V10"/>
    <mergeCell ref="O11:O12"/>
    <mergeCell ref="P11:S12"/>
    <mergeCell ref="P13:S13"/>
    <mergeCell ref="O14:V14"/>
    <mergeCell ref="O15:T15"/>
    <mergeCell ref="U15:W15"/>
    <mergeCell ref="O16:W16"/>
    <mergeCell ref="O17:O18"/>
    <mergeCell ref="P17:S18"/>
    <mergeCell ref="P19:S19"/>
    <mergeCell ref="P20:S20"/>
    <mergeCell ref="O21:V21"/>
    <mergeCell ref="O22:O23"/>
    <mergeCell ref="P22:S23"/>
    <mergeCell ref="P24:S24"/>
    <mergeCell ref="O25:W25"/>
    <mergeCell ref="O26:W26"/>
    <mergeCell ref="O27:O28"/>
    <mergeCell ref="P27:S28"/>
    <mergeCell ref="P29:S29"/>
    <mergeCell ref="U30:W30"/>
    <mergeCell ref="O31:U31"/>
    <mergeCell ref="O32:O33"/>
    <mergeCell ref="P32:S33"/>
    <mergeCell ref="P34:S34"/>
    <mergeCell ref="P35:S35"/>
    <mergeCell ref="T37:V37"/>
    <mergeCell ref="O39:T39"/>
    <mergeCell ref="O40:T40"/>
    <mergeCell ref="O41:T41"/>
    <mergeCell ref="O42:W42"/>
    <mergeCell ref="O48:W48"/>
    <mergeCell ref="O49:W49"/>
    <mergeCell ref="O43:X43"/>
    <mergeCell ref="O44:T44"/>
    <mergeCell ref="O45:T45"/>
    <mergeCell ref="O46:T46"/>
    <mergeCell ref="O47:T47"/>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957AC9-62EC-4CDC-A58B-9C7A8D5A8D6C}">
  <sheetPr codeName="Feuil6"/>
  <dimension ref="A1:AD97"/>
  <sheetViews>
    <sheetView topLeftCell="A38" zoomScale="63" zoomScaleNormal="63" workbookViewId="0">
      <selection activeCell="AE68" sqref="AE68"/>
    </sheetView>
  </sheetViews>
  <sheetFormatPr baseColWidth="10" defaultColWidth="11" defaultRowHeight="15.75"/>
  <cols>
    <col min="1" max="1" width="11.5" customWidth="1"/>
  </cols>
  <sheetData>
    <row r="1" spans="1:28">
      <c r="A1" s="5"/>
      <c r="B1" s="5"/>
      <c r="C1" s="5"/>
      <c r="D1" s="5"/>
      <c r="E1" s="5"/>
      <c r="F1" s="5"/>
      <c r="G1" s="5"/>
      <c r="H1" s="5"/>
      <c r="I1" s="5"/>
      <c r="J1" s="5"/>
      <c r="K1" s="5"/>
      <c r="L1" s="5"/>
      <c r="M1" s="5"/>
      <c r="N1" s="5"/>
    </row>
    <row r="2" spans="1:28">
      <c r="A2" s="5"/>
      <c r="B2" s="5"/>
      <c r="C2" s="5"/>
      <c r="D2" s="5"/>
      <c r="E2" s="5"/>
      <c r="F2" s="5"/>
      <c r="G2" s="5"/>
      <c r="H2" s="5"/>
      <c r="I2" s="5"/>
      <c r="J2" s="5"/>
      <c r="K2" s="5"/>
      <c r="L2" s="5"/>
      <c r="M2" s="5"/>
      <c r="N2" s="5"/>
    </row>
    <row r="3" spans="1:28">
      <c r="A3" s="5"/>
      <c r="B3" s="5"/>
      <c r="C3" s="5"/>
      <c r="D3" s="5"/>
      <c r="E3" s="5"/>
      <c r="F3" s="5"/>
      <c r="G3" s="5"/>
      <c r="H3" s="5"/>
      <c r="I3" s="5"/>
      <c r="J3" s="5"/>
      <c r="K3" s="5"/>
      <c r="L3" s="5"/>
      <c r="M3" s="5"/>
      <c r="N3" s="5"/>
    </row>
    <row r="4" spans="1:28">
      <c r="A4" s="5"/>
      <c r="B4" s="5"/>
      <c r="C4" s="1001" t="s">
        <v>219</v>
      </c>
      <c r="D4" s="1001"/>
      <c r="E4" s="1001"/>
      <c r="F4" s="1001"/>
      <c r="G4" s="1001"/>
      <c r="H4" s="1001"/>
      <c r="I4" s="1001"/>
      <c r="J4" s="1001"/>
      <c r="K4" s="1002"/>
      <c r="L4" s="286"/>
      <c r="M4" s="250"/>
      <c r="N4" s="5"/>
    </row>
    <row r="5" spans="1:28" ht="18">
      <c r="A5" s="5"/>
      <c r="B5" s="5"/>
      <c r="C5" s="994" t="s">
        <v>220</v>
      </c>
      <c r="D5" s="994" t="s">
        <v>221</v>
      </c>
      <c r="E5" s="994"/>
      <c r="F5" s="994"/>
      <c r="G5" s="994"/>
      <c r="H5" s="108" t="s">
        <v>222</v>
      </c>
      <c r="I5" s="108" t="s">
        <v>223</v>
      </c>
      <c r="J5" s="108" t="s">
        <v>224</v>
      </c>
      <c r="K5" s="91" t="s">
        <v>225</v>
      </c>
      <c r="L5" s="287"/>
      <c r="M5" s="250"/>
      <c r="N5" s="5"/>
      <c r="P5" s="5"/>
      <c r="Q5" s="5"/>
      <c r="R5" s="5"/>
      <c r="S5" s="5"/>
      <c r="T5" s="5"/>
      <c r="U5" s="5"/>
      <c r="V5" s="5"/>
      <c r="W5" s="5"/>
      <c r="X5" s="5"/>
      <c r="Y5" s="5"/>
      <c r="Z5" s="5"/>
      <c r="AA5" s="5"/>
      <c r="AB5" s="5"/>
    </row>
    <row r="6" spans="1:28" ht="18.75">
      <c r="A6" s="5"/>
      <c r="B6" s="5"/>
      <c r="C6" s="994"/>
      <c r="D6" s="994"/>
      <c r="E6" s="994"/>
      <c r="F6" s="994"/>
      <c r="G6" s="994"/>
      <c r="H6" s="2" t="s">
        <v>226</v>
      </c>
      <c r="I6" s="89" t="s">
        <v>227</v>
      </c>
      <c r="J6" s="89" t="s">
        <v>228</v>
      </c>
      <c r="K6" s="92" t="s">
        <v>229</v>
      </c>
      <c r="L6" s="287"/>
      <c r="M6" s="250"/>
      <c r="N6" s="5"/>
      <c r="P6" s="5"/>
      <c r="Q6" s="5"/>
      <c r="R6" s="5"/>
      <c r="S6" s="5"/>
      <c r="T6" s="5"/>
      <c r="U6" s="5"/>
      <c r="V6" s="5"/>
      <c r="W6" s="5"/>
      <c r="X6" s="5"/>
      <c r="Y6" s="5"/>
      <c r="Z6" s="5"/>
      <c r="AA6" s="5"/>
      <c r="AB6" s="5"/>
    </row>
    <row r="7" spans="1:28">
      <c r="A7" s="5"/>
      <c r="B7" s="5"/>
      <c r="C7" s="2"/>
      <c r="D7" s="807" t="s">
        <v>174</v>
      </c>
      <c r="E7" s="807"/>
      <c r="F7" s="807"/>
      <c r="G7" s="807"/>
      <c r="H7" s="2" t="s">
        <v>174</v>
      </c>
      <c r="I7" s="2" t="s">
        <v>174</v>
      </c>
      <c r="J7" s="2" t="s">
        <v>174</v>
      </c>
      <c r="K7" s="237" t="s">
        <v>174</v>
      </c>
      <c r="L7" s="287"/>
      <c r="M7" s="250"/>
      <c r="N7" s="5"/>
      <c r="P7" s="5" t="s">
        <v>336</v>
      </c>
      <c r="Q7" s="380" t="s">
        <v>219</v>
      </c>
      <c r="R7" s="380"/>
      <c r="S7" s="380"/>
      <c r="T7" s="380"/>
      <c r="U7" s="380"/>
      <c r="V7" s="380"/>
      <c r="W7" s="380"/>
      <c r="X7" s="380"/>
      <c r="Y7" s="378"/>
      <c r="Z7" s="286"/>
      <c r="AA7" s="250"/>
      <c r="AB7" s="5"/>
    </row>
    <row r="8" spans="1:28" ht="18">
      <c r="A8" s="5"/>
      <c r="B8" s="5"/>
      <c r="C8" s="1005"/>
      <c r="D8" s="1006"/>
      <c r="E8" s="1006"/>
      <c r="F8" s="1006"/>
      <c r="G8" s="1006"/>
      <c r="H8" s="1006"/>
      <c r="I8" s="1006"/>
      <c r="J8" s="1007"/>
      <c r="K8" s="105">
        <f>SUM(K7:K7)</f>
        <v>0</v>
      </c>
      <c r="L8" s="287"/>
      <c r="M8" s="250"/>
      <c r="N8" s="5"/>
      <c r="P8" s="5"/>
      <c r="Q8" s="221" t="s">
        <v>220</v>
      </c>
      <c r="R8" s="221" t="s">
        <v>221</v>
      </c>
      <c r="S8" s="221"/>
      <c r="T8" s="221"/>
      <c r="U8" s="221"/>
      <c r="V8" s="108" t="s">
        <v>222</v>
      </c>
      <c r="W8" s="108" t="s">
        <v>223</v>
      </c>
      <c r="X8" s="108" t="s">
        <v>224</v>
      </c>
      <c r="Y8" s="91" t="s">
        <v>225</v>
      </c>
      <c r="Z8" s="287"/>
      <c r="AA8" s="250"/>
      <c r="AB8" s="5"/>
    </row>
    <row r="9" spans="1:28" ht="19.5">
      <c r="A9" s="5"/>
      <c r="B9" s="5"/>
      <c r="C9" s="1008" t="s">
        <v>220</v>
      </c>
      <c r="D9" s="1009" t="s">
        <v>302</v>
      </c>
      <c r="E9" s="1010"/>
      <c r="F9" s="1010"/>
      <c r="G9" s="1121"/>
      <c r="H9" s="114" t="s">
        <v>303</v>
      </c>
      <c r="I9" s="114" t="s">
        <v>304</v>
      </c>
      <c r="J9" s="114" t="s">
        <v>224</v>
      </c>
      <c r="K9" s="90" t="s">
        <v>305</v>
      </c>
      <c r="L9" s="287"/>
      <c r="M9" s="250"/>
      <c r="N9" s="5"/>
      <c r="P9" s="5"/>
      <c r="Q9" s="221"/>
      <c r="R9" s="221"/>
      <c r="S9" s="221"/>
      <c r="T9" s="221"/>
      <c r="U9" s="221"/>
      <c r="V9" s="2" t="s">
        <v>226</v>
      </c>
      <c r="W9" s="89" t="s">
        <v>227</v>
      </c>
      <c r="X9" s="89" t="s">
        <v>228</v>
      </c>
      <c r="Y9" s="92" t="s">
        <v>229</v>
      </c>
      <c r="Z9" s="287"/>
      <c r="AA9" s="250"/>
      <c r="AB9" s="5"/>
    </row>
    <row r="10" spans="1:28">
      <c r="A10" s="5"/>
      <c r="B10" s="5"/>
      <c r="C10" s="976"/>
      <c r="D10" s="979"/>
      <c r="E10" s="980"/>
      <c r="F10" s="980"/>
      <c r="G10" s="1122"/>
      <c r="H10" s="57" t="s">
        <v>307</v>
      </c>
      <c r="I10" s="57" t="s">
        <v>308</v>
      </c>
      <c r="J10" s="57" t="s">
        <v>228</v>
      </c>
      <c r="K10" s="58" t="s">
        <v>229</v>
      </c>
      <c r="L10" s="287"/>
      <c r="M10" s="250"/>
      <c r="N10" s="5"/>
      <c r="P10" s="5"/>
      <c r="Q10" s="2" t="s">
        <v>337</v>
      </c>
      <c r="R10" s="2" t="s">
        <v>338</v>
      </c>
      <c r="S10" s="2"/>
      <c r="T10" s="2"/>
      <c r="U10" s="2"/>
      <c r="V10" s="2">
        <f>5*3.94</f>
        <v>19.7</v>
      </c>
      <c r="W10" s="2">
        <f>Parois!L13</f>
        <v>0.31196948579298983</v>
      </c>
      <c r="X10" s="2">
        <v>1</v>
      </c>
      <c r="Y10" s="237">
        <f>V10*W10*X10</f>
        <v>6.1457988701218991</v>
      </c>
      <c r="Z10" s="287"/>
      <c r="AA10" s="250"/>
      <c r="AB10" s="5"/>
    </row>
    <row r="11" spans="1:28">
      <c r="A11" s="5"/>
      <c r="B11" s="5"/>
      <c r="C11" s="57"/>
      <c r="D11" s="1123" t="s">
        <v>174</v>
      </c>
      <c r="E11" s="1124"/>
      <c r="F11" s="1124"/>
      <c r="G11" s="1125"/>
      <c r="H11" s="57"/>
      <c r="I11" s="59"/>
      <c r="J11" s="59"/>
      <c r="K11" s="94"/>
      <c r="L11" s="287"/>
      <c r="M11" s="250"/>
      <c r="N11" s="5"/>
      <c r="P11" s="5"/>
      <c r="Q11" s="533"/>
      <c r="R11" s="534"/>
      <c r="S11" s="534"/>
      <c r="T11" s="534"/>
      <c r="U11" s="534"/>
      <c r="V11" s="534"/>
      <c r="W11" s="534"/>
      <c r="X11" s="535"/>
      <c r="Y11" s="105">
        <f>0</f>
        <v>0</v>
      </c>
      <c r="Z11" s="287"/>
      <c r="AA11" s="250"/>
      <c r="AB11" s="5"/>
    </row>
    <row r="12" spans="1:28" ht="18.75">
      <c r="A12" s="5"/>
      <c r="B12" s="5"/>
      <c r="C12" s="1029" t="s">
        <v>282</v>
      </c>
      <c r="D12" s="1126"/>
      <c r="E12" s="1126"/>
      <c r="F12" s="1126"/>
      <c r="G12" s="1126"/>
      <c r="H12" s="1126"/>
      <c r="I12" s="1127"/>
      <c r="J12" s="1128"/>
      <c r="K12" s="95">
        <f>0</f>
        <v>0</v>
      </c>
      <c r="L12" s="287"/>
      <c r="M12" s="250"/>
      <c r="N12" s="5"/>
      <c r="P12" s="5"/>
      <c r="Q12" s="359" t="s">
        <v>220</v>
      </c>
      <c r="R12" s="360" t="s">
        <v>302</v>
      </c>
      <c r="S12" s="361"/>
      <c r="T12" s="361"/>
      <c r="U12" s="381"/>
      <c r="V12" s="114" t="s">
        <v>303</v>
      </c>
      <c r="W12" s="114" t="s">
        <v>304</v>
      </c>
      <c r="X12" s="114" t="s">
        <v>224</v>
      </c>
      <c r="Y12" s="90" t="s">
        <v>305</v>
      </c>
      <c r="Z12" s="287"/>
      <c r="AA12" s="250"/>
      <c r="AB12" s="5"/>
    </row>
    <row r="13" spans="1:28" ht="18">
      <c r="A13" s="5"/>
      <c r="B13" s="5"/>
      <c r="C13" s="995" t="s">
        <v>244</v>
      </c>
      <c r="D13" s="996"/>
      <c r="E13" s="996"/>
      <c r="F13" s="996"/>
      <c r="G13" s="996"/>
      <c r="H13" s="996"/>
      <c r="I13" s="1028" t="s">
        <v>245</v>
      </c>
      <c r="J13" s="1028"/>
      <c r="K13" s="1129"/>
      <c r="L13" s="287"/>
      <c r="M13" s="250"/>
      <c r="N13" s="5"/>
      <c r="P13" s="5"/>
      <c r="Q13" s="155"/>
      <c r="R13" s="362"/>
      <c r="S13" s="363"/>
      <c r="T13" s="363"/>
      <c r="U13" s="382"/>
      <c r="V13" s="57" t="s">
        <v>307</v>
      </c>
      <c r="W13" s="57" t="s">
        <v>308</v>
      </c>
      <c r="X13" s="57" t="s">
        <v>228</v>
      </c>
      <c r="Y13" s="58" t="s">
        <v>229</v>
      </c>
      <c r="Z13" s="287"/>
      <c r="AA13" s="250"/>
      <c r="AB13" s="5"/>
    </row>
    <row r="14" spans="1:28">
      <c r="A14" s="5"/>
      <c r="B14" s="5"/>
      <c r="C14" s="1001" t="s">
        <v>247</v>
      </c>
      <c r="D14" s="1001"/>
      <c r="E14" s="1001"/>
      <c r="F14" s="1001"/>
      <c r="G14" s="1001"/>
      <c r="H14" s="1001"/>
      <c r="I14" s="1001"/>
      <c r="J14" s="1001"/>
      <c r="K14" s="1002"/>
      <c r="L14" s="287"/>
      <c r="M14" s="250"/>
      <c r="N14" s="5"/>
      <c r="P14" s="5"/>
      <c r="Q14" s="57"/>
      <c r="R14" s="85" t="s">
        <v>174</v>
      </c>
      <c r="S14" s="222"/>
      <c r="T14" s="222"/>
      <c r="U14" s="383"/>
      <c r="V14" s="57"/>
      <c r="W14" s="59"/>
      <c r="X14" s="59"/>
      <c r="Y14" s="94"/>
      <c r="Z14" s="287"/>
      <c r="AA14" s="250"/>
      <c r="AB14" s="5"/>
    </row>
    <row r="15" spans="1:28" ht="18.75">
      <c r="A15" s="5"/>
      <c r="B15" s="5"/>
      <c r="C15" s="994" t="s">
        <v>220</v>
      </c>
      <c r="D15" s="994" t="s">
        <v>249</v>
      </c>
      <c r="E15" s="994"/>
      <c r="F15" s="994"/>
      <c r="G15" s="994"/>
      <c r="H15" s="108" t="s">
        <v>222</v>
      </c>
      <c r="I15" s="108" t="s">
        <v>223</v>
      </c>
      <c r="J15" s="313" t="s">
        <v>250</v>
      </c>
      <c r="K15" s="109" t="s">
        <v>251</v>
      </c>
      <c r="L15" s="287"/>
      <c r="M15" s="250"/>
      <c r="N15" s="5"/>
      <c r="P15" s="5"/>
      <c r="Q15" s="384" t="s">
        <v>282</v>
      </c>
      <c r="R15" s="385"/>
      <c r="S15" s="385"/>
      <c r="T15" s="385"/>
      <c r="U15" s="385"/>
      <c r="V15" s="385"/>
      <c r="W15" s="386"/>
      <c r="X15" s="387"/>
      <c r="Y15" s="95">
        <f>0</f>
        <v>0</v>
      </c>
      <c r="Z15" s="287"/>
      <c r="AA15" s="250"/>
      <c r="AB15" s="5"/>
    </row>
    <row r="16" spans="1:28" ht="19.5">
      <c r="A16" s="5"/>
      <c r="B16" s="5"/>
      <c r="C16" s="994"/>
      <c r="D16" s="994"/>
      <c r="E16" s="994"/>
      <c r="F16" s="994"/>
      <c r="G16" s="994"/>
      <c r="H16" s="2" t="s">
        <v>226</v>
      </c>
      <c r="I16" s="89" t="s">
        <v>227</v>
      </c>
      <c r="J16" s="89" t="s">
        <v>228</v>
      </c>
      <c r="K16" s="92" t="s">
        <v>229</v>
      </c>
      <c r="L16" s="287"/>
      <c r="M16" s="250"/>
      <c r="N16" s="5"/>
      <c r="P16" s="5"/>
      <c r="Q16" s="388" t="s">
        <v>244</v>
      </c>
      <c r="R16" s="389"/>
      <c r="S16" s="389"/>
      <c r="T16" s="389"/>
      <c r="U16" s="389"/>
      <c r="V16" s="389"/>
      <c r="W16" s="390" t="s">
        <v>245</v>
      </c>
      <c r="X16" s="390"/>
      <c r="Y16" s="391"/>
      <c r="Z16" s="287"/>
      <c r="AA16" s="250"/>
      <c r="AB16" s="5"/>
    </row>
    <row r="17" spans="1:28">
      <c r="A17" s="5"/>
      <c r="B17" s="5"/>
      <c r="C17" s="1"/>
      <c r="D17" s="862" t="s">
        <v>275</v>
      </c>
      <c r="E17" s="863"/>
      <c r="F17" s="863"/>
      <c r="G17" s="864"/>
      <c r="H17" s="269" t="s">
        <v>242</v>
      </c>
      <c r="I17" s="269" t="s">
        <v>242</v>
      </c>
      <c r="J17" s="269">
        <v>1</v>
      </c>
      <c r="K17" s="270">
        <v>0</v>
      </c>
      <c r="L17" s="287"/>
      <c r="M17" s="250"/>
      <c r="N17" s="5"/>
      <c r="P17" s="5"/>
      <c r="Q17" s="380" t="s">
        <v>247</v>
      </c>
      <c r="R17" s="380"/>
      <c r="S17" s="380"/>
      <c r="T17" s="380"/>
      <c r="U17" s="380"/>
      <c r="V17" s="380"/>
      <c r="W17" s="380"/>
      <c r="X17" s="380"/>
      <c r="Y17" s="378"/>
      <c r="Z17" s="287"/>
      <c r="AA17" s="250"/>
      <c r="AB17" s="5"/>
    </row>
    <row r="18" spans="1:28" ht="18">
      <c r="A18" s="5"/>
      <c r="B18" s="5"/>
      <c r="C18" s="1"/>
      <c r="D18" s="862" t="s">
        <v>339</v>
      </c>
      <c r="E18" s="863"/>
      <c r="F18" s="863"/>
      <c r="G18" s="864"/>
      <c r="H18" s="269" t="s">
        <v>242</v>
      </c>
      <c r="I18" s="269" t="s">
        <v>242</v>
      </c>
      <c r="J18" s="269">
        <v>1</v>
      </c>
      <c r="K18" s="270">
        <f>0</f>
        <v>0</v>
      </c>
      <c r="L18" s="287"/>
      <c r="M18" s="250"/>
      <c r="N18" s="5"/>
      <c r="P18" s="5"/>
      <c r="Q18" s="221" t="s">
        <v>220</v>
      </c>
      <c r="R18" s="221" t="s">
        <v>249</v>
      </c>
      <c r="S18" s="221"/>
      <c r="T18" s="221"/>
      <c r="U18" s="221"/>
      <c r="V18" s="108" t="s">
        <v>222</v>
      </c>
      <c r="W18" s="108" t="s">
        <v>223</v>
      </c>
      <c r="X18" s="313" t="s">
        <v>250</v>
      </c>
      <c r="Y18" s="109" t="s">
        <v>251</v>
      </c>
      <c r="Z18" s="287"/>
      <c r="AA18" s="250"/>
      <c r="AB18" s="5"/>
    </row>
    <row r="19" spans="1:28" ht="18.75">
      <c r="A19" s="5"/>
      <c r="B19" s="5"/>
      <c r="C19" s="818" t="s">
        <v>318</v>
      </c>
      <c r="D19" s="818"/>
      <c r="E19" s="818"/>
      <c r="F19" s="818"/>
      <c r="G19" s="818"/>
      <c r="H19" s="818"/>
      <c r="I19" s="818"/>
      <c r="J19" s="818"/>
      <c r="K19" s="91">
        <f>K18+K17</f>
        <v>0</v>
      </c>
      <c r="L19" s="287"/>
      <c r="M19" s="250"/>
      <c r="N19" s="5"/>
      <c r="P19" s="5"/>
      <c r="Q19" s="221"/>
      <c r="R19" s="221"/>
      <c r="S19" s="221"/>
      <c r="T19" s="221"/>
      <c r="U19" s="221"/>
      <c r="V19" s="2" t="s">
        <v>226</v>
      </c>
      <c r="W19" s="89" t="s">
        <v>227</v>
      </c>
      <c r="X19" s="89" t="s">
        <v>228</v>
      </c>
      <c r="Y19" s="92" t="s">
        <v>229</v>
      </c>
      <c r="Z19" s="287"/>
      <c r="AA19" s="250"/>
      <c r="AB19" s="5"/>
    </row>
    <row r="20" spans="1:28" ht="18">
      <c r="A20" s="5"/>
      <c r="B20" s="5"/>
      <c r="C20" s="1130" t="s">
        <v>220</v>
      </c>
      <c r="D20" s="1132" t="s">
        <v>302</v>
      </c>
      <c r="E20" s="1133"/>
      <c r="F20" s="1133"/>
      <c r="G20" s="1134"/>
      <c r="H20" s="86" t="s">
        <v>303</v>
      </c>
      <c r="I20" s="86" t="s">
        <v>304</v>
      </c>
      <c r="J20" s="313" t="s">
        <v>250</v>
      </c>
      <c r="K20" s="90" t="s">
        <v>319</v>
      </c>
      <c r="L20" s="287"/>
      <c r="M20" s="250"/>
      <c r="N20" s="5"/>
      <c r="P20" s="5"/>
      <c r="Q20" s="1"/>
      <c r="R20" s="862" t="s">
        <v>275</v>
      </c>
      <c r="S20" s="863"/>
      <c r="T20" s="863"/>
      <c r="U20" s="864"/>
      <c r="V20" s="269">
        <f>3.7*(1.975+3.025)</f>
        <v>18.5</v>
      </c>
      <c r="W20" s="269">
        <f>Parois!AD68</f>
        <v>0</v>
      </c>
      <c r="X20" s="269">
        <v>0</v>
      </c>
      <c r="Y20" s="270"/>
      <c r="Z20" s="287"/>
      <c r="AA20" s="250"/>
      <c r="AB20" s="5"/>
    </row>
    <row r="21" spans="1:28">
      <c r="A21" s="5"/>
      <c r="B21" s="5"/>
      <c r="C21" s="1131"/>
      <c r="D21" s="1135"/>
      <c r="E21" s="1136"/>
      <c r="F21" s="1136"/>
      <c r="G21" s="1137"/>
      <c r="H21" s="59" t="s">
        <v>307</v>
      </c>
      <c r="I21" s="59" t="s">
        <v>308</v>
      </c>
      <c r="J21" s="59" t="s">
        <v>228</v>
      </c>
      <c r="K21" s="94" t="s">
        <v>229</v>
      </c>
      <c r="L21" s="287"/>
      <c r="M21" s="250"/>
      <c r="N21" s="5"/>
      <c r="P21" s="5"/>
      <c r="Q21" s="1"/>
      <c r="R21" s="862" t="s">
        <v>339</v>
      </c>
      <c r="S21" s="863"/>
      <c r="T21" s="863"/>
      <c r="U21" s="864"/>
      <c r="V21" s="269">
        <f>2.875*3.7</f>
        <v>10.637500000000001</v>
      </c>
      <c r="W21" s="269">
        <f>Parois!AD75</f>
        <v>0</v>
      </c>
      <c r="X21" s="269">
        <v>0</v>
      </c>
      <c r="Y21" s="270">
        <f>V21*W21*X21</f>
        <v>0</v>
      </c>
      <c r="Z21" s="287"/>
      <c r="AA21" s="250"/>
      <c r="AB21" s="5"/>
    </row>
    <row r="22" spans="1:28">
      <c r="A22" s="5"/>
      <c r="B22" s="5"/>
      <c r="C22" s="1"/>
      <c r="D22" s="810" t="s">
        <v>174</v>
      </c>
      <c r="E22" s="810"/>
      <c r="F22" s="810"/>
      <c r="G22" s="810"/>
      <c r="H22" s="2" t="s">
        <v>174</v>
      </c>
      <c r="I22" s="2" t="s">
        <v>174</v>
      </c>
      <c r="J22" s="2" t="s">
        <v>174</v>
      </c>
      <c r="K22" s="120" t="s">
        <v>174</v>
      </c>
      <c r="L22" s="287"/>
      <c r="M22" s="250"/>
      <c r="N22" s="5"/>
      <c r="P22" s="5"/>
      <c r="Q22" s="818" t="s">
        <v>318</v>
      </c>
      <c r="R22" s="818"/>
      <c r="S22" s="818"/>
      <c r="T22" s="818"/>
      <c r="U22" s="818"/>
      <c r="V22" s="818"/>
      <c r="W22" s="818"/>
      <c r="X22" s="818"/>
      <c r="Y22" s="91">
        <f>Y21+Y20</f>
        <v>0</v>
      </c>
      <c r="Z22" s="287"/>
      <c r="AA22" s="250"/>
      <c r="AB22" s="5"/>
    </row>
    <row r="23" spans="1:28" ht="18">
      <c r="A23" s="5"/>
      <c r="B23" s="5"/>
      <c r="C23" s="1003" t="s">
        <v>254</v>
      </c>
      <c r="D23" s="1003"/>
      <c r="E23" s="1003"/>
      <c r="F23" s="1003"/>
      <c r="G23" s="1003"/>
      <c r="H23" s="1003"/>
      <c r="I23" s="1003"/>
      <c r="J23" s="1003"/>
      <c r="K23" s="1004"/>
      <c r="L23" s="287"/>
      <c r="M23" s="250"/>
      <c r="N23" s="5"/>
      <c r="P23" s="5"/>
      <c r="Q23" s="1130" t="s">
        <v>220</v>
      </c>
      <c r="R23" s="1132" t="s">
        <v>302</v>
      </c>
      <c r="S23" s="1133"/>
      <c r="T23" s="1133"/>
      <c r="U23" s="1134"/>
      <c r="V23" s="86" t="s">
        <v>303</v>
      </c>
      <c r="W23" s="86" t="s">
        <v>304</v>
      </c>
      <c r="X23" s="313" t="s">
        <v>250</v>
      </c>
      <c r="Y23" s="90" t="s">
        <v>319</v>
      </c>
      <c r="Z23" s="287"/>
      <c r="AA23" s="250"/>
      <c r="AB23" s="5"/>
    </row>
    <row r="24" spans="1:28">
      <c r="A24" s="5"/>
      <c r="B24" s="5"/>
      <c r="C24" s="1002" t="s">
        <v>321</v>
      </c>
      <c r="D24" s="1138"/>
      <c r="E24" s="1138"/>
      <c r="F24" s="1138"/>
      <c r="G24" s="1138"/>
      <c r="H24" s="1138"/>
      <c r="I24" s="1138"/>
      <c r="J24" s="1138"/>
      <c r="K24" s="1138"/>
      <c r="L24" s="287"/>
      <c r="M24" s="250"/>
      <c r="N24" s="5"/>
      <c r="P24" s="5"/>
      <c r="Q24" s="1131"/>
      <c r="R24" s="1135"/>
      <c r="S24" s="1136"/>
      <c r="T24" s="1136"/>
      <c r="U24" s="1137"/>
      <c r="V24" s="59" t="s">
        <v>307</v>
      </c>
      <c r="W24" s="59" t="s">
        <v>308</v>
      </c>
      <c r="X24" s="59" t="s">
        <v>228</v>
      </c>
      <c r="Y24" s="94" t="s">
        <v>229</v>
      </c>
      <c r="Z24" s="287"/>
      <c r="AA24" s="250"/>
      <c r="AB24" s="5"/>
    </row>
    <row r="25" spans="1:28" ht="18">
      <c r="A25" s="5"/>
      <c r="B25" s="5"/>
      <c r="C25" s="994" t="s">
        <v>220</v>
      </c>
      <c r="D25" s="994" t="s">
        <v>249</v>
      </c>
      <c r="E25" s="994"/>
      <c r="F25" s="994"/>
      <c r="G25" s="994"/>
      <c r="H25" s="196" t="s">
        <v>222</v>
      </c>
      <c r="I25" s="196" t="s">
        <v>223</v>
      </c>
      <c r="J25" s="196" t="s">
        <v>224</v>
      </c>
      <c r="K25" s="231" t="s">
        <v>225</v>
      </c>
      <c r="L25" s="287"/>
      <c r="M25" s="250"/>
      <c r="N25" s="5"/>
      <c r="P25" s="5"/>
      <c r="Q25" s="1"/>
      <c r="R25" s="810" t="s">
        <v>174</v>
      </c>
      <c r="S25" s="810"/>
      <c r="T25" s="810"/>
      <c r="U25" s="810"/>
      <c r="V25" s="2" t="s">
        <v>174</v>
      </c>
      <c r="W25" s="2" t="s">
        <v>174</v>
      </c>
      <c r="X25" s="2" t="s">
        <v>174</v>
      </c>
      <c r="Y25" s="120" t="s">
        <v>174</v>
      </c>
      <c r="Z25" s="287"/>
      <c r="AA25" s="250"/>
      <c r="AB25" s="5"/>
    </row>
    <row r="26" spans="1:28" ht="18">
      <c r="A26" s="5"/>
      <c r="B26" s="5"/>
      <c r="C26" s="994"/>
      <c r="D26" s="994"/>
      <c r="E26" s="994"/>
      <c r="F26" s="994"/>
      <c r="G26" s="994"/>
      <c r="H26" s="62" t="s">
        <v>226</v>
      </c>
      <c r="I26" s="197" t="s">
        <v>227</v>
      </c>
      <c r="J26" s="197" t="s">
        <v>228</v>
      </c>
      <c r="K26" s="232" t="s">
        <v>229</v>
      </c>
      <c r="L26" s="287"/>
      <c r="M26" s="250"/>
      <c r="N26" s="5"/>
      <c r="P26" s="5"/>
      <c r="Q26" s="1003" t="s">
        <v>254</v>
      </c>
      <c r="R26" s="1003"/>
      <c r="S26" s="1003"/>
      <c r="T26" s="1003"/>
      <c r="U26" s="1003"/>
      <c r="V26" s="1003"/>
      <c r="W26" s="1003"/>
      <c r="X26" s="1003"/>
      <c r="Y26" s="1004"/>
      <c r="Z26" s="287"/>
      <c r="AA26" s="250"/>
      <c r="AB26" s="5"/>
    </row>
    <row r="27" spans="1:28">
      <c r="A27" s="5"/>
      <c r="B27" s="5"/>
      <c r="C27" s="1"/>
      <c r="D27" s="862" t="s">
        <v>340</v>
      </c>
      <c r="E27" s="863"/>
      <c r="F27" s="863"/>
      <c r="G27" s="864"/>
      <c r="H27" s="1">
        <f>(3.49+3.025+3.6+3.025)</f>
        <v>13.14</v>
      </c>
      <c r="I27" s="1">
        <f>0</f>
        <v>0</v>
      </c>
      <c r="J27" s="1">
        <v>1</v>
      </c>
      <c r="K27" s="119">
        <f>H27*I27*J27</f>
        <v>0</v>
      </c>
      <c r="L27" s="287"/>
      <c r="M27" s="250"/>
      <c r="N27" s="5"/>
      <c r="P27" s="5"/>
      <c r="Q27" s="1002" t="s">
        <v>321</v>
      </c>
      <c r="R27" s="1138"/>
      <c r="S27" s="1138"/>
      <c r="T27" s="1138"/>
      <c r="U27" s="1138"/>
      <c r="V27" s="1138"/>
      <c r="W27" s="1138"/>
      <c r="X27" s="1138"/>
      <c r="Y27" s="1138"/>
      <c r="Z27" s="287"/>
      <c r="AA27" s="250"/>
      <c r="AB27" s="5"/>
    </row>
    <row r="28" spans="1:28" ht="18.75">
      <c r="A28" s="5"/>
      <c r="B28" s="5"/>
      <c r="C28" s="98" t="s">
        <v>287</v>
      </c>
      <c r="D28" s="98"/>
      <c r="E28" s="98"/>
      <c r="F28" s="98"/>
      <c r="G28" s="98"/>
      <c r="H28" s="98"/>
      <c r="I28" s="1030" t="s">
        <v>288</v>
      </c>
      <c r="J28" s="1139"/>
      <c r="K28" s="1139"/>
      <c r="L28" s="287"/>
      <c r="M28" s="250"/>
      <c r="N28" s="5"/>
      <c r="P28" s="5"/>
      <c r="Q28" s="994" t="s">
        <v>220</v>
      </c>
      <c r="R28" s="994" t="s">
        <v>249</v>
      </c>
      <c r="S28" s="994"/>
      <c r="T28" s="994"/>
      <c r="U28" s="994"/>
      <c r="V28" s="196" t="s">
        <v>222</v>
      </c>
      <c r="W28" s="196" t="s">
        <v>223</v>
      </c>
      <c r="X28" s="196" t="s">
        <v>224</v>
      </c>
      <c r="Y28" s="231" t="s">
        <v>225</v>
      </c>
      <c r="Z28" s="287"/>
      <c r="AA28" s="250"/>
      <c r="AB28" s="5"/>
    </row>
    <row r="29" spans="1:28" ht="18">
      <c r="A29" s="5"/>
      <c r="B29" s="5"/>
      <c r="C29" s="118" t="s">
        <v>257</v>
      </c>
      <c r="D29" s="97"/>
      <c r="E29" s="97"/>
      <c r="F29" s="314"/>
      <c r="G29" s="315"/>
      <c r="H29" s="315"/>
      <c r="I29" s="315"/>
      <c r="J29" s="315"/>
      <c r="K29" s="316"/>
      <c r="L29" s="287"/>
      <c r="M29" s="250"/>
      <c r="N29" s="5"/>
      <c r="P29" s="5"/>
      <c r="Q29" s="994"/>
      <c r="R29" s="994"/>
      <c r="S29" s="994"/>
      <c r="T29" s="994"/>
      <c r="U29" s="994"/>
      <c r="V29" s="62" t="s">
        <v>226</v>
      </c>
      <c r="W29" s="197" t="s">
        <v>227</v>
      </c>
      <c r="X29" s="197" t="s">
        <v>228</v>
      </c>
      <c r="Y29" s="232" t="s">
        <v>229</v>
      </c>
      <c r="Z29" s="287"/>
      <c r="AA29" s="250"/>
      <c r="AB29" s="5"/>
    </row>
    <row r="30" spans="1:28" ht="18">
      <c r="A30" s="5"/>
      <c r="B30" s="5"/>
      <c r="C30" s="1008" t="s">
        <v>220</v>
      </c>
      <c r="D30" s="1009" t="s">
        <v>221</v>
      </c>
      <c r="E30" s="1010"/>
      <c r="F30" s="1010"/>
      <c r="G30" s="1010"/>
      <c r="H30" s="196" t="s">
        <v>232</v>
      </c>
      <c r="I30" s="196" t="s">
        <v>222</v>
      </c>
      <c r="J30" s="196" t="s">
        <v>223</v>
      </c>
      <c r="K30" s="231" t="s">
        <v>233</v>
      </c>
      <c r="L30" s="287"/>
      <c r="M30" s="250"/>
      <c r="N30" s="5"/>
      <c r="P30" s="5"/>
      <c r="Q30" s="1"/>
      <c r="R30" s="862"/>
      <c r="S30" s="863"/>
      <c r="T30" s="863"/>
      <c r="U30" s="864"/>
      <c r="V30" s="1"/>
      <c r="W30" s="1"/>
      <c r="X30" s="1"/>
      <c r="Y30" s="119"/>
      <c r="Z30" s="287"/>
      <c r="AA30" s="250"/>
      <c r="AB30" s="5"/>
    </row>
    <row r="31" spans="1:28" ht="18.75">
      <c r="A31" s="5"/>
      <c r="B31" s="5"/>
      <c r="C31" s="976"/>
      <c r="D31" s="979"/>
      <c r="E31" s="980"/>
      <c r="F31" s="980"/>
      <c r="G31" s="980"/>
      <c r="H31" s="62" t="s">
        <v>228</v>
      </c>
      <c r="I31" s="62" t="s">
        <v>226</v>
      </c>
      <c r="J31" s="197" t="s">
        <v>227</v>
      </c>
      <c r="K31" s="232" t="s">
        <v>229</v>
      </c>
      <c r="L31" s="287"/>
      <c r="M31" s="250"/>
      <c r="N31" s="5"/>
      <c r="P31" s="5"/>
      <c r="Q31" s="98" t="s">
        <v>287</v>
      </c>
      <c r="R31" s="98"/>
      <c r="S31" s="98"/>
      <c r="T31" s="98"/>
      <c r="U31" s="98"/>
      <c r="V31" s="98"/>
      <c r="W31" s="1030" t="s">
        <v>288</v>
      </c>
      <c r="X31" s="1139"/>
      <c r="Y31" s="1139"/>
      <c r="Z31" s="287"/>
      <c r="AA31" s="250"/>
      <c r="AB31" s="5"/>
    </row>
    <row r="32" spans="1:28">
      <c r="A32" s="5"/>
      <c r="B32" s="5"/>
      <c r="C32" s="155"/>
      <c r="D32" s="981" t="s">
        <v>236</v>
      </c>
      <c r="E32" s="982"/>
      <c r="F32" s="982"/>
      <c r="G32" s="983"/>
      <c r="H32" s="264" t="s">
        <v>242</v>
      </c>
      <c r="I32" s="65" t="s">
        <v>242</v>
      </c>
      <c r="J32" s="265">
        <f>K3</f>
        <v>0</v>
      </c>
      <c r="K32" s="266">
        <f>0</f>
        <v>0</v>
      </c>
      <c r="L32" s="287"/>
      <c r="M32" s="250"/>
      <c r="N32" s="5"/>
      <c r="P32" s="5"/>
      <c r="Q32" s="118" t="s">
        <v>257</v>
      </c>
      <c r="R32" s="97"/>
      <c r="S32" s="97"/>
      <c r="T32" s="314"/>
      <c r="U32" s="315"/>
      <c r="V32" s="315"/>
      <c r="W32" s="315"/>
      <c r="X32" s="315"/>
      <c r="Y32" s="316"/>
      <c r="Z32" s="287"/>
      <c r="AA32" s="250"/>
      <c r="AB32" s="5"/>
    </row>
    <row r="33" spans="1:28" ht="18">
      <c r="A33" s="5"/>
      <c r="B33" s="5"/>
      <c r="C33" s="57" t="s">
        <v>255</v>
      </c>
      <c r="D33" s="57"/>
      <c r="E33" s="57"/>
      <c r="F33" s="57"/>
      <c r="G33" s="58"/>
      <c r="H33" s="1"/>
      <c r="I33" s="1"/>
      <c r="J33" s="1"/>
      <c r="K33" s="91" t="s">
        <v>256</v>
      </c>
      <c r="L33" s="287"/>
      <c r="M33" s="250"/>
      <c r="N33" s="5"/>
      <c r="P33" s="5"/>
      <c r="Q33" s="1008" t="s">
        <v>220</v>
      </c>
      <c r="R33" s="1009" t="s">
        <v>221</v>
      </c>
      <c r="S33" s="1010"/>
      <c r="T33" s="1010"/>
      <c r="U33" s="1010"/>
      <c r="V33" s="196" t="s">
        <v>232</v>
      </c>
      <c r="W33" s="196" t="s">
        <v>222</v>
      </c>
      <c r="X33" s="196" t="s">
        <v>223</v>
      </c>
      <c r="Y33" s="231" t="s">
        <v>233</v>
      </c>
      <c r="Z33" s="287"/>
      <c r="AA33" s="250"/>
      <c r="AB33" s="5"/>
    </row>
    <row r="34" spans="1:28" ht="18">
      <c r="A34" s="5"/>
      <c r="B34" s="5"/>
      <c r="C34" s="83" t="s">
        <v>258</v>
      </c>
      <c r="D34" s="84"/>
      <c r="E34" s="84"/>
      <c r="F34" s="84"/>
      <c r="G34" s="102"/>
      <c r="H34" s="999" t="s">
        <v>259</v>
      </c>
      <c r="I34" s="999"/>
      <c r="J34" s="999"/>
      <c r="K34" s="119">
        <f>K27</f>
        <v>0</v>
      </c>
      <c r="L34" s="287"/>
      <c r="M34" s="250"/>
      <c r="N34" s="5"/>
      <c r="P34" s="5"/>
      <c r="Q34" s="976"/>
      <c r="R34" s="979"/>
      <c r="S34" s="980"/>
      <c r="T34" s="980"/>
      <c r="U34" s="980"/>
      <c r="V34" s="62" t="s">
        <v>228</v>
      </c>
      <c r="W34" s="62" t="s">
        <v>226</v>
      </c>
      <c r="X34" s="197" t="s">
        <v>227</v>
      </c>
      <c r="Y34" s="232" t="s">
        <v>229</v>
      </c>
      <c r="Z34" s="287"/>
      <c r="AA34" s="250"/>
      <c r="AB34" s="5"/>
    </row>
    <row r="35" spans="1:28">
      <c r="A35" s="5"/>
      <c r="B35" s="5"/>
      <c r="C35" s="104" t="s">
        <v>260</v>
      </c>
      <c r="D35" s="103"/>
      <c r="E35" s="103"/>
      <c r="F35" s="103"/>
      <c r="G35" s="103"/>
      <c r="H35" s="103"/>
      <c r="I35" s="103"/>
      <c r="J35" s="103"/>
      <c r="K35" s="103"/>
      <c r="L35" s="287"/>
      <c r="M35" s="250"/>
      <c r="N35" s="5"/>
      <c r="P35" s="5"/>
      <c r="Q35" s="155" t="s">
        <v>295</v>
      </c>
      <c r="R35" s="1141" t="s">
        <v>341</v>
      </c>
      <c r="S35" s="1142"/>
      <c r="T35" s="1142"/>
      <c r="U35" s="1143"/>
      <c r="V35" s="62">
        <v>0</v>
      </c>
      <c r="W35" s="62">
        <f>5*3.94</f>
        <v>19.7</v>
      </c>
      <c r="X35" s="197">
        <f>Parois!L28</f>
        <v>2.642391922017747</v>
      </c>
      <c r="Y35" s="232">
        <f>0</f>
        <v>0</v>
      </c>
      <c r="Z35" s="287"/>
      <c r="AA35" s="250"/>
      <c r="AB35" s="5"/>
    </row>
    <row r="36" spans="1:28" ht="19.5">
      <c r="A36" s="5"/>
      <c r="B36" s="5"/>
      <c r="C36" s="818" t="s">
        <v>6</v>
      </c>
      <c r="D36" s="818"/>
      <c r="E36" s="818"/>
      <c r="F36" s="818"/>
      <c r="G36" s="818"/>
      <c r="H36" s="818"/>
      <c r="I36" s="1" t="s">
        <v>261</v>
      </c>
      <c r="J36" s="1" t="s">
        <v>262</v>
      </c>
      <c r="K36" s="119">
        <v>-8</v>
      </c>
      <c r="L36" s="287"/>
      <c r="M36" s="250"/>
      <c r="N36" s="5"/>
      <c r="P36" s="5"/>
      <c r="Q36" s="155" t="s">
        <v>342</v>
      </c>
      <c r="R36" s="1141" t="s">
        <v>343</v>
      </c>
      <c r="S36" s="1142"/>
      <c r="T36" s="1142"/>
      <c r="U36" s="1143"/>
      <c r="V36" s="62">
        <v>0</v>
      </c>
      <c r="W36" s="62">
        <f>5*3.94</f>
        <v>19.7</v>
      </c>
      <c r="X36" s="197">
        <f>Parois!L28</f>
        <v>2.642391922017747</v>
      </c>
      <c r="Y36" s="232">
        <f>0</f>
        <v>0</v>
      </c>
      <c r="Z36" s="287"/>
      <c r="AA36" s="250"/>
      <c r="AB36" s="5"/>
    </row>
    <row r="37" spans="1:28" ht="16.5" customHeight="1">
      <c r="A37" s="5"/>
      <c r="B37" s="5"/>
      <c r="C37" s="971" t="s">
        <v>264</v>
      </c>
      <c r="D37" s="971"/>
      <c r="E37" s="971"/>
      <c r="F37" s="971"/>
      <c r="G37" s="971"/>
      <c r="H37" s="971"/>
      <c r="I37" s="1" t="s">
        <v>265</v>
      </c>
      <c r="J37" s="1" t="s">
        <v>262</v>
      </c>
      <c r="K37" s="119">
        <f>16</f>
        <v>16</v>
      </c>
      <c r="L37" s="287"/>
      <c r="M37" s="250"/>
      <c r="N37" s="5"/>
      <c r="P37" s="5"/>
      <c r="Q37" s="155" t="s">
        <v>344</v>
      </c>
      <c r="R37" s="981" t="s">
        <v>345</v>
      </c>
      <c r="S37" s="982"/>
      <c r="T37" s="982"/>
      <c r="U37" s="983"/>
      <c r="V37" s="264">
        <f>0</f>
        <v>0</v>
      </c>
      <c r="W37" s="65">
        <f>0.7*3.94</f>
        <v>2.758</v>
      </c>
      <c r="X37" s="197">
        <f>Parois!L28</f>
        <v>2.642391922017747</v>
      </c>
      <c r="Y37" s="266">
        <f>V37*W37*X37</f>
        <v>0</v>
      </c>
      <c r="Z37" s="287"/>
      <c r="AA37" s="250"/>
      <c r="AB37" s="5"/>
    </row>
    <row r="38" spans="1:28" ht="19.5">
      <c r="A38" s="5"/>
      <c r="B38" s="5"/>
      <c r="C38" s="997" t="s">
        <v>266</v>
      </c>
      <c r="D38" s="997"/>
      <c r="E38" s="997"/>
      <c r="F38" s="997"/>
      <c r="G38" s="997"/>
      <c r="H38" s="997"/>
      <c r="I38" s="101" t="s">
        <v>267</v>
      </c>
      <c r="J38" s="101" t="s">
        <v>262</v>
      </c>
      <c r="K38" s="227">
        <f>K37-K36</f>
        <v>24</v>
      </c>
      <c r="L38" s="288"/>
      <c r="M38" s="250"/>
      <c r="N38" s="5"/>
      <c r="P38" s="5"/>
      <c r="Q38" s="57" t="s">
        <v>255</v>
      </c>
      <c r="R38" s="57"/>
      <c r="S38" s="57"/>
      <c r="T38" s="57"/>
      <c r="U38" s="58"/>
      <c r="V38" s="1"/>
      <c r="W38" s="1"/>
      <c r="X38" s="1"/>
      <c r="Y38" s="91" t="s">
        <v>256</v>
      </c>
      <c r="Z38" s="287"/>
      <c r="AA38" s="250"/>
      <c r="AB38" s="5"/>
    </row>
    <row r="39" spans="1:28" ht="16.5" customHeight="1">
      <c r="A39" s="5"/>
      <c r="B39" s="5"/>
      <c r="C39" s="988" t="s">
        <v>268</v>
      </c>
      <c r="D39" s="988"/>
      <c r="E39" s="988"/>
      <c r="F39" s="988"/>
      <c r="G39" s="988"/>
      <c r="H39" s="988"/>
      <c r="I39" s="988"/>
      <c r="J39" s="988"/>
      <c r="K39" s="988"/>
      <c r="L39" s="234">
        <f>K34*K38</f>
        <v>0</v>
      </c>
      <c r="M39" s="251" t="s">
        <v>263</v>
      </c>
      <c r="N39" s="5"/>
      <c r="P39" s="5"/>
      <c r="Q39" s="83" t="s">
        <v>258</v>
      </c>
      <c r="R39" s="84"/>
      <c r="S39" s="84"/>
      <c r="T39" s="84"/>
      <c r="U39" s="102"/>
      <c r="V39" s="999" t="s">
        <v>259</v>
      </c>
      <c r="W39" s="999"/>
      <c r="X39" s="999"/>
      <c r="Y39" s="119"/>
      <c r="Z39" s="287"/>
      <c r="AA39" s="250"/>
      <c r="AB39" s="5"/>
    </row>
    <row r="40" spans="1:28">
      <c r="A40" s="5"/>
      <c r="B40" s="5"/>
      <c r="C40" s="1140" t="s">
        <v>269</v>
      </c>
      <c r="D40" s="1140"/>
      <c r="E40" s="1140"/>
      <c r="F40" s="1140"/>
      <c r="G40" s="1140"/>
      <c r="H40" s="1140"/>
      <c r="I40" s="1140"/>
      <c r="J40" s="1140"/>
      <c r="K40" s="1140"/>
      <c r="L40" s="1140"/>
      <c r="M40" s="250"/>
      <c r="N40" s="5"/>
      <c r="P40" s="5"/>
      <c r="Q40" s="104" t="s">
        <v>260</v>
      </c>
      <c r="R40" s="103"/>
      <c r="S40" s="103"/>
      <c r="T40" s="103"/>
      <c r="U40" s="103"/>
      <c r="V40" s="103"/>
      <c r="W40" s="103"/>
      <c r="X40" s="103"/>
      <c r="Y40" s="103"/>
      <c r="Z40" s="287"/>
      <c r="AA40" s="250"/>
      <c r="AB40" s="5"/>
    </row>
    <row r="41" spans="1:28" ht="19.5">
      <c r="A41" s="5"/>
      <c r="B41" s="5"/>
      <c r="C41" s="990" t="s">
        <v>270</v>
      </c>
      <c r="D41" s="991"/>
      <c r="E41" s="991"/>
      <c r="F41" s="991"/>
      <c r="G41" s="991"/>
      <c r="H41" s="992"/>
      <c r="I41" s="241" t="s">
        <v>271</v>
      </c>
      <c r="J41" s="241" t="s">
        <v>272</v>
      </c>
      <c r="K41" s="242" t="s">
        <v>273</v>
      </c>
      <c r="L41" s="235" t="s">
        <v>274</v>
      </c>
      <c r="M41" s="250"/>
      <c r="N41" s="5"/>
      <c r="P41" s="5"/>
      <c r="Q41" s="818" t="s">
        <v>6</v>
      </c>
      <c r="R41" s="818"/>
      <c r="S41" s="818"/>
      <c r="T41" s="818"/>
      <c r="U41" s="818"/>
      <c r="V41" s="818"/>
      <c r="W41" s="1" t="s">
        <v>261</v>
      </c>
      <c r="X41" s="1" t="s">
        <v>262</v>
      </c>
      <c r="Y41" s="119">
        <v>-10</v>
      </c>
      <c r="Z41" s="287"/>
      <c r="AA41" s="250"/>
      <c r="AB41" s="5"/>
    </row>
    <row r="42" spans="1:28" ht="19.5">
      <c r="A42" s="5"/>
      <c r="B42" s="5"/>
      <c r="C42" s="844" t="s">
        <v>275</v>
      </c>
      <c r="D42" s="845"/>
      <c r="E42" s="845"/>
      <c r="F42" s="845"/>
      <c r="G42" s="845"/>
      <c r="H42" s="846"/>
      <c r="I42" s="246" t="e">
        <f>Données!#REF!</f>
        <v>#REF!</v>
      </c>
      <c r="J42" s="246" t="s">
        <v>174</v>
      </c>
      <c r="K42" s="245"/>
      <c r="L42" s="245" t="e">
        <f>$K$37-J42</f>
        <v>#VALUE!</v>
      </c>
      <c r="M42" s="250"/>
      <c r="N42" s="5"/>
      <c r="P42" s="5"/>
      <c r="Q42" s="971" t="s">
        <v>264</v>
      </c>
      <c r="R42" s="971"/>
      <c r="S42" s="971"/>
      <c r="T42" s="971"/>
      <c r="U42" s="971"/>
      <c r="V42" s="971"/>
      <c r="W42" s="1" t="s">
        <v>265</v>
      </c>
      <c r="X42" s="1" t="s">
        <v>262</v>
      </c>
      <c r="Y42" s="119">
        <f>Données!Y77</f>
        <v>0</v>
      </c>
      <c r="Z42" s="287"/>
      <c r="AA42" s="250"/>
      <c r="AB42" s="5"/>
    </row>
    <row r="43" spans="1:28" ht="19.5">
      <c r="A43" s="5"/>
      <c r="B43" s="5"/>
      <c r="C43" s="818" t="s">
        <v>339</v>
      </c>
      <c r="D43" s="818"/>
      <c r="E43" s="818"/>
      <c r="F43" s="818"/>
      <c r="G43" s="818"/>
      <c r="H43" s="818"/>
      <c r="I43" s="245">
        <f>Données!G35</f>
        <v>12.27</v>
      </c>
      <c r="J43" s="245" t="s">
        <v>174</v>
      </c>
      <c r="K43" s="245">
        <f>$K$37-I43</f>
        <v>3.7300000000000004</v>
      </c>
      <c r="L43" s="245" t="e">
        <f>$K$37-J43</f>
        <v>#VALUE!</v>
      </c>
      <c r="M43" s="250"/>
      <c r="N43" s="5"/>
      <c r="P43" s="5"/>
      <c r="Q43" s="997" t="s">
        <v>266</v>
      </c>
      <c r="R43" s="997"/>
      <c r="S43" s="997"/>
      <c r="T43" s="997"/>
      <c r="U43" s="997"/>
      <c r="V43" s="997"/>
      <c r="W43" s="101" t="s">
        <v>267</v>
      </c>
      <c r="X43" s="101" t="s">
        <v>262</v>
      </c>
      <c r="Y43" s="227">
        <f>Y42-Y41</f>
        <v>10</v>
      </c>
      <c r="Z43" s="288"/>
      <c r="AA43" s="250"/>
      <c r="AB43" s="5"/>
    </row>
    <row r="44" spans="1:28">
      <c r="A44" s="5"/>
      <c r="B44" s="5"/>
      <c r="C44" s="971" t="s">
        <v>236</v>
      </c>
      <c r="D44" s="971"/>
      <c r="E44" s="971"/>
      <c r="F44" s="971"/>
      <c r="G44" s="971"/>
      <c r="H44" s="971"/>
      <c r="I44" s="245">
        <f>Données!E25</f>
        <v>20</v>
      </c>
      <c r="J44" s="245">
        <f>Données!F25</f>
        <v>26</v>
      </c>
      <c r="K44" s="245"/>
      <c r="L44" s="245">
        <f>$K$37-J44</f>
        <v>-10</v>
      </c>
      <c r="M44" s="252"/>
      <c r="N44" s="5"/>
      <c r="P44" s="5"/>
      <c r="Q44" s="988" t="s">
        <v>268</v>
      </c>
      <c r="R44" s="988"/>
      <c r="S44" s="988"/>
      <c r="T44" s="988"/>
      <c r="U44" s="988"/>
      <c r="V44" s="988"/>
      <c r="W44" s="988"/>
      <c r="X44" s="988"/>
      <c r="Y44" s="988"/>
      <c r="Z44" s="234">
        <f>Y43*Y11</f>
        <v>0</v>
      </c>
      <c r="AA44" s="251" t="s">
        <v>263</v>
      </c>
      <c r="AB44" s="5"/>
    </row>
    <row r="45" spans="1:28">
      <c r="A45" s="5"/>
      <c r="B45" s="5"/>
      <c r="C45" s="993" t="s">
        <v>278</v>
      </c>
      <c r="D45" s="993"/>
      <c r="E45" s="993"/>
      <c r="F45" s="993"/>
      <c r="G45" s="993"/>
      <c r="H45" s="993"/>
      <c r="I45" s="993"/>
      <c r="J45" s="993"/>
      <c r="K45" s="993"/>
      <c r="L45" s="249">
        <f>K42*K17+K43*K18+K44*K32</f>
        <v>0</v>
      </c>
      <c r="M45" s="251" t="s">
        <v>263</v>
      </c>
      <c r="N45" s="5"/>
      <c r="P45" s="5"/>
      <c r="Q45" s="1140" t="s">
        <v>269</v>
      </c>
      <c r="R45" s="1140"/>
      <c r="S45" s="1140"/>
      <c r="T45" s="1140"/>
      <c r="U45" s="1140"/>
      <c r="V45" s="1140"/>
      <c r="W45" s="1140"/>
      <c r="X45" s="1140"/>
      <c r="Y45" s="1140"/>
      <c r="Z45" s="1140"/>
      <c r="AA45" s="250"/>
      <c r="AB45" s="5"/>
    </row>
    <row r="46" spans="1:28" ht="18.75">
      <c r="A46" s="5"/>
      <c r="B46" s="5"/>
      <c r="C46" s="987" t="s">
        <v>279</v>
      </c>
      <c r="D46" s="987"/>
      <c r="E46" s="987"/>
      <c r="F46" s="987"/>
      <c r="G46" s="987"/>
      <c r="H46" s="987"/>
      <c r="I46" s="987"/>
      <c r="J46" s="987"/>
      <c r="K46" s="987"/>
      <c r="L46" s="271">
        <f>L39+L45</f>
        <v>0</v>
      </c>
      <c r="M46" s="253" t="s">
        <v>263</v>
      </c>
      <c r="N46" s="5"/>
      <c r="P46" s="5"/>
      <c r="Q46" s="990" t="s">
        <v>270</v>
      </c>
      <c r="R46" s="991"/>
      <c r="S46" s="991"/>
      <c r="T46" s="991"/>
      <c r="U46" s="991"/>
      <c r="V46" s="992"/>
      <c r="W46" s="241" t="s">
        <v>271</v>
      </c>
      <c r="X46" s="241" t="s">
        <v>272</v>
      </c>
      <c r="Y46" s="242" t="s">
        <v>273</v>
      </c>
      <c r="Z46" s="235" t="s">
        <v>274</v>
      </c>
      <c r="AA46" s="250"/>
      <c r="AB46" s="5"/>
    </row>
    <row r="47" spans="1:28">
      <c r="A47" s="5"/>
      <c r="B47" s="5"/>
      <c r="C47" s="5"/>
      <c r="D47" s="5"/>
      <c r="E47" s="5"/>
      <c r="F47" s="5"/>
      <c r="G47" s="5"/>
      <c r="H47" s="5"/>
      <c r="I47" s="5"/>
      <c r="J47" s="5"/>
      <c r="K47" s="5"/>
      <c r="L47" s="5"/>
      <c r="M47" s="5"/>
      <c r="N47" s="5"/>
      <c r="P47" s="5"/>
      <c r="Q47" s="844" t="s">
        <v>275</v>
      </c>
      <c r="R47" s="845"/>
      <c r="S47" s="845"/>
      <c r="T47" s="845"/>
      <c r="U47" s="845"/>
      <c r="V47" s="846"/>
      <c r="W47" s="246">
        <f>Données!Y76</f>
        <v>0</v>
      </c>
      <c r="X47" s="246" t="s">
        <v>174</v>
      </c>
      <c r="Y47" s="245"/>
      <c r="Z47" s="245" t="e">
        <f>$K$37-X47</f>
        <v>#VALUE!</v>
      </c>
      <c r="AA47" s="250"/>
      <c r="AB47" s="5"/>
    </row>
    <row r="48" spans="1:28">
      <c r="A48" s="5"/>
      <c r="B48" s="5"/>
      <c r="C48" s="5"/>
      <c r="D48" s="5"/>
      <c r="E48" s="5"/>
      <c r="F48" s="5"/>
      <c r="G48" s="5"/>
      <c r="H48" s="5"/>
      <c r="I48" s="5"/>
      <c r="J48" s="5"/>
      <c r="K48" s="5"/>
      <c r="L48" s="5"/>
      <c r="M48" s="5"/>
      <c r="N48" s="5"/>
      <c r="P48" s="5"/>
      <c r="Q48" s="818" t="s">
        <v>339</v>
      </c>
      <c r="R48" s="818"/>
      <c r="S48" s="818"/>
      <c r="T48" s="818"/>
      <c r="U48" s="818"/>
      <c r="V48" s="818"/>
      <c r="W48" s="245">
        <f>Données!Y75</f>
        <v>0</v>
      </c>
      <c r="X48" s="245" t="s">
        <v>174</v>
      </c>
      <c r="Y48" s="245">
        <f>$K$37-W48</f>
        <v>16</v>
      </c>
      <c r="Z48" s="245" t="e">
        <f>$K$37-X48</f>
        <v>#VALUE!</v>
      </c>
      <c r="AA48" s="250"/>
      <c r="AB48" s="5"/>
    </row>
    <row r="49" spans="1:30">
      <c r="A49" s="5"/>
      <c r="B49" s="5"/>
      <c r="C49" s="5"/>
      <c r="D49" s="5"/>
      <c r="E49" s="5"/>
      <c r="F49" s="5"/>
      <c r="G49" s="5"/>
      <c r="H49" s="5"/>
      <c r="I49" s="5"/>
      <c r="J49" s="5"/>
      <c r="K49" s="5"/>
      <c r="L49" s="5"/>
      <c r="M49" s="5"/>
      <c r="N49" s="5"/>
      <c r="P49" s="5"/>
      <c r="Q49" s="971" t="s">
        <v>236</v>
      </c>
      <c r="R49" s="971"/>
      <c r="S49" s="971"/>
      <c r="T49" s="971"/>
      <c r="U49" s="971"/>
      <c r="V49" s="971"/>
      <c r="W49" s="245">
        <f>Données!W66</f>
        <v>0</v>
      </c>
      <c r="X49" s="245">
        <f>Données!X66</f>
        <v>0</v>
      </c>
      <c r="Y49" s="245"/>
      <c r="Z49" s="245">
        <f>$K$37-X49</f>
        <v>16</v>
      </c>
      <c r="AA49" s="252"/>
      <c r="AB49" s="5"/>
    </row>
    <row r="50" spans="1:30">
      <c r="A50" s="5"/>
      <c r="B50" s="5"/>
      <c r="C50" s="5"/>
      <c r="D50" s="5"/>
      <c r="E50" s="5"/>
      <c r="F50" s="5"/>
      <c r="G50" s="5"/>
      <c r="H50" s="5"/>
      <c r="I50" s="5"/>
      <c r="J50" s="5"/>
      <c r="K50" s="5"/>
      <c r="L50" s="5"/>
      <c r="M50" s="5"/>
      <c r="N50" s="5"/>
      <c r="P50" s="5"/>
      <c r="Q50" s="993" t="s">
        <v>278</v>
      </c>
      <c r="R50" s="993"/>
      <c r="S50" s="993"/>
      <c r="T50" s="993"/>
      <c r="U50" s="993"/>
      <c r="V50" s="993"/>
      <c r="W50" s="993"/>
      <c r="X50" s="993"/>
      <c r="Y50" s="993"/>
      <c r="Z50" s="249">
        <f>Y47*Y20+Y48*Y21+Y49*Y37</f>
        <v>0</v>
      </c>
      <c r="AA50" s="251" t="s">
        <v>263</v>
      </c>
      <c r="AB50" s="5"/>
    </row>
    <row r="51" spans="1:30" ht="18.75">
      <c r="C51" s="5"/>
      <c r="D51" s="5"/>
      <c r="E51" s="5"/>
      <c r="F51" s="5"/>
      <c r="G51" s="5"/>
      <c r="H51" s="5"/>
      <c r="I51" s="5"/>
      <c r="J51" s="5"/>
      <c r="K51" s="5"/>
      <c r="L51" s="5"/>
      <c r="M51" s="5"/>
      <c r="N51" s="5"/>
      <c r="P51" s="5"/>
      <c r="Q51" s="987" t="s">
        <v>279</v>
      </c>
      <c r="R51" s="987"/>
      <c r="S51" s="987"/>
      <c r="T51" s="987"/>
      <c r="U51" s="987"/>
      <c r="V51" s="987"/>
      <c r="W51" s="987"/>
      <c r="X51" s="987"/>
      <c r="Y51" s="987"/>
      <c r="Z51" s="271">
        <f>Z44+Z50</f>
        <v>0</v>
      </c>
      <c r="AA51" s="253" t="s">
        <v>263</v>
      </c>
      <c r="AB51" s="5"/>
    </row>
    <row r="52" spans="1:30">
      <c r="P52" s="5"/>
      <c r="Q52" s="5"/>
      <c r="R52" s="5"/>
      <c r="S52" s="5"/>
      <c r="T52" s="5"/>
      <c r="U52" s="5"/>
      <c r="V52" s="5"/>
      <c r="W52" s="5"/>
      <c r="X52" s="5"/>
      <c r="Y52" s="5"/>
      <c r="Z52" s="5"/>
      <c r="AA52" s="5"/>
      <c r="AB52" s="5"/>
    </row>
    <row r="53" spans="1:30">
      <c r="P53" s="5"/>
      <c r="Q53" s="5"/>
      <c r="R53" s="5"/>
      <c r="S53" s="5"/>
      <c r="T53" s="5"/>
      <c r="U53" s="5"/>
      <c r="V53" s="5"/>
      <c r="W53" s="5"/>
      <c r="X53" s="5"/>
      <c r="Y53" s="5"/>
      <c r="Z53" s="5"/>
      <c r="AA53" s="5"/>
      <c r="AB53" s="5"/>
    </row>
    <row r="54" spans="1:30">
      <c r="P54" s="5"/>
      <c r="Q54" s="5"/>
      <c r="R54" s="5"/>
      <c r="S54" s="5"/>
      <c r="T54" s="5"/>
      <c r="U54" s="5"/>
      <c r="V54" s="5"/>
      <c r="W54" s="5"/>
      <c r="X54" s="5"/>
      <c r="Y54" s="5"/>
      <c r="Z54" s="5"/>
      <c r="AA54" s="5"/>
      <c r="AB54" s="5"/>
    </row>
    <row r="57" spans="1:30">
      <c r="T57" s="1000" t="s">
        <v>346</v>
      </c>
      <c r="U57" s="1000"/>
      <c r="V57" s="1000"/>
    </row>
    <row r="58" spans="1:30">
      <c r="C58" s="1000" t="s">
        <v>347</v>
      </c>
      <c r="D58" s="1000"/>
      <c r="E58" s="1000"/>
      <c r="T58" s="1000"/>
      <c r="U58" s="1000"/>
      <c r="V58" s="1000"/>
    </row>
    <row r="59" spans="1:30">
      <c r="C59" s="1000"/>
      <c r="D59" s="1000"/>
      <c r="E59" s="1000"/>
    </row>
    <row r="61" spans="1:30">
      <c r="D61" s="549" t="s">
        <v>324</v>
      </c>
      <c r="E61" s="550"/>
      <c r="F61" s="550"/>
      <c r="G61" s="581"/>
      <c r="H61" s="582"/>
      <c r="I61" s="582"/>
      <c r="J61" s="582"/>
      <c r="K61" s="582"/>
      <c r="L61" s="583"/>
      <c r="M61" s="287"/>
      <c r="N61" s="250"/>
      <c r="T61" s="549" t="s">
        <v>324</v>
      </c>
      <c r="U61" s="550"/>
      <c r="V61" s="550"/>
      <c r="W61" s="581"/>
      <c r="X61" s="582"/>
      <c r="Y61" s="582"/>
      <c r="Z61" s="582"/>
      <c r="AA61" s="582"/>
      <c r="AB61" s="583"/>
      <c r="AC61" s="287"/>
      <c r="AD61" s="250"/>
    </row>
    <row r="62" spans="1:30" ht="18">
      <c r="D62" s="1008" t="s">
        <v>220</v>
      </c>
      <c r="E62" s="1009" t="s">
        <v>221</v>
      </c>
      <c r="F62" s="1010"/>
      <c r="G62" s="1010"/>
      <c r="H62" s="1010"/>
      <c r="I62" s="196" t="s">
        <v>232</v>
      </c>
      <c r="J62" s="196" t="s">
        <v>222</v>
      </c>
      <c r="K62" s="196" t="s">
        <v>223</v>
      </c>
      <c r="L62" s="231" t="s">
        <v>233</v>
      </c>
      <c r="M62" s="287"/>
      <c r="N62" s="250"/>
      <c r="T62" s="1008" t="s">
        <v>220</v>
      </c>
      <c r="U62" s="1009" t="s">
        <v>221</v>
      </c>
      <c r="V62" s="1010"/>
      <c r="W62" s="1010"/>
      <c r="X62" s="1010"/>
      <c r="Y62" s="196" t="s">
        <v>232</v>
      </c>
      <c r="Z62" s="196" t="s">
        <v>222</v>
      </c>
      <c r="AA62" s="196" t="s">
        <v>223</v>
      </c>
      <c r="AB62" s="231" t="s">
        <v>233</v>
      </c>
      <c r="AC62" s="287"/>
      <c r="AD62" s="250"/>
    </row>
    <row r="63" spans="1:30" ht="18">
      <c r="D63" s="976"/>
      <c r="E63" s="979"/>
      <c r="F63" s="980"/>
      <c r="G63" s="980"/>
      <c r="H63" s="980"/>
      <c r="I63" s="62" t="s">
        <v>228</v>
      </c>
      <c r="J63" s="62" t="s">
        <v>226</v>
      </c>
      <c r="K63" s="197" t="s">
        <v>227</v>
      </c>
      <c r="L63" s="232" t="s">
        <v>229</v>
      </c>
      <c r="M63" s="287"/>
      <c r="N63" s="250"/>
      <c r="T63" s="976"/>
      <c r="U63" s="979"/>
      <c r="V63" s="980"/>
      <c r="W63" s="980"/>
      <c r="X63" s="980"/>
      <c r="Y63" s="62" t="s">
        <v>228</v>
      </c>
      <c r="Z63" s="62" t="s">
        <v>226</v>
      </c>
      <c r="AA63" s="197" t="s">
        <v>227</v>
      </c>
      <c r="AB63" s="232" t="s">
        <v>229</v>
      </c>
      <c r="AC63" s="287"/>
      <c r="AD63" s="250"/>
    </row>
    <row r="64" spans="1:30">
      <c r="D64" s="155"/>
      <c r="E64" s="981" t="s">
        <v>275</v>
      </c>
      <c r="F64" s="982"/>
      <c r="G64" s="982"/>
      <c r="H64" s="983"/>
      <c r="I64" s="62">
        <f>M76/L72</f>
        <v>-0.41666666666666669</v>
      </c>
      <c r="J64" s="62">
        <f>(3.025+0.25+0.075+0.75+0.15)*3.945</f>
        <v>16.766249999999999</v>
      </c>
      <c r="K64" s="197">
        <f>Parois!L$28</f>
        <v>2.642391922017747</v>
      </c>
      <c r="L64" s="232">
        <f>PRODUCT(I64:K64)</f>
        <v>-18.459584817720856</v>
      </c>
      <c r="M64" s="287"/>
      <c r="N64" s="250"/>
      <c r="T64" s="155"/>
      <c r="U64" s="981" t="s">
        <v>348</v>
      </c>
      <c r="V64" s="982"/>
      <c r="W64" s="982"/>
      <c r="X64" s="983"/>
      <c r="Y64" s="62">
        <f>AC78/AB72</f>
        <v>-0.5</v>
      </c>
      <c r="Z64" s="62">
        <f>(4.6+0.15)*3.945</f>
        <v>18.73875</v>
      </c>
      <c r="AA64" s="197">
        <f>Parois!L$65</f>
        <v>2.9148684813270003</v>
      </c>
      <c r="AB64" s="232">
        <f>PRODUCT(Y64:AA64)</f>
        <v>-27.310495877233162</v>
      </c>
      <c r="AC64" s="287"/>
      <c r="AD64" s="250"/>
    </row>
    <row r="65" spans="4:30">
      <c r="D65" s="155"/>
      <c r="E65" s="981" t="s">
        <v>349</v>
      </c>
      <c r="F65" s="982"/>
      <c r="G65" s="982"/>
      <c r="H65" s="983"/>
      <c r="I65" s="62">
        <f>M77/L72</f>
        <v>-0.5</v>
      </c>
      <c r="J65" s="62">
        <f>(2.875+0.15)*3.945</f>
        <v>11.933624999999999</v>
      </c>
      <c r="K65" s="197">
        <f>Parois!L35</f>
        <v>1.7703177837995205</v>
      </c>
      <c r="L65" s="232">
        <f>PRODUCT(I65:K65)</f>
        <v>-10.563154281347275</v>
      </c>
      <c r="M65" s="287"/>
      <c r="N65" s="250"/>
      <c r="T65" s="155"/>
      <c r="U65" s="981" t="s">
        <v>350</v>
      </c>
      <c r="V65" s="982"/>
      <c r="W65" s="982"/>
      <c r="X65" s="983"/>
      <c r="Y65" s="62">
        <f>AC78/AB72</f>
        <v>-0.5</v>
      </c>
      <c r="Z65" s="62">
        <f>(4.25+0.075)*3.945</f>
        <v>17.062125000000002</v>
      </c>
      <c r="AA65" s="197">
        <f>Parois!L$65</f>
        <v>2.9148684813270003</v>
      </c>
      <c r="AB65" s="232">
        <f>PRODUCT(Y65:AA65)</f>
        <v>-24.866925193480725</v>
      </c>
      <c r="AC65" s="287"/>
      <c r="AD65" s="250"/>
    </row>
    <row r="66" spans="4:30">
      <c r="D66" s="155"/>
      <c r="E66" s="981" t="s">
        <v>236</v>
      </c>
      <c r="F66" s="982"/>
      <c r="G66" s="982"/>
      <c r="H66" s="983"/>
      <c r="I66" s="264">
        <f>M78/L72</f>
        <v>-0.5</v>
      </c>
      <c r="J66" s="65">
        <f>(3.025+0.25+1.975+0.15)*3.945</f>
        <v>21.303000000000001</v>
      </c>
      <c r="K66" s="197">
        <f>Parois!L$28</f>
        <v>2.642391922017747</v>
      </c>
      <c r="L66" s="232">
        <f>PRODUCT(I66:K66)</f>
        <v>-28.145437557372034</v>
      </c>
      <c r="M66" s="287"/>
      <c r="N66" s="250"/>
      <c r="T66" s="155"/>
      <c r="U66" s="981" t="s">
        <v>345</v>
      </c>
      <c r="V66" s="982"/>
      <c r="W66" s="982"/>
      <c r="X66" s="983"/>
      <c r="Y66" s="264">
        <f>AC76/AB72</f>
        <v>-0.41666666666666669</v>
      </c>
      <c r="Z66" s="65">
        <f>0.85*3.945</f>
        <v>3.3532499999999996</v>
      </c>
      <c r="AA66" s="197">
        <f>Parois!L$65</f>
        <v>2.9148684813270003</v>
      </c>
      <c r="AB66" s="232">
        <f>PRODUCT(Y66:AA66)</f>
        <v>-4.0726178062540672</v>
      </c>
      <c r="AC66" s="287"/>
      <c r="AD66" s="250"/>
    </row>
    <row r="67" spans="4:30" ht="18">
      <c r="D67" s="57" t="s">
        <v>255</v>
      </c>
      <c r="E67" s="57"/>
      <c r="F67" s="57"/>
      <c r="G67" s="57"/>
      <c r="H67" s="58"/>
      <c r="I67" s="1"/>
      <c r="J67" s="1"/>
      <c r="K67" s="1"/>
      <c r="L67" s="91" t="s">
        <v>256</v>
      </c>
      <c r="M67" s="7"/>
      <c r="N67" s="250"/>
      <c r="T67" s="57" t="s">
        <v>255</v>
      </c>
      <c r="U67" s="57"/>
      <c r="V67" s="57"/>
      <c r="W67" s="57"/>
      <c r="X67" s="58"/>
      <c r="Y67" s="1"/>
      <c r="Z67" s="1"/>
      <c r="AA67" s="1"/>
      <c r="AB67" s="91" t="s">
        <v>256</v>
      </c>
      <c r="AC67" s="287"/>
      <c r="AD67" s="250"/>
    </row>
    <row r="68" spans="4:30" ht="18">
      <c r="D68" s="83" t="s">
        <v>258</v>
      </c>
      <c r="E68" s="84"/>
      <c r="F68" s="84"/>
      <c r="G68" s="84"/>
      <c r="H68" s="102"/>
      <c r="I68" s="999" t="s">
        <v>259</v>
      </c>
      <c r="J68" s="999"/>
      <c r="K68" s="999"/>
      <c r="L68" s="119"/>
      <c r="M68" s="287"/>
      <c r="N68" s="250"/>
      <c r="T68" s="83" t="s">
        <v>258</v>
      </c>
      <c r="U68" s="84"/>
      <c r="V68" s="84"/>
      <c r="W68" s="84"/>
      <c r="X68" s="102"/>
      <c r="Y68" s="999" t="s">
        <v>259</v>
      </c>
      <c r="Z68" s="999"/>
      <c r="AA68" s="999"/>
      <c r="AB68" s="119"/>
      <c r="AC68" s="287"/>
      <c r="AD68" s="250"/>
    </row>
    <row r="69" spans="4:30">
      <c r="D69" s="104" t="s">
        <v>260</v>
      </c>
      <c r="E69" s="103"/>
      <c r="F69" s="103"/>
      <c r="G69" s="103"/>
      <c r="H69" s="103"/>
      <c r="I69" s="103"/>
      <c r="J69" s="103"/>
      <c r="K69" s="103"/>
      <c r="L69" s="103"/>
      <c r="M69" s="287"/>
      <c r="N69" s="250"/>
      <c r="T69" s="104" t="s">
        <v>260</v>
      </c>
      <c r="U69" s="103"/>
      <c r="V69" s="103"/>
      <c r="W69" s="103"/>
      <c r="X69" s="103"/>
      <c r="Y69" s="103"/>
      <c r="Z69" s="103"/>
      <c r="AA69" s="103"/>
      <c r="AB69" s="103"/>
      <c r="AC69" s="287"/>
      <c r="AD69" s="250"/>
    </row>
    <row r="70" spans="4:30" ht="19.5">
      <c r="D70" s="818" t="s">
        <v>6</v>
      </c>
      <c r="E70" s="818"/>
      <c r="F70" s="818"/>
      <c r="G70" s="818"/>
      <c r="H70" s="818"/>
      <c r="I70" s="818"/>
      <c r="J70" s="1" t="s">
        <v>261</v>
      </c>
      <c r="K70" s="1" t="s">
        <v>262</v>
      </c>
      <c r="L70" s="119">
        <v>32</v>
      </c>
      <c r="M70" s="287"/>
      <c r="N70" s="250"/>
      <c r="T70" s="818" t="s">
        <v>6</v>
      </c>
      <c r="U70" s="818"/>
      <c r="V70" s="818"/>
      <c r="W70" s="818"/>
      <c r="X70" s="818"/>
      <c r="Y70" s="818"/>
      <c r="Z70" s="1" t="s">
        <v>261</v>
      </c>
      <c r="AA70" s="1" t="s">
        <v>262</v>
      </c>
      <c r="AB70" s="119">
        <v>32</v>
      </c>
      <c r="AC70" s="287"/>
      <c r="AD70" s="250"/>
    </row>
    <row r="71" spans="4:30" ht="19.5">
      <c r="D71" s="971" t="s">
        <v>264</v>
      </c>
      <c r="E71" s="971"/>
      <c r="F71" s="971"/>
      <c r="G71" s="971"/>
      <c r="H71" s="971"/>
      <c r="I71" s="971"/>
      <c r="J71" s="1" t="s">
        <v>265</v>
      </c>
      <c r="K71" s="1" t="s">
        <v>262</v>
      </c>
      <c r="L71" s="119">
        <v>20</v>
      </c>
      <c r="M71" s="287"/>
      <c r="N71" s="250"/>
      <c r="T71" s="971" t="s">
        <v>264</v>
      </c>
      <c r="U71" s="971"/>
      <c r="V71" s="971"/>
      <c r="W71" s="971"/>
      <c r="X71" s="971"/>
      <c r="Y71" s="971"/>
      <c r="Z71" s="1" t="s">
        <v>265</v>
      </c>
      <c r="AA71" s="1" t="s">
        <v>262</v>
      </c>
      <c r="AB71" s="119">
        <v>20</v>
      </c>
      <c r="AC71" s="287"/>
      <c r="AD71" s="250"/>
    </row>
    <row r="72" spans="4:30" ht="19.5">
      <c r="D72" s="997" t="s">
        <v>266</v>
      </c>
      <c r="E72" s="997"/>
      <c r="F72" s="997"/>
      <c r="G72" s="997"/>
      <c r="H72" s="997"/>
      <c r="I72" s="997"/>
      <c r="J72" s="101" t="s">
        <v>267</v>
      </c>
      <c r="K72" s="101" t="s">
        <v>262</v>
      </c>
      <c r="L72" s="227">
        <f>L70-L71</f>
        <v>12</v>
      </c>
      <c r="M72" s="288"/>
      <c r="N72" s="251" t="s">
        <v>263</v>
      </c>
      <c r="T72" s="997" t="s">
        <v>266</v>
      </c>
      <c r="U72" s="997"/>
      <c r="V72" s="997"/>
      <c r="W72" s="997"/>
      <c r="X72" s="997"/>
      <c r="Y72" s="997"/>
      <c r="Z72" s="101" t="s">
        <v>267</v>
      </c>
      <c r="AA72" s="101" t="s">
        <v>262</v>
      </c>
      <c r="AB72" s="227">
        <f>AB70-AB71</f>
        <v>12</v>
      </c>
      <c r="AC72" s="288"/>
      <c r="AD72" s="251" t="s">
        <v>263</v>
      </c>
    </row>
    <row r="73" spans="4:30">
      <c r="D73" s="988" t="s">
        <v>268</v>
      </c>
      <c r="E73" s="988"/>
      <c r="F73" s="988"/>
      <c r="G73" s="988"/>
      <c r="H73" s="988"/>
      <c r="I73" s="988"/>
      <c r="J73" s="988"/>
      <c r="K73" s="988"/>
      <c r="L73" s="988"/>
      <c r="M73" s="234" t="e">
        <f>L72*#REF!</f>
        <v>#REF!</v>
      </c>
      <c r="N73" s="250"/>
      <c r="T73" s="988" t="s">
        <v>268</v>
      </c>
      <c r="U73" s="988"/>
      <c r="V73" s="988"/>
      <c r="W73" s="988"/>
      <c r="X73" s="988"/>
      <c r="Y73" s="988"/>
      <c r="Z73" s="988"/>
      <c r="AA73" s="988"/>
      <c r="AB73" s="988"/>
      <c r="AC73" s="234" t="e">
        <f>AB72*#REF!</f>
        <v>#REF!</v>
      </c>
      <c r="AD73" s="250"/>
    </row>
    <row r="74" spans="4:30">
      <c r="D74" s="989" t="s">
        <v>269</v>
      </c>
      <c r="E74" s="989"/>
      <c r="F74" s="989"/>
      <c r="G74" s="989"/>
      <c r="H74" s="989"/>
      <c r="I74" s="989"/>
      <c r="J74" s="989"/>
      <c r="K74" s="989"/>
      <c r="L74" s="989"/>
      <c r="M74" s="989"/>
      <c r="N74" s="250"/>
      <c r="T74" s="989" t="s">
        <v>269</v>
      </c>
      <c r="U74" s="989"/>
      <c r="V74" s="989"/>
      <c r="W74" s="989"/>
      <c r="X74" s="989"/>
      <c r="Y74" s="989"/>
      <c r="Z74" s="989"/>
      <c r="AA74" s="989"/>
      <c r="AB74" s="989"/>
      <c r="AC74" s="989"/>
      <c r="AD74" s="250"/>
    </row>
    <row r="75" spans="4:30" ht="18" customHeight="1">
      <c r="D75" s="990" t="s">
        <v>270</v>
      </c>
      <c r="E75" s="991"/>
      <c r="F75" s="991"/>
      <c r="G75" s="991"/>
      <c r="H75" s="991"/>
      <c r="I75" s="992"/>
      <c r="J75" s="241" t="s">
        <v>271</v>
      </c>
      <c r="K75" s="241" t="s">
        <v>272</v>
      </c>
      <c r="L75" s="242" t="s">
        <v>273</v>
      </c>
      <c r="M75" s="235" t="s">
        <v>274</v>
      </c>
      <c r="N75" s="250"/>
      <c r="T75" s="990" t="s">
        <v>270</v>
      </c>
      <c r="U75" s="991"/>
      <c r="V75" s="991"/>
      <c r="W75" s="991"/>
      <c r="X75" s="991"/>
      <c r="Y75" s="992"/>
      <c r="Z75" s="241" t="s">
        <v>271</v>
      </c>
      <c r="AA75" s="241" t="s">
        <v>272</v>
      </c>
      <c r="AB75" s="242" t="s">
        <v>273</v>
      </c>
      <c r="AC75" s="235" t="s">
        <v>274</v>
      </c>
      <c r="AD75" s="250"/>
    </row>
    <row r="76" spans="4:30" ht="18" customHeight="1">
      <c r="D76" s="844" t="s">
        <v>275</v>
      </c>
      <c r="E76" s="845"/>
      <c r="F76" s="845"/>
      <c r="G76" s="845"/>
      <c r="H76" s="845"/>
      <c r="I76" s="846"/>
      <c r="J76" s="246" t="s">
        <v>174</v>
      </c>
      <c r="K76" s="246">
        <v>25</v>
      </c>
      <c r="L76" s="245" t="s">
        <v>174</v>
      </c>
      <c r="M76" s="245">
        <f>L$71-K76</f>
        <v>-5</v>
      </c>
      <c r="N76" s="250"/>
      <c r="T76" s="844" t="s">
        <v>275</v>
      </c>
      <c r="U76" s="845"/>
      <c r="V76" s="845"/>
      <c r="W76" s="845"/>
      <c r="X76" s="845"/>
      <c r="Y76" s="846"/>
      <c r="Z76" s="246" t="s">
        <v>174</v>
      </c>
      <c r="AA76" s="246">
        <v>25</v>
      </c>
      <c r="AB76" s="245" t="s">
        <v>174</v>
      </c>
      <c r="AC76" s="245">
        <f>AB$71-AA76</f>
        <v>-5</v>
      </c>
      <c r="AD76" s="250"/>
    </row>
    <row r="77" spans="4:30">
      <c r="D77" s="818" t="s">
        <v>339</v>
      </c>
      <c r="E77" s="818"/>
      <c r="F77" s="818"/>
      <c r="G77" s="818"/>
      <c r="H77" s="818"/>
      <c r="I77" s="818"/>
      <c r="J77" s="245" t="s">
        <v>174</v>
      </c>
      <c r="K77" s="245">
        <v>26</v>
      </c>
      <c r="L77" s="245" t="s">
        <v>174</v>
      </c>
      <c r="M77" s="245">
        <f>L$71-K77</f>
        <v>-6</v>
      </c>
      <c r="N77" s="252"/>
      <c r="T77" s="818" t="s">
        <v>339</v>
      </c>
      <c r="U77" s="818"/>
      <c r="V77" s="818"/>
      <c r="W77" s="818"/>
      <c r="X77" s="818"/>
      <c r="Y77" s="818"/>
      <c r="Z77" s="245" t="s">
        <v>174</v>
      </c>
      <c r="AA77" s="245">
        <v>26</v>
      </c>
      <c r="AB77" s="245" t="s">
        <v>174</v>
      </c>
      <c r="AC77" s="245">
        <f>AB$71-AA77</f>
        <v>-6</v>
      </c>
      <c r="AD77" s="252"/>
    </row>
    <row r="78" spans="4:30">
      <c r="D78" s="971" t="s">
        <v>236</v>
      </c>
      <c r="E78" s="971"/>
      <c r="F78" s="971"/>
      <c r="G78" s="971"/>
      <c r="H78" s="971"/>
      <c r="I78" s="971"/>
      <c r="J78" s="245" t="s">
        <v>174</v>
      </c>
      <c r="K78" s="245">
        <v>26</v>
      </c>
      <c r="L78" s="245" t="s">
        <v>174</v>
      </c>
      <c r="M78" s="245">
        <f>L$71-K78</f>
        <v>-6</v>
      </c>
      <c r="N78" s="251" t="s">
        <v>263</v>
      </c>
      <c r="T78" s="971" t="s">
        <v>325</v>
      </c>
      <c r="U78" s="971"/>
      <c r="V78" s="971"/>
      <c r="W78" s="971"/>
      <c r="X78" s="971"/>
      <c r="Y78" s="971"/>
      <c r="Z78" s="245" t="s">
        <v>174</v>
      </c>
      <c r="AA78" s="245">
        <v>26</v>
      </c>
      <c r="AB78" s="245" t="s">
        <v>174</v>
      </c>
      <c r="AC78" s="245">
        <f>AB$71-AA78</f>
        <v>-6</v>
      </c>
      <c r="AD78" s="251" t="s">
        <v>263</v>
      </c>
    </row>
    <row r="79" spans="4:30">
      <c r="D79" s="993" t="s">
        <v>278</v>
      </c>
      <c r="E79" s="993"/>
      <c r="F79" s="993"/>
      <c r="G79" s="993"/>
      <c r="H79" s="993"/>
      <c r="I79" s="993"/>
      <c r="J79" s="993"/>
      <c r="K79" s="993"/>
      <c r="L79" s="993"/>
      <c r="M79" s="249">
        <f>L64*M76+L66*M78</f>
        <v>261.17054943283648</v>
      </c>
      <c r="N79" s="253" t="s">
        <v>263</v>
      </c>
      <c r="T79" s="993" t="s">
        <v>278</v>
      </c>
      <c r="U79" s="993"/>
      <c r="V79" s="993"/>
      <c r="W79" s="993"/>
      <c r="X79" s="993"/>
      <c r="Y79" s="993"/>
      <c r="Z79" s="993"/>
      <c r="AA79" s="993"/>
      <c r="AB79" s="993"/>
      <c r="AC79" s="249">
        <f>AB64*AC76+AB66*AC78</f>
        <v>160.98818622369021</v>
      </c>
      <c r="AD79" s="253" t="s">
        <v>263</v>
      </c>
    </row>
    <row r="80" spans="4:30" ht="18.75">
      <c r="D80" s="987" t="s">
        <v>279</v>
      </c>
      <c r="E80" s="987"/>
      <c r="F80" s="987"/>
      <c r="G80" s="987"/>
      <c r="H80" s="987"/>
      <c r="I80" s="987"/>
      <c r="J80" s="987"/>
      <c r="K80" s="987"/>
      <c r="L80" s="987"/>
      <c r="M80" s="271">
        <f>M67*L72</f>
        <v>0</v>
      </c>
      <c r="T80" s="987" t="s">
        <v>279</v>
      </c>
      <c r="U80" s="987"/>
      <c r="V80" s="987"/>
      <c r="W80" s="987"/>
      <c r="X80" s="987"/>
      <c r="Y80" s="987"/>
      <c r="Z80" s="987"/>
      <c r="AA80" s="987"/>
      <c r="AB80" s="987"/>
      <c r="AC80" s="271">
        <f>AB72*AC67</f>
        <v>0</v>
      </c>
    </row>
    <row r="95" ht="15.75" customHeight="1"/>
    <row r="97" ht="15.75" customHeight="1"/>
  </sheetData>
  <mergeCells count="106">
    <mergeCell ref="T74:AC74"/>
    <mergeCell ref="T75:Y75"/>
    <mergeCell ref="T76:Y76"/>
    <mergeCell ref="T77:Y77"/>
    <mergeCell ref="T78:Y78"/>
    <mergeCell ref="T79:AB79"/>
    <mergeCell ref="T80:AB80"/>
    <mergeCell ref="C58:E59"/>
    <mergeCell ref="T57:V58"/>
    <mergeCell ref="U65:X65"/>
    <mergeCell ref="T62:T63"/>
    <mergeCell ref="U62:X63"/>
    <mergeCell ref="U64:X64"/>
    <mergeCell ref="U66:X66"/>
    <mergeCell ref="Y68:AA68"/>
    <mergeCell ref="T70:Y70"/>
    <mergeCell ref="T71:Y71"/>
    <mergeCell ref="T72:Y72"/>
    <mergeCell ref="T73:AB73"/>
    <mergeCell ref="E65:H65"/>
    <mergeCell ref="D62:D63"/>
    <mergeCell ref="E62:H63"/>
    <mergeCell ref="E64:H64"/>
    <mergeCell ref="E66:H66"/>
    <mergeCell ref="Q51:Y51"/>
    <mergeCell ref="Q42:V42"/>
    <mergeCell ref="Q43:V43"/>
    <mergeCell ref="Q44:Y44"/>
    <mergeCell ref="Q45:Z45"/>
    <mergeCell ref="Q46:V46"/>
    <mergeCell ref="Q47:V47"/>
    <mergeCell ref="Q48:V48"/>
    <mergeCell ref="Q49:V49"/>
    <mergeCell ref="Q50:Y50"/>
    <mergeCell ref="R30:U30"/>
    <mergeCell ref="W31:Y31"/>
    <mergeCell ref="Q33:Q34"/>
    <mergeCell ref="R33:U34"/>
    <mergeCell ref="R37:U37"/>
    <mergeCell ref="V39:X39"/>
    <mergeCell ref="Q41:V41"/>
    <mergeCell ref="R35:U35"/>
    <mergeCell ref="R36:U36"/>
    <mergeCell ref="R20:U20"/>
    <mergeCell ref="R21:U21"/>
    <mergeCell ref="Q22:X22"/>
    <mergeCell ref="Q23:Q24"/>
    <mergeCell ref="R23:U24"/>
    <mergeCell ref="R25:U25"/>
    <mergeCell ref="Q26:Y26"/>
    <mergeCell ref="Q27:Y27"/>
    <mergeCell ref="Q28:Q29"/>
    <mergeCell ref="R28:U29"/>
    <mergeCell ref="C30:C31"/>
    <mergeCell ref="D30:G31"/>
    <mergeCell ref="D32:G32"/>
    <mergeCell ref="H34:J34"/>
    <mergeCell ref="C36:H36"/>
    <mergeCell ref="C43:H43"/>
    <mergeCell ref="C44:H44"/>
    <mergeCell ref="C45:K45"/>
    <mergeCell ref="C46:K46"/>
    <mergeCell ref="C37:H37"/>
    <mergeCell ref="C38:H38"/>
    <mergeCell ref="C39:K39"/>
    <mergeCell ref="C40:L40"/>
    <mergeCell ref="C41:H41"/>
    <mergeCell ref="C42:H42"/>
    <mergeCell ref="I28:K28"/>
    <mergeCell ref="D17:G17"/>
    <mergeCell ref="D18:G18"/>
    <mergeCell ref="C19:J19"/>
    <mergeCell ref="C20:C21"/>
    <mergeCell ref="D20:G21"/>
    <mergeCell ref="D22:G22"/>
    <mergeCell ref="C23:K23"/>
    <mergeCell ref="C24:K24"/>
    <mergeCell ref="C25:C26"/>
    <mergeCell ref="D25:G26"/>
    <mergeCell ref="D27:G27"/>
    <mergeCell ref="C15:C16"/>
    <mergeCell ref="D15:G16"/>
    <mergeCell ref="C4:K4"/>
    <mergeCell ref="C5:C6"/>
    <mergeCell ref="D5:G6"/>
    <mergeCell ref="D7:G7"/>
    <mergeCell ref="C8:J8"/>
    <mergeCell ref="C9:C10"/>
    <mergeCell ref="D9:G10"/>
    <mergeCell ref="D11:G11"/>
    <mergeCell ref="C12:J12"/>
    <mergeCell ref="C13:H13"/>
    <mergeCell ref="I13:K13"/>
    <mergeCell ref="C14:K14"/>
    <mergeCell ref="I68:K68"/>
    <mergeCell ref="D80:L80"/>
    <mergeCell ref="D75:I75"/>
    <mergeCell ref="D76:I76"/>
    <mergeCell ref="D77:I77"/>
    <mergeCell ref="D78:I78"/>
    <mergeCell ref="D79:L79"/>
    <mergeCell ref="D70:I70"/>
    <mergeCell ref="D71:I71"/>
    <mergeCell ref="D72:I72"/>
    <mergeCell ref="D73:L73"/>
    <mergeCell ref="D74:M74"/>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182CC1-C644-8644-B6E9-F23F6A1BB405}">
  <sheetPr codeName="Feuil7"/>
  <dimension ref="A1:P277"/>
  <sheetViews>
    <sheetView topLeftCell="A26" zoomScale="45" zoomScaleNormal="45" workbookViewId="0">
      <selection activeCell="T58" sqref="T58"/>
    </sheetView>
  </sheetViews>
  <sheetFormatPr baseColWidth="10" defaultColWidth="11" defaultRowHeight="15.75"/>
  <cols>
    <col min="8" max="8" width="15" bestFit="1" customWidth="1"/>
  </cols>
  <sheetData>
    <row r="1" spans="1:14" ht="16.5" thickBot="1">
      <c r="A1" s="5"/>
      <c r="C1" s="1000"/>
      <c r="D1" s="1000"/>
      <c r="E1" s="1000"/>
      <c r="F1" s="1000"/>
      <c r="G1" s="1000"/>
      <c r="H1" s="1000"/>
      <c r="I1" s="1000"/>
      <c r="J1" s="1000"/>
      <c r="K1" s="1000"/>
      <c r="L1" s="1000"/>
      <c r="M1" s="3"/>
    </row>
    <row r="2" spans="1:14" ht="16.5" thickBot="1">
      <c r="A2" s="5"/>
      <c r="B2" s="256" t="s">
        <v>339</v>
      </c>
      <c r="C2" s="158"/>
      <c r="D2" s="158"/>
      <c r="E2" s="158"/>
      <c r="F2" s="158"/>
      <c r="G2" s="158"/>
      <c r="H2" s="158"/>
      <c r="I2" s="158"/>
      <c r="J2" s="158"/>
      <c r="K2" s="158"/>
      <c r="L2" s="1000"/>
      <c r="M2" s="3"/>
    </row>
    <row r="3" spans="1:14">
      <c r="A3" s="5"/>
      <c r="B3" s="158"/>
      <c r="C3" s="1144" t="s">
        <v>351</v>
      </c>
      <c r="D3" s="1144"/>
      <c r="E3" s="1144"/>
      <c r="F3" s="1144"/>
      <c r="G3" s="1144"/>
      <c r="H3" s="1144"/>
      <c r="I3" s="1144"/>
      <c r="J3" s="1144"/>
      <c r="K3" s="1144"/>
      <c r="L3" s="130"/>
      <c r="M3" s="3"/>
    </row>
    <row r="4" spans="1:14" ht="18.75">
      <c r="A4" s="5"/>
      <c r="B4" s="158"/>
      <c r="C4" s="1075" t="s">
        <v>220</v>
      </c>
      <c r="D4" s="1077" t="s">
        <v>249</v>
      </c>
      <c r="E4" s="1077"/>
      <c r="F4" s="1077"/>
      <c r="G4" s="1077"/>
      <c r="H4" s="161" t="s">
        <v>298</v>
      </c>
      <c r="I4" s="161" t="s">
        <v>299</v>
      </c>
      <c r="J4" s="313" t="s">
        <v>352</v>
      </c>
      <c r="K4" s="109" t="s">
        <v>353</v>
      </c>
      <c r="L4" s="130"/>
      <c r="M4" s="3"/>
    </row>
    <row r="5" spans="1:14" ht="18">
      <c r="A5" s="5"/>
      <c r="B5" s="158"/>
      <c r="C5" s="1075"/>
      <c r="D5" s="1077"/>
      <c r="E5" s="1077"/>
      <c r="F5" s="1077"/>
      <c r="G5" s="1077"/>
      <c r="H5" s="164" t="s">
        <v>306</v>
      </c>
      <c r="I5" s="165" t="s">
        <v>227</v>
      </c>
      <c r="J5" s="165" t="s">
        <v>228</v>
      </c>
      <c r="K5" s="224" t="s">
        <v>229</v>
      </c>
      <c r="L5" s="130"/>
      <c r="M5" s="3"/>
    </row>
    <row r="6" spans="1:14">
      <c r="A6" s="5"/>
      <c r="B6" s="158"/>
      <c r="C6" s="1" t="s">
        <v>295</v>
      </c>
      <c r="D6" s="1046" t="s">
        <v>354</v>
      </c>
      <c r="E6" s="1046"/>
      <c r="F6" s="1046"/>
      <c r="G6" s="1046"/>
      <c r="H6" s="177">
        <f>(6.9+0.5)*3.94</f>
        <v>29.156000000000002</v>
      </c>
      <c r="I6" s="177">
        <f>Parois!L35</f>
        <v>1.7703177837995205</v>
      </c>
      <c r="J6" s="183">
        <f>0</f>
        <v>0</v>
      </c>
      <c r="K6" s="191">
        <f>H6*I6*J6</f>
        <v>0</v>
      </c>
      <c r="L6" s="130"/>
      <c r="M6" s="3"/>
      <c r="N6" t="s">
        <v>355</v>
      </c>
    </row>
    <row r="7" spans="1:14">
      <c r="A7" s="5"/>
      <c r="B7" s="158"/>
      <c r="C7" s="453" t="s">
        <v>337</v>
      </c>
      <c r="D7" s="1046" t="s">
        <v>345</v>
      </c>
      <c r="E7" s="1046"/>
      <c r="F7" s="1046"/>
      <c r="G7" s="1046"/>
      <c r="H7" s="177">
        <f>(4.4+0.75)*3.94</f>
        <v>20.291</v>
      </c>
      <c r="I7" s="191">
        <f>Parois!L35</f>
        <v>1.7703177837995205</v>
      </c>
      <c r="J7" s="1">
        <f>0</f>
        <v>0</v>
      </c>
      <c r="K7" s="191">
        <f>H7*I7*J7</f>
        <v>0</v>
      </c>
      <c r="L7" s="130"/>
      <c r="M7" s="3"/>
    </row>
    <row r="8" spans="1:14">
      <c r="A8" s="5"/>
      <c r="B8" s="158"/>
      <c r="C8" s="101"/>
      <c r="D8" s="1147"/>
      <c r="E8" s="1147"/>
      <c r="F8" s="1147"/>
      <c r="G8" s="1147"/>
      <c r="J8" s="454"/>
      <c r="K8" s="191"/>
      <c r="L8" s="130"/>
      <c r="M8" s="3"/>
    </row>
    <row r="9" spans="1:14">
      <c r="A9" s="5"/>
      <c r="B9" s="158"/>
      <c r="C9" s="119" t="s">
        <v>344</v>
      </c>
      <c r="D9" s="1145" t="s">
        <v>356</v>
      </c>
      <c r="E9" s="1145"/>
      <c r="F9" s="1145"/>
      <c r="G9" s="1145"/>
      <c r="H9" s="119">
        <f>(4.37+0.25)*3.94</f>
        <v>18.2028</v>
      </c>
      <c r="I9" s="119">
        <f>Parois!L35</f>
        <v>1.7703177837995205</v>
      </c>
      <c r="J9" s="454">
        <f>0</f>
        <v>0</v>
      </c>
      <c r="K9" s="222">
        <f>H9*J9*I9</f>
        <v>0</v>
      </c>
      <c r="L9" s="130"/>
      <c r="M9" s="3"/>
    </row>
    <row r="10" spans="1:14">
      <c r="A10" s="5"/>
      <c r="B10" s="158"/>
      <c r="C10" s="217" t="s">
        <v>357</v>
      </c>
      <c r="D10" s="862" t="s">
        <v>356</v>
      </c>
      <c r="E10" s="862"/>
      <c r="F10" s="862"/>
      <c r="G10" s="862"/>
      <c r="H10" s="171">
        <f>(4.4+0.5)*3.94</f>
        <v>19.306000000000001</v>
      </c>
      <c r="I10" s="1">
        <f>Parois!L35</f>
        <v>1.7703177837995205</v>
      </c>
      <c r="J10" s="1">
        <f>0</f>
        <v>0</v>
      </c>
      <c r="K10" s="465">
        <f>H11*J11*I11</f>
        <v>0</v>
      </c>
      <c r="L10" s="130"/>
      <c r="M10" s="3"/>
    </row>
    <row r="11" spans="1:14">
      <c r="A11" s="5"/>
      <c r="B11" s="158"/>
      <c r="C11" s="451" t="s">
        <v>358</v>
      </c>
      <c r="D11" s="1146" t="s">
        <v>359</v>
      </c>
      <c r="E11" s="1146"/>
      <c r="F11" s="1146"/>
      <c r="G11" s="1146"/>
      <c r="H11" s="178">
        <f>2</f>
        <v>2</v>
      </c>
      <c r="I11">
        <v>0.5</v>
      </c>
      <c r="J11">
        <f>0</f>
        <v>0</v>
      </c>
      <c r="K11" s="1"/>
      <c r="L11" s="130"/>
      <c r="M11" s="3"/>
    </row>
    <row r="12" spans="1:14">
      <c r="A12" s="5"/>
      <c r="B12" s="158"/>
      <c r="C12" s="179"/>
      <c r="D12" s="1098" t="s">
        <v>294</v>
      </c>
      <c r="E12" s="1098"/>
      <c r="F12" s="1098"/>
      <c r="G12" s="1098"/>
      <c r="H12" s="180">
        <f>((7.9-0.5)*4.9)+(0.25*3.175)</f>
        <v>37.053750000000008</v>
      </c>
      <c r="I12" s="180">
        <f>Parois!M99</f>
        <v>0.37721962043604607</v>
      </c>
      <c r="J12" s="180">
        <f>(16-10)/(16--8)</f>
        <v>0.25</v>
      </c>
      <c r="K12" s="191">
        <f>H12*I12*J12</f>
        <v>3.4943503776830362</v>
      </c>
      <c r="L12" s="130"/>
      <c r="M12" s="3"/>
    </row>
    <row r="13" spans="1:14">
      <c r="A13" s="5"/>
      <c r="B13" s="158"/>
      <c r="C13" s="1101" t="s">
        <v>254</v>
      </c>
      <c r="D13" s="1101"/>
      <c r="E13" s="1101"/>
      <c r="F13" s="1101"/>
      <c r="G13" s="1101"/>
      <c r="H13" s="1101"/>
      <c r="I13" s="1101"/>
      <c r="J13" s="1101"/>
      <c r="K13" s="1101"/>
      <c r="L13" s="130">
        <f>K6+K7+K8+K9+K10+K11+K12</f>
        <v>3.4943503776830362</v>
      </c>
      <c r="M13" s="3"/>
    </row>
    <row r="14" spans="1:14">
      <c r="A14" s="5"/>
      <c r="B14" s="158"/>
      <c r="C14" s="1151" t="s">
        <v>360</v>
      </c>
      <c r="D14" s="1151"/>
      <c r="E14" s="1151"/>
      <c r="F14" s="1151"/>
      <c r="G14" s="1151"/>
      <c r="H14" s="1151"/>
      <c r="I14" s="1151"/>
      <c r="J14" s="1151"/>
      <c r="K14" s="1151"/>
      <c r="L14" s="465"/>
      <c r="M14" s="3"/>
    </row>
    <row r="15" spans="1:14" ht="18.75">
      <c r="A15" s="5"/>
      <c r="B15" s="158"/>
      <c r="C15" s="1061" t="s">
        <v>220</v>
      </c>
      <c r="D15" s="1063" t="s">
        <v>221</v>
      </c>
      <c r="E15" s="1063"/>
      <c r="F15" s="1063"/>
      <c r="G15" s="1063"/>
      <c r="H15" s="466" t="s">
        <v>361</v>
      </c>
      <c r="I15" s="203" t="s">
        <v>298</v>
      </c>
      <c r="J15" s="203" t="s">
        <v>299</v>
      </c>
      <c r="K15" s="203" t="s">
        <v>362</v>
      </c>
      <c r="L15" s="465"/>
      <c r="M15" s="3"/>
    </row>
    <row r="16" spans="1:14" ht="18">
      <c r="A16" s="5"/>
      <c r="B16" s="158"/>
      <c r="C16" s="1061"/>
      <c r="D16" s="1063"/>
      <c r="E16" s="1063"/>
      <c r="F16" s="1063"/>
      <c r="G16" s="1063"/>
      <c r="H16" s="1"/>
      <c r="I16" s="311" t="s">
        <v>306</v>
      </c>
      <c r="J16" s="202" t="s">
        <v>227</v>
      </c>
      <c r="K16" s="202" t="s">
        <v>229</v>
      </c>
      <c r="L16" s="465"/>
      <c r="M16" s="3"/>
    </row>
    <row r="17" spans="1:14">
      <c r="A17" s="5"/>
      <c r="B17" s="158"/>
      <c r="C17" s="255" t="s">
        <v>342</v>
      </c>
      <c r="D17" s="1152" t="s">
        <v>363</v>
      </c>
      <c r="E17" s="1152"/>
      <c r="F17" s="1152"/>
      <c r="G17" s="1152"/>
      <c r="H17" s="452">
        <f>0</f>
        <v>0</v>
      </c>
      <c r="I17" s="458">
        <f>(2.875)*3.78</f>
        <v>10.8675</v>
      </c>
      <c r="J17" s="165">
        <f>Parois!L35</f>
        <v>1.7703177837995205</v>
      </c>
      <c r="K17" s="1">
        <f>H17*I17*J17</f>
        <v>0</v>
      </c>
      <c r="L17" s="465"/>
      <c r="M17" s="3"/>
      <c r="N17" t="s">
        <v>364</v>
      </c>
    </row>
    <row r="18" spans="1:14" ht="18.75">
      <c r="A18" s="5"/>
      <c r="B18" s="158"/>
      <c r="C18" s="167" t="s">
        <v>255</v>
      </c>
      <c r="D18" s="170"/>
      <c r="E18" s="170"/>
      <c r="F18" s="170"/>
      <c r="G18" s="171"/>
      <c r="H18" s="176"/>
      <c r="I18" s="177" t="s">
        <v>172</v>
      </c>
      <c r="J18" s="177"/>
      <c r="K18" s="175" t="s">
        <v>330</v>
      </c>
      <c r="L18" s="465"/>
      <c r="M18" s="3"/>
    </row>
    <row r="19" spans="1:14" ht="18.75">
      <c r="A19" s="5"/>
      <c r="B19" s="158"/>
      <c r="C19" s="184" t="s">
        <v>258</v>
      </c>
      <c r="D19" s="185"/>
      <c r="E19" s="185"/>
      <c r="F19" s="185"/>
      <c r="G19" s="1149" t="s">
        <v>331</v>
      </c>
      <c r="H19" s="1149"/>
      <c r="I19" s="1149"/>
      <c r="J19" s="1149"/>
      <c r="K19" s="1149"/>
      <c r="L19" s="465"/>
      <c r="M19" s="3"/>
    </row>
    <row r="20" spans="1:14">
      <c r="A20" s="5"/>
      <c r="B20" s="158"/>
      <c r="C20" s="186" t="s">
        <v>365</v>
      </c>
      <c r="D20" s="187"/>
      <c r="E20" s="188"/>
      <c r="F20" s="188"/>
      <c r="G20" s="188"/>
      <c r="H20" s="189"/>
      <c r="I20" s="189"/>
      <c r="J20" s="189"/>
      <c r="K20" s="190"/>
      <c r="L20" s="181" t="e">
        <f>#REF!+K17</f>
        <v>#REF!</v>
      </c>
      <c r="M20" s="3"/>
    </row>
    <row r="21" spans="1:14" ht="18.75">
      <c r="A21" s="5"/>
      <c r="B21" s="158"/>
      <c r="C21" s="1046" t="s">
        <v>6</v>
      </c>
      <c r="D21" s="1046"/>
      <c r="E21" s="1046"/>
      <c r="F21" s="1046"/>
      <c r="G21" s="1046"/>
      <c r="H21" s="1046"/>
      <c r="I21" s="177" t="s">
        <v>332</v>
      </c>
      <c r="J21" s="177" t="s">
        <v>262</v>
      </c>
      <c r="K21" s="248">
        <f>Données!G11</f>
        <v>-8</v>
      </c>
      <c r="L21" s="179" t="s">
        <v>366</v>
      </c>
      <c r="M21" s="3"/>
    </row>
    <row r="22" spans="1:14" ht="18.75">
      <c r="A22" s="5"/>
      <c r="B22" s="158"/>
      <c r="C22" s="1049" t="s">
        <v>264</v>
      </c>
      <c r="D22" s="1049"/>
      <c r="E22" s="1049"/>
      <c r="F22" s="1049"/>
      <c r="G22" s="1049"/>
      <c r="H22" s="1049"/>
      <c r="I22" s="177" t="s">
        <v>333</v>
      </c>
      <c r="J22" s="177" t="s">
        <v>262</v>
      </c>
      <c r="K22" s="177">
        <f>Données!G45</f>
        <v>16</v>
      </c>
      <c r="L22" s="179"/>
      <c r="M22" s="3"/>
    </row>
    <row r="23" spans="1:14" ht="18.75">
      <c r="A23" s="5"/>
      <c r="B23" s="158"/>
      <c r="C23" s="1046" t="s">
        <v>266</v>
      </c>
      <c r="D23" s="1046"/>
      <c r="E23" s="1046"/>
      <c r="F23" s="1046"/>
      <c r="G23" s="1046"/>
      <c r="H23" s="1046"/>
      <c r="I23" s="177" t="s">
        <v>334</v>
      </c>
      <c r="J23" s="177" t="s">
        <v>262</v>
      </c>
      <c r="K23" s="177">
        <f>K22-K21</f>
        <v>24</v>
      </c>
      <c r="L23" s="179"/>
      <c r="M23" s="3"/>
    </row>
    <row r="24" spans="1:14" ht="18.75">
      <c r="A24" s="5"/>
      <c r="B24" s="158"/>
      <c r="C24" s="1150" t="s">
        <v>367</v>
      </c>
      <c r="D24" s="1150"/>
      <c r="E24" s="1150"/>
      <c r="F24" s="1150"/>
      <c r="G24" s="1150"/>
      <c r="H24" s="1150"/>
      <c r="I24" s="1150"/>
      <c r="J24" s="1150"/>
      <c r="K24" s="1150"/>
      <c r="L24" s="272">
        <f>L13*K23</f>
        <v>83.864409064392873</v>
      </c>
      <c r="M24" s="3"/>
    </row>
    <row r="25" spans="1:14">
      <c r="A25" s="5"/>
      <c r="B25" s="158"/>
      <c r="C25" s="1023" t="s">
        <v>269</v>
      </c>
      <c r="D25" s="1023"/>
      <c r="E25" s="1023"/>
      <c r="F25" s="1023"/>
      <c r="G25" s="1023"/>
      <c r="H25" s="1023"/>
      <c r="I25" s="235"/>
      <c r="J25" s="235"/>
      <c r="K25" s="235"/>
      <c r="L25" s="179"/>
      <c r="M25" s="3"/>
    </row>
    <row r="26" spans="1:14">
      <c r="A26" s="5"/>
      <c r="B26" s="158"/>
      <c r="C26" s="990" t="s">
        <v>270</v>
      </c>
      <c r="D26" s="990"/>
      <c r="E26" s="990"/>
      <c r="F26" s="990"/>
      <c r="G26" s="990"/>
      <c r="H26" s="990"/>
      <c r="I26" s="241" t="s">
        <v>271</v>
      </c>
      <c r="J26" s="241" t="s">
        <v>272</v>
      </c>
      <c r="K26" s="242" t="s">
        <v>273</v>
      </c>
      <c r="M26" s="3"/>
    </row>
    <row r="27" spans="1:14">
      <c r="A27" s="5"/>
      <c r="B27" s="5"/>
      <c r="C27" s="971"/>
      <c r="D27" s="971"/>
      <c r="E27" s="971"/>
      <c r="F27" s="971"/>
      <c r="G27" s="971"/>
      <c r="H27" s="971"/>
      <c r="I27" s="245" t="str">
        <f>Données!G44</f>
        <v>[°C]</v>
      </c>
      <c r="J27" s="245" t="s">
        <v>174</v>
      </c>
      <c r="K27" s="245" t="e">
        <f>K22-I27</f>
        <v>#VALUE!</v>
      </c>
      <c r="L27" s="235"/>
      <c r="M27" s="3"/>
      <c r="N27" t="s">
        <v>368</v>
      </c>
    </row>
    <row r="28" spans="1:14">
      <c r="A28" s="5"/>
      <c r="B28" s="5"/>
      <c r="C28" s="818" t="s">
        <v>369</v>
      </c>
      <c r="D28" s="818"/>
      <c r="E28" s="818"/>
      <c r="F28" s="818"/>
      <c r="G28" s="818"/>
      <c r="H28" s="818"/>
      <c r="I28" s="245">
        <f>Données!E23</f>
        <v>22</v>
      </c>
      <c r="J28" s="245" t="s">
        <v>174</v>
      </c>
      <c r="K28" s="245"/>
      <c r="L28" s="235" t="s">
        <v>274</v>
      </c>
      <c r="M28" s="3"/>
    </row>
    <row r="29" spans="1:14">
      <c r="A29" s="5"/>
      <c r="B29" s="1148"/>
      <c r="C29" s="971" t="s">
        <v>370</v>
      </c>
      <c r="D29" s="971"/>
      <c r="E29" s="971"/>
      <c r="F29" s="971"/>
      <c r="G29" s="971"/>
      <c r="H29" s="971"/>
      <c r="I29" s="245">
        <f>Données!E33</f>
        <v>18</v>
      </c>
      <c r="J29" s="245" t="s">
        <v>174</v>
      </c>
      <c r="K29" s="245"/>
      <c r="L29" s="245" t="s">
        <v>174</v>
      </c>
      <c r="M29" s="3"/>
    </row>
    <row r="30" spans="1:14">
      <c r="A30" s="5"/>
      <c r="B30" s="1148"/>
      <c r="C30" s="818" t="s">
        <v>371</v>
      </c>
      <c r="D30" s="818"/>
      <c r="E30" s="818"/>
      <c r="F30" s="818"/>
      <c r="G30" s="818"/>
      <c r="H30" s="818"/>
      <c r="I30" s="245">
        <f>Données!G36</f>
        <v>23.080500000000001</v>
      </c>
      <c r="J30" s="245" t="s">
        <v>174</v>
      </c>
      <c r="K30" s="245"/>
      <c r="L30" s="245" t="s">
        <v>174</v>
      </c>
      <c r="M30" s="3"/>
    </row>
    <row r="31" spans="1:14">
      <c r="A31" s="5"/>
      <c r="B31" s="1148"/>
      <c r="C31" s="971" t="s">
        <v>372</v>
      </c>
      <c r="D31" s="971"/>
      <c r="E31" s="971"/>
      <c r="F31" s="971"/>
      <c r="G31" s="971"/>
      <c r="H31" s="971"/>
      <c r="I31" s="245">
        <f>Données!E25</f>
        <v>20</v>
      </c>
      <c r="J31" s="245" t="s">
        <v>174</v>
      </c>
      <c r="K31" s="245"/>
      <c r="L31" s="245" t="s">
        <v>174</v>
      </c>
      <c r="M31" s="3"/>
    </row>
    <row r="32" spans="1:14">
      <c r="A32" s="5"/>
      <c r="B32" s="1148"/>
      <c r="C32" s="971" t="s">
        <v>373</v>
      </c>
      <c r="D32" s="971"/>
      <c r="E32" s="971"/>
      <c r="F32" s="971"/>
      <c r="G32" s="971"/>
      <c r="H32" s="971"/>
      <c r="I32" s="245">
        <f>Données!E31</f>
        <v>20</v>
      </c>
      <c r="J32" s="245" t="s">
        <v>174</v>
      </c>
      <c r="K32" s="245"/>
      <c r="L32" s="245" t="s">
        <v>174</v>
      </c>
      <c r="M32" s="3"/>
      <c r="N32" t="s">
        <v>374</v>
      </c>
    </row>
    <row r="33" spans="1:16">
      <c r="A33" s="5"/>
      <c r="B33" s="1148"/>
      <c r="C33" s="5"/>
      <c r="D33" s="5"/>
      <c r="E33" s="5"/>
      <c r="F33" s="5"/>
      <c r="G33" s="5"/>
      <c r="H33" s="5"/>
      <c r="I33" s="5"/>
      <c r="J33" s="5"/>
      <c r="K33" s="5"/>
      <c r="L33" s="245" t="s">
        <v>174</v>
      </c>
      <c r="M33" s="3"/>
    </row>
    <row r="34" spans="1:16">
      <c r="A34" s="5"/>
      <c r="B34" s="1148"/>
      <c r="C34" s="5"/>
      <c r="D34" s="5"/>
      <c r="E34" s="5"/>
      <c r="F34" s="5"/>
      <c r="G34" s="5"/>
      <c r="H34" s="5"/>
      <c r="I34" s="5"/>
      <c r="J34" s="5"/>
      <c r="K34" s="5"/>
      <c r="L34" s="245" t="s">
        <v>174</v>
      </c>
      <c r="M34" s="3"/>
    </row>
    <row r="35" spans="1:16">
      <c r="A35" s="5"/>
      <c r="B35" s="1148"/>
      <c r="C35" s="5"/>
      <c r="D35" s="5"/>
      <c r="E35" s="5"/>
      <c r="F35" s="5"/>
      <c r="G35" s="5"/>
      <c r="H35" s="5"/>
      <c r="I35" s="5"/>
      <c r="J35" s="5"/>
      <c r="K35" s="5"/>
      <c r="L35" s="5"/>
      <c r="M35" s="3"/>
    </row>
    <row r="36" spans="1:16">
      <c r="A36" s="5"/>
      <c r="B36" s="5"/>
      <c r="C36" s="5"/>
      <c r="D36" s="5"/>
      <c r="E36" s="5"/>
      <c r="F36" s="5"/>
      <c r="G36" s="5"/>
      <c r="H36" s="5"/>
      <c r="I36" s="5"/>
      <c r="J36" s="5"/>
      <c r="K36" s="5"/>
      <c r="L36" s="5"/>
      <c r="M36" s="3"/>
    </row>
    <row r="37" spans="1:16">
      <c r="A37" s="5"/>
      <c r="B37" s="5"/>
      <c r="C37" s="5"/>
      <c r="D37" s="5"/>
      <c r="E37" s="5"/>
      <c r="F37" s="5"/>
      <c r="G37" s="5"/>
      <c r="H37" s="5"/>
      <c r="I37" s="5"/>
      <c r="J37" s="5"/>
      <c r="K37" s="5"/>
      <c r="L37" s="5"/>
      <c r="M37" s="3"/>
    </row>
    <row r="38" spans="1:16">
      <c r="A38" s="5"/>
      <c r="B38" s="5"/>
      <c r="C38" s="5"/>
      <c r="D38" s="5"/>
      <c r="E38" s="5"/>
      <c r="F38" s="5"/>
      <c r="G38" s="5"/>
      <c r="H38" s="5"/>
      <c r="I38" s="5"/>
      <c r="J38" s="5"/>
      <c r="K38" s="5"/>
      <c r="L38" s="5"/>
      <c r="M38" s="3"/>
    </row>
    <row r="39" spans="1:16">
      <c r="A39" s="5"/>
      <c r="B39" s="5"/>
      <c r="C39" s="5"/>
      <c r="D39" s="5"/>
      <c r="E39" s="5"/>
      <c r="F39" s="5"/>
      <c r="G39" s="5"/>
      <c r="H39" s="5"/>
      <c r="I39" s="5"/>
      <c r="J39" s="5"/>
      <c r="K39" s="5"/>
      <c r="L39" s="5"/>
      <c r="M39" s="3"/>
    </row>
    <row r="40" spans="1:16">
      <c r="A40" s="5"/>
      <c r="B40" s="5"/>
      <c r="C40" s="5"/>
      <c r="D40" s="5"/>
      <c r="E40" s="5"/>
      <c r="F40" s="5"/>
      <c r="G40" s="5"/>
      <c r="H40" s="5"/>
      <c r="I40" s="5"/>
      <c r="J40" s="5"/>
      <c r="K40" s="5"/>
      <c r="L40" s="5"/>
      <c r="M40" s="3"/>
    </row>
    <row r="41" spans="1:16">
      <c r="A41" s="5"/>
      <c r="B41" s="5"/>
      <c r="C41" s="5"/>
      <c r="D41" s="5"/>
      <c r="E41" s="5"/>
      <c r="F41" s="5"/>
      <c r="G41" s="5"/>
      <c r="H41" s="5"/>
      <c r="I41" s="5"/>
      <c r="J41" s="5"/>
      <c r="K41" s="5"/>
      <c r="L41" s="5"/>
      <c r="M41" s="3"/>
    </row>
    <row r="42" spans="1:16">
      <c r="A42" s="5"/>
      <c r="B42" s="5"/>
      <c r="C42" s="5"/>
      <c r="D42" s="5"/>
      <c r="E42" s="5"/>
      <c r="F42" s="5"/>
      <c r="G42" s="5"/>
      <c r="H42" s="5"/>
      <c r="I42" s="5"/>
      <c r="J42" s="5"/>
      <c r="K42" s="5"/>
      <c r="L42" s="5"/>
      <c r="M42" s="5"/>
      <c r="N42" s="5"/>
      <c r="O42" s="5"/>
    </row>
    <row r="43" spans="1:16">
      <c r="A43" s="5"/>
      <c r="B43" s="5"/>
      <c r="C43" s="5"/>
      <c r="D43" s="656" t="s">
        <v>230</v>
      </c>
      <c r="E43" s="657"/>
      <c r="F43" s="657"/>
      <c r="G43" s="657"/>
      <c r="H43" s="657"/>
      <c r="I43" s="657"/>
      <c r="J43" s="657"/>
      <c r="K43" s="101"/>
      <c r="L43" s="227"/>
      <c r="M43" s="287"/>
      <c r="N43" s="250"/>
      <c r="O43" s="5"/>
      <c r="P43" s="5"/>
    </row>
    <row r="44" spans="1:16" ht="18">
      <c r="A44" s="5"/>
      <c r="B44" s="5"/>
      <c r="C44" s="5"/>
      <c r="D44" s="975" t="s">
        <v>220</v>
      </c>
      <c r="E44" s="977" t="s">
        <v>221</v>
      </c>
      <c r="F44" s="978"/>
      <c r="G44" s="978"/>
      <c r="H44" s="978"/>
      <c r="I44" s="654" t="s">
        <v>232</v>
      </c>
      <c r="J44" s="654" t="s">
        <v>222</v>
      </c>
      <c r="K44" s="196" t="s">
        <v>223</v>
      </c>
      <c r="L44" s="231" t="s">
        <v>233</v>
      </c>
      <c r="M44" s="287"/>
      <c r="N44" s="250"/>
      <c r="O44" s="5"/>
      <c r="P44" s="5"/>
    </row>
    <row r="45" spans="1:16" ht="18">
      <c r="A45" s="5"/>
      <c r="B45" s="5"/>
      <c r="C45" s="5"/>
      <c r="D45" s="976"/>
      <c r="E45" s="979"/>
      <c r="F45" s="980"/>
      <c r="G45" s="980"/>
      <c r="H45" s="980"/>
      <c r="I45" s="62" t="s">
        <v>228</v>
      </c>
      <c r="J45" s="62" t="s">
        <v>226</v>
      </c>
      <c r="K45" s="197" t="s">
        <v>227</v>
      </c>
      <c r="L45" s="232" t="s">
        <v>229</v>
      </c>
      <c r="M45" s="287"/>
      <c r="N45" s="250"/>
      <c r="O45" s="5"/>
      <c r="P45" s="5"/>
    </row>
    <row r="46" spans="1:16">
      <c r="A46" s="5"/>
      <c r="C46" s="5"/>
      <c r="D46" s="155"/>
      <c r="E46" s="1046" t="s">
        <v>354</v>
      </c>
      <c r="F46" s="1046"/>
      <c r="G46" s="1046"/>
      <c r="H46" s="1046"/>
      <c r="I46" s="264">
        <f>M66/L62</f>
        <v>0.33333333333333331</v>
      </c>
      <c r="J46" s="65">
        <f>(6.9+0.5)*3.94</f>
        <v>29.156000000000002</v>
      </c>
      <c r="K46" s="265">
        <f>Parois!L$35</f>
        <v>1.7703177837995205</v>
      </c>
      <c r="L46" s="266">
        <f t="shared" ref="L46:L52" si="0">I46*J46*K46</f>
        <v>17.20512843481961</v>
      </c>
      <c r="M46" s="287"/>
      <c r="N46" s="969"/>
      <c r="O46" s="5"/>
      <c r="P46" s="5"/>
    </row>
    <row r="47" spans="1:16">
      <c r="A47" s="5"/>
      <c r="C47" s="5"/>
      <c r="D47" s="155"/>
      <c r="E47" s="1046" t="s">
        <v>345</v>
      </c>
      <c r="F47" s="1046"/>
      <c r="G47" s="1046"/>
      <c r="H47" s="1046"/>
      <c r="I47" s="264">
        <f>M67/L62</f>
        <v>0.16666666666666666</v>
      </c>
      <c r="J47" s="65">
        <f>(4.4+0.75)*3.94-J50</f>
        <v>18.291</v>
      </c>
      <c r="K47" s="265">
        <f>Parois!L$35</f>
        <v>1.7703177837995205</v>
      </c>
      <c r="L47" s="266">
        <f t="shared" si="0"/>
        <v>5.3968137639128377</v>
      </c>
      <c r="M47" s="287"/>
      <c r="N47" s="969"/>
      <c r="O47" s="5"/>
      <c r="P47" s="5"/>
    </row>
    <row r="48" spans="1:16">
      <c r="A48" s="5"/>
      <c r="C48" s="5"/>
      <c r="D48" s="155"/>
      <c r="E48" s="1145" t="s">
        <v>356</v>
      </c>
      <c r="F48" s="1145"/>
      <c r="G48" s="1145"/>
      <c r="H48" s="1145"/>
      <c r="I48" s="264">
        <f>M69/L62</f>
        <v>0</v>
      </c>
      <c r="J48" s="65">
        <f>(4.4+0.5)*3.94</f>
        <v>19.306000000000001</v>
      </c>
      <c r="K48" s="265">
        <f>Parois!L$35</f>
        <v>1.7703177837995205</v>
      </c>
      <c r="L48" s="266">
        <f t="shared" si="0"/>
        <v>0</v>
      </c>
      <c r="M48" s="287"/>
      <c r="N48" s="969"/>
      <c r="O48" s="5"/>
      <c r="P48" s="5"/>
    </row>
    <row r="49" spans="1:16">
      <c r="A49" s="5"/>
      <c r="C49" s="5"/>
      <c r="D49" s="155"/>
      <c r="E49" s="862" t="s">
        <v>356</v>
      </c>
      <c r="F49" s="862"/>
      <c r="G49" s="862"/>
      <c r="H49" s="862"/>
      <c r="I49" s="264">
        <f>M69/L62</f>
        <v>0</v>
      </c>
      <c r="J49" s="269">
        <f>(4.37+0.25)*3.94</f>
        <v>18.2028</v>
      </c>
      <c r="K49" s="265">
        <f>Parois!L$35</f>
        <v>1.7703177837995205</v>
      </c>
      <c r="L49" s="266">
        <f t="shared" si="0"/>
        <v>0</v>
      </c>
      <c r="M49" s="287"/>
      <c r="N49" s="969"/>
      <c r="O49" s="5"/>
      <c r="P49" s="5"/>
    </row>
    <row r="50" spans="1:16">
      <c r="A50" s="5"/>
      <c r="C50" s="5"/>
      <c r="D50" s="57"/>
      <c r="E50" s="1146" t="s">
        <v>359</v>
      </c>
      <c r="F50" s="1146"/>
      <c r="G50" s="1146"/>
      <c r="H50" s="1146"/>
      <c r="I50" s="264">
        <f>M67/L62</f>
        <v>0.16666666666666666</v>
      </c>
      <c r="J50" s="269">
        <f>2</f>
        <v>2</v>
      </c>
      <c r="K50" s="269">
        <v>1.5</v>
      </c>
      <c r="L50" s="266">
        <f t="shared" si="0"/>
        <v>0.5</v>
      </c>
      <c r="M50" s="287"/>
      <c r="N50" s="969"/>
      <c r="O50" s="5"/>
      <c r="P50" s="5"/>
    </row>
    <row r="51" spans="1:16">
      <c r="A51" s="5"/>
      <c r="C51" s="5"/>
      <c r="D51" s="57"/>
      <c r="E51" s="984" t="s">
        <v>363</v>
      </c>
      <c r="F51" s="985"/>
      <c r="G51" s="985"/>
      <c r="H51" s="985"/>
      <c r="I51" s="264">
        <f>M68/L62</f>
        <v>1</v>
      </c>
      <c r="J51" s="268">
        <f>(2.875)*3.78</f>
        <v>10.8675</v>
      </c>
      <c r="K51" s="268">
        <f>Parois!L35</f>
        <v>1.7703177837995205</v>
      </c>
      <c r="L51" s="266">
        <f t="shared" si="0"/>
        <v>19.238928515441287</v>
      </c>
      <c r="M51" s="287"/>
      <c r="N51" s="969"/>
      <c r="O51" s="5"/>
      <c r="P51" s="5"/>
    </row>
    <row r="52" spans="1:16">
      <c r="A52" s="5"/>
      <c r="C52" s="5"/>
      <c r="D52" s="57"/>
      <c r="E52" s="984" t="s">
        <v>294</v>
      </c>
      <c r="F52" s="985"/>
      <c r="G52" s="985"/>
      <c r="H52" s="986"/>
      <c r="I52" s="264">
        <f>M70/L62</f>
        <v>1</v>
      </c>
      <c r="J52" s="268">
        <f>((7.9-0.5)*4.9)+(0.25*3.175)</f>
        <v>37.053750000000008</v>
      </c>
      <c r="K52" s="268">
        <f>Parois!M99</f>
        <v>0.37721962043604607</v>
      </c>
      <c r="L52" s="266">
        <f t="shared" si="0"/>
        <v>13.977401510732145</v>
      </c>
      <c r="M52" s="287"/>
      <c r="N52" s="969"/>
      <c r="O52" s="5"/>
      <c r="P52" s="5"/>
    </row>
    <row r="53" spans="1:16">
      <c r="A53" s="5"/>
      <c r="C53" s="5"/>
      <c r="D53" s="57"/>
      <c r="E53" s="984"/>
      <c r="F53" s="985"/>
      <c r="G53" s="985"/>
      <c r="H53" s="986"/>
      <c r="I53" s="264"/>
      <c r="J53" s="268"/>
      <c r="K53" s="268"/>
      <c r="L53" s="266"/>
      <c r="M53" s="287"/>
      <c r="N53" s="969"/>
      <c r="O53" s="5"/>
      <c r="P53" s="5"/>
    </row>
    <row r="54" spans="1:16">
      <c r="A54" s="5"/>
      <c r="C54" s="5"/>
      <c r="D54" s="57"/>
      <c r="E54" s="984"/>
      <c r="F54" s="985"/>
      <c r="G54" s="985"/>
      <c r="H54" s="985"/>
      <c r="I54" s="264"/>
      <c r="J54" s="269"/>
      <c r="K54" s="269"/>
      <c r="L54" s="266"/>
      <c r="M54" s="287"/>
      <c r="N54" s="969"/>
      <c r="O54" s="5"/>
      <c r="P54" s="5"/>
    </row>
    <row r="55" spans="1:16" ht="18">
      <c r="A55" s="5"/>
      <c r="C55" s="5"/>
      <c r="D55" s="57" t="s">
        <v>255</v>
      </c>
      <c r="E55" s="57"/>
      <c r="F55" s="57"/>
      <c r="G55" s="57"/>
      <c r="H55" s="58"/>
      <c r="I55" s="1"/>
      <c r="J55" s="1"/>
      <c r="K55" s="1"/>
      <c r="L55" s="91" t="s">
        <v>256</v>
      </c>
      <c r="M55" s="532">
        <f>SUM(L46:L54)</f>
        <v>56.318272224905876</v>
      </c>
      <c r="N55" s="969"/>
      <c r="O55" s="5"/>
      <c r="P55" s="5"/>
    </row>
    <row r="56" spans="1:16" ht="18">
      <c r="A56" s="5"/>
      <c r="C56" s="5"/>
      <c r="D56" s="83" t="s">
        <v>258</v>
      </c>
      <c r="E56" s="84"/>
      <c r="F56" s="84"/>
      <c r="G56" s="84"/>
      <c r="H56" s="102"/>
      <c r="I56" s="999" t="s">
        <v>259</v>
      </c>
      <c r="J56" s="999"/>
      <c r="K56" s="999"/>
      <c r="L56" s="119"/>
      <c r="M56" s="287"/>
      <c r="N56" s="969"/>
      <c r="O56" s="5"/>
      <c r="P56" s="5"/>
    </row>
    <row r="57" spans="1:16">
      <c r="A57" s="5"/>
      <c r="C57" s="5"/>
      <c r="D57" s="104" t="s">
        <v>260</v>
      </c>
      <c r="E57" s="103"/>
      <c r="F57" s="103"/>
      <c r="G57" s="103"/>
      <c r="H57" s="103"/>
      <c r="I57" s="103"/>
      <c r="J57" s="103"/>
      <c r="K57" s="103"/>
      <c r="L57" s="103"/>
      <c r="M57" s="287"/>
      <c r="N57" s="969"/>
      <c r="O57" s="5"/>
      <c r="P57" s="5"/>
    </row>
    <row r="58" spans="1:16" ht="19.5">
      <c r="A58" s="5"/>
      <c r="C58" s="5"/>
      <c r="D58" s="818" t="s">
        <v>6</v>
      </c>
      <c r="E58" s="818"/>
      <c r="F58" s="818"/>
      <c r="G58" s="818"/>
      <c r="H58" s="818"/>
      <c r="I58" s="818"/>
      <c r="J58" s="1" t="s">
        <v>261</v>
      </c>
      <c r="K58" s="1" t="s">
        <v>262</v>
      </c>
      <c r="L58" s="119">
        <v>32</v>
      </c>
      <c r="M58" s="287"/>
      <c r="N58" s="970"/>
      <c r="O58" s="5"/>
      <c r="P58" s="5"/>
    </row>
    <row r="59" spans="1:16" ht="19.5">
      <c r="A59" s="5"/>
      <c r="C59" s="5"/>
      <c r="D59" s="971" t="s">
        <v>264</v>
      </c>
      <c r="E59" s="971"/>
      <c r="F59" s="971"/>
      <c r="G59" s="971"/>
      <c r="H59" s="971"/>
      <c r="I59" s="971"/>
      <c r="J59" s="1" t="s">
        <v>265</v>
      </c>
      <c r="K59" s="1" t="s">
        <v>262</v>
      </c>
      <c r="L59" s="119">
        <v>26</v>
      </c>
      <c r="M59" s="287"/>
      <c r="N59" s="251" t="s">
        <v>263</v>
      </c>
      <c r="O59" s="5"/>
      <c r="P59" s="5"/>
    </row>
    <row r="60" spans="1:16">
      <c r="A60" s="5"/>
      <c r="C60" s="5"/>
      <c r="D60" s="618"/>
      <c r="E60" s="618"/>
      <c r="F60" s="618"/>
      <c r="G60" s="618"/>
      <c r="H60" s="618"/>
      <c r="I60" s="618"/>
      <c r="J60" s="101"/>
      <c r="K60" s="101"/>
      <c r="L60" s="227"/>
      <c r="M60" s="287"/>
      <c r="N60" s="250"/>
      <c r="O60" s="5"/>
      <c r="P60" s="5"/>
    </row>
    <row r="61" spans="1:16">
      <c r="C61" s="5"/>
      <c r="D61" s="618"/>
      <c r="E61" s="618"/>
      <c r="F61" s="618"/>
      <c r="G61" s="618"/>
      <c r="H61" s="618"/>
      <c r="I61" s="618"/>
      <c r="J61" s="101"/>
      <c r="K61" s="101"/>
      <c r="L61" s="227"/>
      <c r="M61" s="287"/>
      <c r="N61" s="250"/>
      <c r="O61" s="5"/>
      <c r="P61" s="5"/>
    </row>
    <row r="62" spans="1:16" ht="19.5">
      <c r="C62" s="5"/>
      <c r="D62" s="997" t="s">
        <v>266</v>
      </c>
      <c r="E62" s="997"/>
      <c r="F62" s="997"/>
      <c r="G62" s="997"/>
      <c r="H62" s="997"/>
      <c r="I62" s="997"/>
      <c r="J62" s="101" t="s">
        <v>267</v>
      </c>
      <c r="K62" s="101" t="s">
        <v>262</v>
      </c>
      <c r="L62" s="227">
        <f>L58-L59</f>
        <v>6</v>
      </c>
      <c r="M62" s="288"/>
      <c r="N62" s="250"/>
      <c r="O62" s="5"/>
      <c r="P62" s="5"/>
    </row>
    <row r="63" spans="1:16">
      <c r="C63" s="5"/>
      <c r="D63" s="988" t="s">
        <v>268</v>
      </c>
      <c r="E63" s="988"/>
      <c r="F63" s="988"/>
      <c r="G63" s="988"/>
      <c r="H63" s="988"/>
      <c r="I63" s="988"/>
      <c r="J63" s="988"/>
      <c r="K63" s="988"/>
      <c r="L63" s="988"/>
      <c r="M63" s="234" t="e">
        <f>L62*#REF!</f>
        <v>#REF!</v>
      </c>
      <c r="N63" s="250"/>
      <c r="O63" s="5"/>
      <c r="P63" s="5"/>
    </row>
    <row r="64" spans="1:16">
      <c r="C64" s="5"/>
      <c r="D64" s="989" t="s">
        <v>269</v>
      </c>
      <c r="E64" s="989"/>
      <c r="F64" s="989"/>
      <c r="G64" s="989"/>
      <c r="H64" s="989"/>
      <c r="I64" s="989"/>
      <c r="J64" s="989"/>
      <c r="K64" s="989"/>
      <c r="L64" s="989"/>
      <c r="M64" s="989"/>
      <c r="N64" s="250"/>
      <c r="O64" s="5"/>
      <c r="P64" s="5"/>
    </row>
    <row r="65" spans="3:16">
      <c r="C65" s="5"/>
      <c r="D65" s="990" t="s">
        <v>270</v>
      </c>
      <c r="E65" s="991"/>
      <c r="F65" s="991"/>
      <c r="G65" s="991"/>
      <c r="H65" s="991"/>
      <c r="I65" s="992"/>
      <c r="J65" s="241" t="s">
        <v>271</v>
      </c>
      <c r="K65" s="241" t="s">
        <v>272</v>
      </c>
      <c r="L65" s="242" t="s">
        <v>273</v>
      </c>
      <c r="M65" s="235" t="s">
        <v>274</v>
      </c>
      <c r="N65" s="250"/>
      <c r="O65" s="5"/>
      <c r="P65" s="5"/>
    </row>
    <row r="66" spans="3:16">
      <c r="C66" s="5"/>
      <c r="D66" s="818" t="s">
        <v>375</v>
      </c>
      <c r="E66" s="818"/>
      <c r="F66" s="818"/>
      <c r="G66" s="818"/>
      <c r="H66" s="818"/>
      <c r="I66" s="818"/>
      <c r="J66" s="246" t="s">
        <v>174</v>
      </c>
      <c r="K66" s="246">
        <v>24</v>
      </c>
      <c r="L66" s="245" t="s">
        <v>174</v>
      </c>
      <c r="M66" s="245">
        <f>L$59-K66</f>
        <v>2</v>
      </c>
      <c r="N66" s="250"/>
      <c r="O66" s="5"/>
      <c r="P66" s="5"/>
    </row>
    <row r="67" spans="3:16">
      <c r="C67" s="5"/>
      <c r="D67" s="971" t="s">
        <v>275</v>
      </c>
      <c r="E67" s="971"/>
      <c r="F67" s="971"/>
      <c r="G67" s="971"/>
      <c r="H67" s="971"/>
      <c r="I67" s="971"/>
      <c r="J67" s="245" t="s">
        <v>174</v>
      </c>
      <c r="K67" s="245">
        <v>25</v>
      </c>
      <c r="L67" s="245" t="s">
        <v>174</v>
      </c>
      <c r="M67" s="245">
        <f>L$59-K67</f>
        <v>1</v>
      </c>
      <c r="N67" s="251" t="s">
        <v>263</v>
      </c>
      <c r="O67" s="5"/>
      <c r="P67" s="5"/>
    </row>
    <row r="68" spans="3:16">
      <c r="C68" s="5"/>
      <c r="D68" s="818" t="s">
        <v>376</v>
      </c>
      <c r="E68" s="818"/>
      <c r="F68" s="818"/>
      <c r="G68" s="818"/>
      <c r="H68" s="818"/>
      <c r="I68" s="818"/>
      <c r="J68" s="245" t="s">
        <v>174</v>
      </c>
      <c r="K68" s="245">
        <v>20</v>
      </c>
      <c r="L68" s="245" t="s">
        <v>174</v>
      </c>
      <c r="M68" s="245">
        <f>L$59-K68</f>
        <v>6</v>
      </c>
      <c r="N68" s="253" t="s">
        <v>263</v>
      </c>
      <c r="O68" s="5"/>
      <c r="P68" s="5"/>
    </row>
    <row r="69" spans="3:16">
      <c r="D69" s="971" t="s">
        <v>236</v>
      </c>
      <c r="E69" s="971"/>
      <c r="F69" s="971"/>
      <c r="G69" s="971"/>
      <c r="H69" s="971"/>
      <c r="I69" s="971"/>
      <c r="J69" s="247" t="s">
        <v>174</v>
      </c>
      <c r="K69" s="247">
        <v>26</v>
      </c>
      <c r="L69" s="245" t="s">
        <v>174</v>
      </c>
      <c r="M69" s="245">
        <f>L$59-K69</f>
        <v>0</v>
      </c>
      <c r="N69" s="5"/>
      <c r="O69" s="5"/>
      <c r="P69" s="5"/>
    </row>
    <row r="70" spans="3:16">
      <c r="D70" s="971" t="s">
        <v>373</v>
      </c>
      <c r="E70" s="971"/>
      <c r="F70" s="971"/>
      <c r="G70" s="971"/>
      <c r="H70" s="971"/>
      <c r="I70" s="971"/>
      <c r="J70" s="247" t="s">
        <v>174</v>
      </c>
      <c r="K70" s="247">
        <v>20</v>
      </c>
      <c r="L70" s="245"/>
      <c r="M70" s="245">
        <f>L$59-K70</f>
        <v>6</v>
      </c>
      <c r="O70" s="5"/>
      <c r="P70" s="5"/>
    </row>
    <row r="71" spans="3:16">
      <c r="D71" s="993" t="s">
        <v>278</v>
      </c>
      <c r="E71" s="993"/>
      <c r="F71" s="993"/>
      <c r="G71" s="993"/>
      <c r="H71" s="993"/>
      <c r="I71" s="993"/>
      <c r="J71" s="993"/>
      <c r="K71" s="993"/>
      <c r="L71" s="993"/>
      <c r="M71" s="249">
        <f>M55*L62</f>
        <v>337.90963334943524</v>
      </c>
      <c r="O71" s="5"/>
      <c r="P71" s="5"/>
    </row>
    <row r="72" spans="3:16" ht="18.75">
      <c r="D72" s="987" t="s">
        <v>279</v>
      </c>
      <c r="E72" s="987"/>
      <c r="F72" s="987"/>
      <c r="G72" s="987"/>
      <c r="H72" s="987"/>
      <c r="I72" s="987"/>
      <c r="J72" s="987"/>
      <c r="K72" s="987"/>
      <c r="L72" s="987"/>
      <c r="M72" s="271" t="e">
        <f>M63+M71</f>
        <v>#REF!</v>
      </c>
      <c r="O72" s="5"/>
      <c r="P72" s="5"/>
    </row>
    <row r="73" spans="3:16">
      <c r="C73" s="5"/>
      <c r="D73" s="284"/>
      <c r="E73" s="678"/>
      <c r="F73" s="679"/>
      <c r="G73" s="679"/>
      <c r="H73" s="679"/>
      <c r="I73" s="680"/>
      <c r="J73" s="680"/>
      <c r="K73" s="680"/>
      <c r="L73" s="676"/>
      <c r="M73" s="233"/>
      <c r="O73" s="5"/>
      <c r="P73" s="5"/>
    </row>
    <row r="74" spans="3:16">
      <c r="C74" s="5"/>
      <c r="D74" s="284"/>
      <c r="E74" s="681"/>
      <c r="F74" s="682"/>
      <c r="G74" s="683"/>
      <c r="H74" s="683"/>
      <c r="I74" s="683"/>
      <c r="J74" s="684"/>
      <c r="K74" s="684"/>
      <c r="L74" s="676"/>
      <c r="M74" s="233"/>
      <c r="O74" s="5"/>
      <c r="P74" s="233"/>
    </row>
    <row r="75" spans="3:16">
      <c r="C75" s="5"/>
      <c r="D75" s="284"/>
      <c r="E75" s="675"/>
      <c r="F75" s="675"/>
      <c r="G75" s="675"/>
      <c r="H75" s="675"/>
      <c r="I75" s="675"/>
      <c r="J75" s="675"/>
      <c r="K75" s="676"/>
      <c r="L75" s="680"/>
      <c r="M75" s="233"/>
      <c r="O75" s="5"/>
      <c r="P75" s="5"/>
    </row>
    <row r="76" spans="3:16">
      <c r="C76" s="5"/>
      <c r="D76" s="284"/>
      <c r="E76" s="685"/>
      <c r="F76" s="685"/>
      <c r="G76" s="685"/>
      <c r="H76" s="685"/>
      <c r="I76" s="685"/>
      <c r="J76" s="685"/>
      <c r="K76" s="676"/>
      <c r="L76" s="684"/>
      <c r="M76" s="233"/>
      <c r="N76" s="320"/>
      <c r="O76" s="5"/>
      <c r="P76" s="5"/>
    </row>
    <row r="77" spans="3:16">
      <c r="C77" s="5"/>
      <c r="D77" s="284"/>
      <c r="E77" s="675"/>
      <c r="F77" s="675"/>
      <c r="G77" s="675"/>
      <c r="H77" s="675"/>
      <c r="I77" s="675"/>
      <c r="J77" s="675"/>
      <c r="K77" s="676"/>
      <c r="L77" s="676"/>
      <c r="M77" s="233"/>
      <c r="N77" s="320"/>
      <c r="O77" s="5"/>
      <c r="P77" s="5"/>
    </row>
    <row r="78" spans="3:16">
      <c r="C78" s="5"/>
      <c r="D78" s="284"/>
      <c r="E78" s="686"/>
      <c r="F78" s="686"/>
      <c r="G78" s="686"/>
      <c r="H78" s="686"/>
      <c r="I78" s="686"/>
      <c r="J78" s="686"/>
      <c r="K78" s="686"/>
      <c r="L78" s="676"/>
      <c r="M78" s="233"/>
      <c r="N78" s="320"/>
      <c r="O78" s="5"/>
      <c r="P78" s="5"/>
    </row>
    <row r="79" spans="3:16">
      <c r="C79" s="5"/>
      <c r="D79" s="284"/>
      <c r="E79" s="235"/>
      <c r="F79" s="235"/>
      <c r="G79" s="235"/>
      <c r="H79" s="235"/>
      <c r="I79" s="235"/>
      <c r="J79" s="235"/>
      <c r="K79" s="235"/>
      <c r="L79" s="676"/>
      <c r="M79" s="233"/>
      <c r="N79" s="320"/>
      <c r="O79" s="5"/>
      <c r="P79" s="5"/>
    </row>
    <row r="80" spans="3:16">
      <c r="C80" s="5"/>
      <c r="D80" s="284"/>
      <c r="E80" s="348"/>
      <c r="F80" s="348"/>
      <c r="G80" s="348"/>
      <c r="H80" s="348"/>
      <c r="I80" s="348"/>
      <c r="J80" s="348"/>
      <c r="K80" s="241"/>
      <c r="L80" s="686"/>
      <c r="M80" s="233"/>
      <c r="N80" s="320"/>
      <c r="O80" s="5"/>
      <c r="P80" s="5"/>
    </row>
    <row r="81" spans="3:16">
      <c r="C81" s="5"/>
      <c r="D81" s="284"/>
      <c r="E81" s="635"/>
      <c r="F81" s="635"/>
      <c r="G81" s="635"/>
      <c r="H81" s="635"/>
      <c r="I81" s="635"/>
      <c r="J81" s="635"/>
      <c r="K81" s="669"/>
      <c r="L81" s="235"/>
      <c r="M81" s="233"/>
      <c r="N81" s="668"/>
      <c r="O81" s="5"/>
      <c r="P81" s="5"/>
    </row>
    <row r="82" spans="3:16">
      <c r="C82" s="5"/>
      <c r="D82" s="5"/>
      <c r="E82" s="670"/>
      <c r="F82" s="670"/>
      <c r="G82" s="670"/>
      <c r="H82" s="670"/>
      <c r="I82" s="670"/>
      <c r="J82" s="670"/>
      <c r="K82" s="669"/>
      <c r="L82" s="241"/>
      <c r="M82" s="233"/>
      <c r="N82" s="673"/>
      <c r="O82" s="5"/>
      <c r="P82" s="5"/>
    </row>
    <row r="83" spans="3:16" ht="18" customHeight="1">
      <c r="C83" s="5"/>
      <c r="D83" s="5"/>
      <c r="E83" s="635"/>
      <c r="F83" s="635"/>
      <c r="G83" s="635"/>
      <c r="H83" s="635"/>
      <c r="I83" s="635"/>
      <c r="J83" s="635"/>
      <c r="K83" s="669"/>
      <c r="L83" s="669"/>
      <c r="M83" s="233"/>
      <c r="N83" s="673"/>
      <c r="O83" s="5"/>
      <c r="P83" s="5"/>
    </row>
    <row r="84" spans="3:16">
      <c r="C84" s="5"/>
      <c r="D84" s="233"/>
      <c r="E84" s="670"/>
      <c r="F84" s="670"/>
      <c r="G84" s="670"/>
      <c r="H84" s="670"/>
      <c r="I84" s="670"/>
      <c r="J84" s="670"/>
      <c r="K84" s="669"/>
      <c r="L84" s="669"/>
      <c r="M84" s="233"/>
      <c r="N84" s="673"/>
      <c r="O84" s="5"/>
      <c r="P84" s="584"/>
    </row>
    <row r="85" spans="3:16">
      <c r="C85" s="5"/>
      <c r="D85" s="233"/>
      <c r="E85" s="5"/>
      <c r="F85" s="5"/>
      <c r="G85" s="5"/>
      <c r="H85" s="5"/>
      <c r="I85" s="5"/>
      <c r="J85" s="5"/>
      <c r="K85" s="5"/>
      <c r="L85" s="669"/>
      <c r="M85" s="233"/>
      <c r="N85" s="673"/>
      <c r="O85" s="5"/>
      <c r="P85" s="40"/>
    </row>
    <row r="86" spans="3:16">
      <c r="C86" s="5"/>
      <c r="D86" s="233"/>
      <c r="E86" s="5"/>
      <c r="F86" s="5"/>
      <c r="G86" s="5"/>
      <c r="H86" s="5"/>
      <c r="I86" s="5"/>
      <c r="J86" s="5"/>
      <c r="K86" s="5"/>
      <c r="L86" s="669"/>
      <c r="M86" s="233"/>
      <c r="N86" s="677"/>
      <c r="O86" s="321"/>
      <c r="P86" s="5"/>
    </row>
    <row r="87" spans="3:16">
      <c r="C87" s="5"/>
      <c r="D87" s="233"/>
      <c r="E87" s="5"/>
      <c r="F87" s="5"/>
      <c r="G87" s="5"/>
      <c r="H87" s="5"/>
      <c r="I87" s="5"/>
      <c r="J87" s="5"/>
      <c r="K87" s="5"/>
      <c r="L87" s="5"/>
      <c r="M87" s="233"/>
      <c r="N87" s="687"/>
      <c r="O87" s="321"/>
      <c r="P87" s="5"/>
    </row>
    <row r="88" spans="3:16" ht="18" customHeight="1">
      <c r="C88" s="5"/>
      <c r="D88" s="233"/>
      <c r="E88" s="5"/>
      <c r="F88" s="5"/>
      <c r="G88" s="5"/>
      <c r="H88" s="5"/>
      <c r="I88" s="5"/>
      <c r="J88" s="5"/>
      <c r="K88" s="5"/>
      <c r="L88" s="5"/>
      <c r="M88" s="233"/>
      <c r="N88" s="687"/>
      <c r="O88" s="321"/>
      <c r="P88" s="5"/>
    </row>
    <row r="89" spans="3:16">
      <c r="C89" s="5"/>
      <c r="D89" s="5"/>
      <c r="E89" s="5"/>
      <c r="F89" s="5"/>
      <c r="G89" s="5"/>
      <c r="H89" s="5"/>
      <c r="I89" s="5"/>
      <c r="J89" s="5"/>
      <c r="K89" s="5"/>
      <c r="L89" s="5"/>
      <c r="M89" s="233"/>
      <c r="N89" s="687"/>
      <c r="O89" s="321"/>
      <c r="P89" s="5"/>
    </row>
    <row r="90" spans="3:16">
      <c r="C90" s="5"/>
      <c r="D90" s="5"/>
      <c r="E90" s="5"/>
      <c r="F90" s="5"/>
      <c r="G90" s="5"/>
      <c r="H90" s="5"/>
      <c r="I90" s="5"/>
      <c r="J90" s="5"/>
      <c r="K90" s="5"/>
      <c r="L90" s="5"/>
      <c r="M90" s="233"/>
      <c r="N90" s="687"/>
      <c r="O90" s="321"/>
      <c r="P90" s="5"/>
    </row>
    <row r="91" spans="3:16">
      <c r="C91" s="5"/>
      <c r="D91" s="5"/>
      <c r="E91" s="5"/>
      <c r="F91" s="5"/>
      <c r="G91" s="5"/>
      <c r="H91" s="5"/>
      <c r="I91" s="5"/>
      <c r="J91" s="5"/>
      <c r="K91" s="5"/>
      <c r="L91" s="5"/>
      <c r="M91" s="233"/>
      <c r="N91" s="687"/>
      <c r="O91" s="321"/>
      <c r="P91" s="5"/>
    </row>
    <row r="92" spans="3:16" ht="18" customHeight="1">
      <c r="C92" s="5"/>
      <c r="D92" s="5"/>
      <c r="E92" s="5"/>
      <c r="F92" s="5"/>
      <c r="G92" s="5"/>
      <c r="H92" s="5"/>
      <c r="I92" s="5"/>
      <c r="J92" s="5"/>
      <c r="K92" s="5"/>
      <c r="L92" s="5"/>
      <c r="M92" s="233"/>
      <c r="N92" s="688"/>
      <c r="O92" s="5"/>
      <c r="P92" s="5"/>
    </row>
    <row r="93" spans="3:16">
      <c r="C93" s="5"/>
      <c r="D93" s="5"/>
      <c r="E93" s="5"/>
      <c r="F93" s="5"/>
      <c r="G93" s="5"/>
      <c r="H93" s="5"/>
      <c r="I93" s="5"/>
      <c r="J93" s="5"/>
      <c r="K93" s="5"/>
      <c r="L93" s="5"/>
      <c r="M93" s="233"/>
      <c r="N93" s="674"/>
      <c r="O93" s="5"/>
      <c r="P93" s="5"/>
    </row>
    <row r="94" spans="3:16">
      <c r="C94" s="5"/>
      <c r="D94" s="5"/>
      <c r="E94" s="5"/>
      <c r="F94" s="5"/>
      <c r="G94" s="5"/>
      <c r="H94" s="5"/>
      <c r="I94" s="5"/>
      <c r="J94" s="5"/>
      <c r="K94" s="5"/>
      <c r="L94" s="5"/>
      <c r="M94" s="233"/>
      <c r="N94" s="673"/>
      <c r="O94" s="5"/>
      <c r="P94" s="5"/>
    </row>
    <row r="95" spans="3:16">
      <c r="C95" s="5"/>
      <c r="D95" s="5"/>
      <c r="E95" s="5"/>
      <c r="F95" s="5"/>
      <c r="G95" s="5"/>
      <c r="H95" s="5"/>
      <c r="I95" s="5"/>
      <c r="J95" s="5"/>
      <c r="K95" s="5"/>
      <c r="L95" s="5"/>
      <c r="M95" s="233"/>
      <c r="N95" s="673"/>
      <c r="O95" s="5"/>
      <c r="P95" s="5"/>
    </row>
    <row r="96" spans="3:16">
      <c r="C96" s="5"/>
      <c r="D96" s="5"/>
      <c r="E96" s="5"/>
      <c r="F96" s="5"/>
      <c r="G96" s="5"/>
      <c r="H96" s="5"/>
      <c r="I96" s="5"/>
      <c r="J96" s="5"/>
      <c r="K96" s="5"/>
      <c r="L96" s="5"/>
      <c r="M96" s="233"/>
      <c r="N96" s="673"/>
      <c r="O96" s="5"/>
      <c r="P96" s="5"/>
    </row>
    <row r="97" spans="3:16">
      <c r="C97" s="5"/>
      <c r="D97" s="5"/>
      <c r="E97" s="5"/>
      <c r="F97" s="5"/>
      <c r="G97" s="5"/>
      <c r="H97" s="5"/>
      <c r="I97" s="5"/>
      <c r="J97" s="5"/>
      <c r="K97" s="5"/>
      <c r="L97" s="5"/>
      <c r="M97" s="233"/>
      <c r="N97" s="673"/>
      <c r="O97" s="5"/>
      <c r="P97" s="5"/>
    </row>
    <row r="98" spans="3:16">
      <c r="C98" s="5"/>
      <c r="D98" s="5"/>
      <c r="E98" s="5"/>
      <c r="F98" s="5"/>
      <c r="G98" s="5"/>
      <c r="H98" s="5"/>
      <c r="I98" s="5"/>
      <c r="J98" s="5"/>
      <c r="K98" s="5"/>
      <c r="L98" s="5"/>
      <c r="M98" s="233"/>
      <c r="N98" s="688"/>
      <c r="O98" s="6"/>
      <c r="P98" s="5"/>
    </row>
    <row r="99" spans="3:16">
      <c r="C99" s="5"/>
      <c r="D99" s="5"/>
      <c r="E99" s="5"/>
      <c r="F99" s="5"/>
      <c r="G99" s="5"/>
      <c r="H99" s="5"/>
      <c r="I99" s="5"/>
      <c r="J99" s="5"/>
      <c r="K99" s="5"/>
      <c r="L99" s="5"/>
      <c r="M99" s="233"/>
      <c r="N99" s="235"/>
      <c r="O99" s="5"/>
      <c r="P99" s="5"/>
    </row>
    <row r="100" spans="3:16">
      <c r="C100" s="5"/>
      <c r="D100" s="5"/>
      <c r="E100" s="5"/>
      <c r="F100" s="5"/>
      <c r="G100" s="5"/>
      <c r="H100" s="5"/>
      <c r="I100" s="5"/>
      <c r="J100" s="5"/>
      <c r="K100" s="5"/>
      <c r="L100" s="5"/>
      <c r="M100" s="233"/>
      <c r="N100" s="235"/>
      <c r="O100" s="5"/>
      <c r="P100" s="5"/>
    </row>
    <row r="101" spans="3:16">
      <c r="C101" s="5"/>
      <c r="D101" s="5"/>
      <c r="E101" s="5"/>
      <c r="F101" s="5"/>
      <c r="G101" s="5"/>
      <c r="H101" s="5"/>
      <c r="I101" s="5"/>
      <c r="J101" s="5"/>
      <c r="K101" s="5"/>
      <c r="L101" s="5"/>
      <c r="M101" s="233"/>
      <c r="N101" s="669"/>
      <c r="O101" s="5"/>
      <c r="P101" s="5"/>
    </row>
    <row r="102" spans="3:16">
      <c r="C102" s="5"/>
      <c r="D102" s="5"/>
      <c r="E102" s="5"/>
      <c r="F102" s="5"/>
      <c r="G102" s="5"/>
      <c r="H102" s="5"/>
      <c r="I102" s="5"/>
      <c r="J102" s="5"/>
      <c r="K102" s="5"/>
      <c r="L102" s="5"/>
      <c r="M102" s="233"/>
      <c r="N102" s="669"/>
      <c r="O102" s="5"/>
      <c r="P102" s="5"/>
    </row>
    <row r="103" spans="3:16">
      <c r="M103" s="3"/>
      <c r="N103" s="669"/>
      <c r="O103" s="5"/>
      <c r="P103" s="5"/>
    </row>
    <row r="104" spans="3:16">
      <c r="M104" s="3"/>
      <c r="N104" s="669"/>
      <c r="O104" s="5"/>
      <c r="P104" s="5"/>
    </row>
    <row r="105" spans="3:16">
      <c r="M105" s="5"/>
      <c r="N105" s="5"/>
      <c r="O105" s="5"/>
      <c r="P105" s="5"/>
    </row>
    <row r="106" spans="3:16">
      <c r="M106" s="5"/>
      <c r="N106" s="5"/>
      <c r="O106" s="5"/>
      <c r="P106" s="5"/>
    </row>
    <row r="107" spans="3:16">
      <c r="M107" s="5"/>
      <c r="N107" s="5"/>
      <c r="O107" s="5"/>
      <c r="P107" s="5"/>
    </row>
    <row r="108" spans="3:16">
      <c r="M108" s="5"/>
      <c r="N108" s="5"/>
      <c r="O108" s="5"/>
      <c r="P108" s="5"/>
    </row>
    <row r="109" spans="3:16">
      <c r="M109" s="5"/>
    </row>
    <row r="110" spans="3:16">
      <c r="M110" s="3"/>
    </row>
    <row r="111" spans="3:16">
      <c r="M111" s="3"/>
    </row>
    <row r="112" spans="3:16">
      <c r="M112" s="3"/>
    </row>
    <row r="113" spans="13:13">
      <c r="M113" s="3"/>
    </row>
    <row r="114" spans="13:13">
      <c r="M114" s="3"/>
    </row>
    <row r="115" spans="13:13">
      <c r="M115" s="3"/>
    </row>
    <row r="116" spans="13:13">
      <c r="M116" s="3"/>
    </row>
    <row r="117" spans="13:13">
      <c r="M117" s="3"/>
    </row>
    <row r="118" spans="13:13">
      <c r="M118" s="3"/>
    </row>
    <row r="119" spans="13:13">
      <c r="M119" s="3"/>
    </row>
    <row r="120" spans="13:13">
      <c r="M120" s="3"/>
    </row>
    <row r="121" spans="13:13">
      <c r="M121" s="3"/>
    </row>
    <row r="122" spans="13:13">
      <c r="M122" s="3"/>
    </row>
    <row r="123" spans="13:13">
      <c r="M123" s="3"/>
    </row>
    <row r="124" spans="13:13">
      <c r="M124" s="3"/>
    </row>
    <row r="125" spans="13:13">
      <c r="M125" s="3"/>
    </row>
    <row r="126" spans="13:13">
      <c r="M126" s="3"/>
    </row>
    <row r="127" spans="13:13">
      <c r="M127" s="3"/>
    </row>
    <row r="128" spans="13:13">
      <c r="M128" s="3"/>
    </row>
    <row r="129" spans="13:13">
      <c r="M129" s="3"/>
    </row>
    <row r="130" spans="13:13">
      <c r="M130" s="3"/>
    </row>
    <row r="131" spans="13:13">
      <c r="M131" s="3"/>
    </row>
    <row r="132" spans="13:13">
      <c r="M132" s="3"/>
    </row>
    <row r="133" spans="13:13">
      <c r="M133" s="3"/>
    </row>
    <row r="134" spans="13:13">
      <c r="M134" s="3"/>
    </row>
    <row r="135" spans="13:13">
      <c r="M135" s="3"/>
    </row>
    <row r="136" spans="13:13">
      <c r="M136" s="3"/>
    </row>
    <row r="137" spans="13:13">
      <c r="M137" s="3"/>
    </row>
    <row r="138" spans="13:13">
      <c r="M138" s="3"/>
    </row>
    <row r="139" spans="13:13">
      <c r="M139" s="3"/>
    </row>
    <row r="140" spans="13:13">
      <c r="M140" s="3"/>
    </row>
    <row r="141" spans="13:13">
      <c r="M141" s="3"/>
    </row>
    <row r="142" spans="13:13">
      <c r="M142" s="3"/>
    </row>
    <row r="143" spans="13:13">
      <c r="M143" s="3"/>
    </row>
    <row r="144" spans="13:13">
      <c r="M144" s="3"/>
    </row>
    <row r="145" spans="13:13">
      <c r="M145" s="3"/>
    </row>
    <row r="146" spans="13:13">
      <c r="M146" s="3"/>
    </row>
    <row r="147" spans="13:13">
      <c r="M147" s="3"/>
    </row>
    <row r="148" spans="13:13">
      <c r="M148" s="3"/>
    </row>
    <row r="149" spans="13:13">
      <c r="M149" s="3"/>
    </row>
    <row r="150" spans="13:13">
      <c r="M150" s="3"/>
    </row>
    <row r="151" spans="13:13">
      <c r="M151" s="3"/>
    </row>
    <row r="152" spans="13:13">
      <c r="M152" s="3"/>
    </row>
    <row r="153" spans="13:13">
      <c r="M153" s="3"/>
    </row>
    <row r="154" spans="13:13">
      <c r="M154" s="3"/>
    </row>
    <row r="155" spans="13:13">
      <c r="M155" s="3"/>
    </row>
    <row r="156" spans="13:13">
      <c r="M156" s="3"/>
    </row>
    <row r="157" spans="13:13">
      <c r="M157" s="3"/>
    </row>
    <row r="158" spans="13:13">
      <c r="M158" s="3"/>
    </row>
    <row r="159" spans="13:13">
      <c r="M159" s="3"/>
    </row>
    <row r="160" spans="13:13">
      <c r="M160" s="3"/>
    </row>
    <row r="161" spans="13:13">
      <c r="M161" s="5"/>
    </row>
    <row r="162" spans="13:13">
      <c r="M162" s="5"/>
    </row>
    <row r="163" spans="13:13">
      <c r="M163" s="5"/>
    </row>
    <row r="164" spans="13:13">
      <c r="M164" s="5"/>
    </row>
    <row r="165" spans="13:13">
      <c r="M165" s="5"/>
    </row>
    <row r="166" spans="13:13">
      <c r="M166" s="3"/>
    </row>
    <row r="167" spans="13:13">
      <c r="M167" s="3"/>
    </row>
    <row r="168" spans="13:13">
      <c r="M168" s="3"/>
    </row>
    <row r="169" spans="13:13">
      <c r="M169" s="3"/>
    </row>
    <row r="170" spans="13:13">
      <c r="M170" s="3"/>
    </row>
    <row r="171" spans="13:13">
      <c r="M171" s="3"/>
    </row>
    <row r="172" spans="13:13">
      <c r="M172" s="3"/>
    </row>
    <row r="173" spans="13:13">
      <c r="M173" s="3"/>
    </row>
    <row r="174" spans="13:13">
      <c r="M174" s="3"/>
    </row>
    <row r="175" spans="13:13">
      <c r="M175" s="3"/>
    </row>
    <row r="176" spans="13:13">
      <c r="M176" s="3"/>
    </row>
    <row r="177" spans="13:13">
      <c r="M177" s="3"/>
    </row>
    <row r="178" spans="13:13">
      <c r="M178" s="3"/>
    </row>
    <row r="179" spans="13:13">
      <c r="M179" s="3"/>
    </row>
    <row r="180" spans="13:13">
      <c r="M180" s="3"/>
    </row>
    <row r="181" spans="13:13">
      <c r="M181" s="3"/>
    </row>
    <row r="182" spans="13:13">
      <c r="M182" s="3"/>
    </row>
    <row r="183" spans="13:13">
      <c r="M183" s="3"/>
    </row>
    <row r="184" spans="13:13">
      <c r="M184" s="3"/>
    </row>
    <row r="185" spans="13:13">
      <c r="M185" s="3"/>
    </row>
    <row r="186" spans="13:13">
      <c r="M186" s="3"/>
    </row>
    <row r="187" spans="13:13">
      <c r="M187" s="3"/>
    </row>
    <row r="188" spans="13:13">
      <c r="M188" s="3"/>
    </row>
    <row r="189" spans="13:13">
      <c r="M189" s="3"/>
    </row>
    <row r="190" spans="13:13">
      <c r="M190" s="3"/>
    </row>
    <row r="191" spans="13:13">
      <c r="M191" s="3"/>
    </row>
    <row r="192" spans="13:13">
      <c r="M192" s="3"/>
    </row>
    <row r="193" spans="13:13">
      <c r="M193" s="3"/>
    </row>
    <row r="194" spans="13:13">
      <c r="M194" s="3"/>
    </row>
    <row r="195" spans="13:13">
      <c r="M195" s="3"/>
    </row>
    <row r="196" spans="13:13">
      <c r="M196" s="3"/>
    </row>
    <row r="197" spans="13:13">
      <c r="M197" s="3"/>
    </row>
    <row r="198" spans="13:13">
      <c r="M198" s="3"/>
    </row>
    <row r="199" spans="13:13">
      <c r="M199" s="3"/>
    </row>
    <row r="200" spans="13:13">
      <c r="M200" s="3"/>
    </row>
    <row r="201" spans="13:13">
      <c r="M201" s="3"/>
    </row>
    <row r="202" spans="13:13">
      <c r="M202" s="3"/>
    </row>
    <row r="203" spans="13:13">
      <c r="M203" s="3"/>
    </row>
    <row r="204" spans="13:13">
      <c r="M204" s="3"/>
    </row>
    <row r="205" spans="13:13">
      <c r="M205" s="3"/>
    </row>
    <row r="206" spans="13:13">
      <c r="M206" s="3"/>
    </row>
    <row r="207" spans="13:13">
      <c r="M207" s="3"/>
    </row>
    <row r="208" spans="13:13">
      <c r="M208" s="3"/>
    </row>
    <row r="209" spans="13:13">
      <c r="M209" s="3"/>
    </row>
    <row r="210" spans="13:13">
      <c r="M210" s="3"/>
    </row>
    <row r="211" spans="13:13">
      <c r="M211" s="3"/>
    </row>
    <row r="212" spans="13:13">
      <c r="M212" s="3"/>
    </row>
    <row r="213" spans="13:13">
      <c r="M213" s="3"/>
    </row>
    <row r="214" spans="13:13">
      <c r="M214" s="3"/>
    </row>
    <row r="215" spans="13:13">
      <c r="M215" s="3"/>
    </row>
    <row r="216" spans="13:13">
      <c r="M216" s="3"/>
    </row>
    <row r="217" spans="13:13">
      <c r="M217" s="5"/>
    </row>
    <row r="218" spans="13:13">
      <c r="M218" s="5"/>
    </row>
    <row r="219" spans="13:13">
      <c r="M219" s="5"/>
    </row>
    <row r="220" spans="13:13">
      <c r="M220" s="5"/>
    </row>
    <row r="221" spans="13:13">
      <c r="M221" s="5"/>
    </row>
    <row r="222" spans="13:13">
      <c r="M222" s="3"/>
    </row>
    <row r="223" spans="13:13">
      <c r="M223" s="3"/>
    </row>
    <row r="224" spans="13:13">
      <c r="M224" s="3"/>
    </row>
    <row r="225" spans="13:13">
      <c r="M225" s="3"/>
    </row>
    <row r="226" spans="13:13">
      <c r="M226" s="3"/>
    </row>
    <row r="227" spans="13:13">
      <c r="M227" s="3"/>
    </row>
    <row r="228" spans="13:13">
      <c r="M228" s="3"/>
    </row>
    <row r="229" spans="13:13">
      <c r="M229" s="3"/>
    </row>
    <row r="230" spans="13:13">
      <c r="M230" s="3"/>
    </row>
    <row r="231" spans="13:13">
      <c r="M231" s="3"/>
    </row>
    <row r="232" spans="13:13">
      <c r="M232" s="3"/>
    </row>
    <row r="233" spans="13:13">
      <c r="M233" s="3"/>
    </row>
    <row r="234" spans="13:13">
      <c r="M234" s="3"/>
    </row>
    <row r="235" spans="13:13">
      <c r="M235" s="3"/>
    </row>
    <row r="236" spans="13:13">
      <c r="M236" s="3"/>
    </row>
    <row r="237" spans="13:13">
      <c r="M237" s="3"/>
    </row>
    <row r="238" spans="13:13">
      <c r="M238" s="3"/>
    </row>
    <row r="239" spans="13:13">
      <c r="M239" s="3"/>
    </row>
    <row r="240" spans="13:13">
      <c r="M240" s="3"/>
    </row>
    <row r="241" spans="13:13">
      <c r="M241" s="3"/>
    </row>
    <row r="242" spans="13:13">
      <c r="M242" s="3"/>
    </row>
    <row r="243" spans="13:13">
      <c r="M243" s="3"/>
    </row>
    <row r="244" spans="13:13">
      <c r="M244" s="3"/>
    </row>
    <row r="245" spans="13:13">
      <c r="M245" s="3"/>
    </row>
    <row r="246" spans="13:13">
      <c r="M246" s="3"/>
    </row>
    <row r="247" spans="13:13">
      <c r="M247" s="3"/>
    </row>
    <row r="248" spans="13:13">
      <c r="M248" s="3"/>
    </row>
    <row r="249" spans="13:13">
      <c r="M249" s="3"/>
    </row>
    <row r="250" spans="13:13">
      <c r="M250" s="3"/>
    </row>
    <row r="251" spans="13:13">
      <c r="M251" s="3"/>
    </row>
    <row r="252" spans="13:13">
      <c r="M252" s="3"/>
    </row>
    <row r="253" spans="13:13">
      <c r="M253" s="3"/>
    </row>
    <row r="254" spans="13:13">
      <c r="M254" s="3"/>
    </row>
    <row r="255" spans="13:13">
      <c r="M255" s="3"/>
    </row>
    <row r="256" spans="13:13">
      <c r="M256" s="3"/>
    </row>
    <row r="257" spans="13:13">
      <c r="M257" s="3"/>
    </row>
    <row r="258" spans="13:13">
      <c r="M258" s="3"/>
    </row>
    <row r="259" spans="13:13">
      <c r="M259" s="3"/>
    </row>
    <row r="260" spans="13:13">
      <c r="M260" s="3"/>
    </row>
    <row r="261" spans="13:13">
      <c r="M261" s="3"/>
    </row>
    <row r="262" spans="13:13">
      <c r="M262" s="3"/>
    </row>
    <row r="263" spans="13:13">
      <c r="M263" s="3"/>
    </row>
    <row r="264" spans="13:13">
      <c r="M264" s="3"/>
    </row>
    <row r="265" spans="13:13">
      <c r="M265" s="3"/>
    </row>
    <row r="266" spans="13:13">
      <c r="M266" s="3"/>
    </row>
    <row r="267" spans="13:13">
      <c r="M267" s="3"/>
    </row>
    <row r="268" spans="13:13">
      <c r="M268" s="3"/>
    </row>
    <row r="269" spans="13:13">
      <c r="M269" s="3"/>
    </row>
    <row r="270" spans="13:13">
      <c r="M270" s="3"/>
    </row>
    <row r="271" spans="13:13">
      <c r="M271" s="3"/>
    </row>
    <row r="272" spans="13:13">
      <c r="M272" s="3"/>
    </row>
    <row r="273" spans="13:13">
      <c r="M273" s="5"/>
    </row>
    <row r="274" spans="13:13">
      <c r="M274" s="5"/>
    </row>
    <row r="275" spans="13:13">
      <c r="M275" s="5"/>
    </row>
    <row r="276" spans="13:13">
      <c r="M276" s="5"/>
    </row>
    <row r="277" spans="13:13">
      <c r="M277" s="5"/>
    </row>
  </sheetData>
  <mergeCells count="57">
    <mergeCell ref="D71:L71"/>
    <mergeCell ref="D72:L72"/>
    <mergeCell ref="D58:I58"/>
    <mergeCell ref="D59:I59"/>
    <mergeCell ref="D62:I62"/>
    <mergeCell ref="D63:L63"/>
    <mergeCell ref="D64:M64"/>
    <mergeCell ref="D67:I67"/>
    <mergeCell ref="D68:I68"/>
    <mergeCell ref="D69:I69"/>
    <mergeCell ref="D70:I70"/>
    <mergeCell ref="C21:H21"/>
    <mergeCell ref="D44:D45"/>
    <mergeCell ref="E44:H45"/>
    <mergeCell ref="E46:H46"/>
    <mergeCell ref="N46:N58"/>
    <mergeCell ref="E47:H47"/>
    <mergeCell ref="E48:H48"/>
    <mergeCell ref="E49:H49"/>
    <mergeCell ref="E50:H50"/>
    <mergeCell ref="E51:H51"/>
    <mergeCell ref="E52:H52"/>
    <mergeCell ref="E53:H53"/>
    <mergeCell ref="E54:H54"/>
    <mergeCell ref="I56:K56"/>
    <mergeCell ref="C13:K13"/>
    <mergeCell ref="B29:B35"/>
    <mergeCell ref="L1:L2"/>
    <mergeCell ref="C1:K1"/>
    <mergeCell ref="C32:H32"/>
    <mergeCell ref="C30:H30"/>
    <mergeCell ref="C31:H31"/>
    <mergeCell ref="D7:G7"/>
    <mergeCell ref="G19:K19"/>
    <mergeCell ref="C24:K24"/>
    <mergeCell ref="C14:K14"/>
    <mergeCell ref="C26:H26"/>
    <mergeCell ref="C27:H27"/>
    <mergeCell ref="C28:H28"/>
    <mergeCell ref="C29:H29"/>
    <mergeCell ref="D17:G17"/>
    <mergeCell ref="C3:K3"/>
    <mergeCell ref="C4:C5"/>
    <mergeCell ref="D4:G5"/>
    <mergeCell ref="D65:I65"/>
    <mergeCell ref="D66:I66"/>
    <mergeCell ref="C25:H25"/>
    <mergeCell ref="D9:G9"/>
    <mergeCell ref="D10:G10"/>
    <mergeCell ref="D11:G11"/>
    <mergeCell ref="D6:G6"/>
    <mergeCell ref="D8:G8"/>
    <mergeCell ref="C22:H22"/>
    <mergeCell ref="C23:H23"/>
    <mergeCell ref="C15:C16"/>
    <mergeCell ref="D15:G16"/>
    <mergeCell ref="D12:G12"/>
  </mergeCells>
  <pageMargins left="0.7" right="0.7" top="0.75" bottom="0.75" header="0.3" footer="0.3"/>
  <pageSetup paperSize="9" orientation="portrait"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5B5A7B-5C5C-2E4F-9C3C-47506F00E7E7}">
  <sheetPr codeName="Feuil8"/>
  <dimension ref="A1:BI172"/>
  <sheetViews>
    <sheetView topLeftCell="X1" zoomScale="70" zoomScaleNormal="70" zoomScalePageLayoutView="70" workbookViewId="0">
      <selection activeCell="AL17" sqref="AL17"/>
    </sheetView>
  </sheetViews>
  <sheetFormatPr baseColWidth="10" defaultColWidth="11" defaultRowHeight="15.75"/>
  <cols>
    <col min="1" max="2" width="11" bestFit="1" customWidth="1"/>
    <col min="7" max="11" width="11" bestFit="1" customWidth="1"/>
    <col min="12" max="12" width="11" style="252" bestFit="1"/>
    <col min="13" max="14" width="11" bestFit="1" customWidth="1"/>
    <col min="19" max="23" width="11" bestFit="1" customWidth="1"/>
    <col min="25" max="25" width="12.75" customWidth="1"/>
    <col min="31" max="33" width="11.125" bestFit="1" customWidth="1"/>
    <col min="34" max="34" width="11.625" bestFit="1" customWidth="1"/>
    <col min="35" max="35" width="14.875" bestFit="1" customWidth="1"/>
  </cols>
  <sheetData>
    <row r="1" spans="1:60" ht="16.5" thickBot="1">
      <c r="A1" s="153" t="s">
        <v>377</v>
      </c>
      <c r="B1" s="5"/>
      <c r="C1" s="5"/>
      <c r="D1" s="5"/>
      <c r="E1" s="5"/>
      <c r="F1" s="5"/>
      <c r="G1" s="5"/>
      <c r="H1" s="5"/>
      <c r="I1" s="5"/>
      <c r="J1" s="5"/>
      <c r="K1" s="159"/>
      <c r="L1" s="250"/>
      <c r="M1" s="5"/>
      <c r="N1" s="5"/>
      <c r="O1" s="5"/>
      <c r="P1" s="5"/>
      <c r="Q1" s="5"/>
      <c r="R1" s="5"/>
      <c r="S1" s="5"/>
      <c r="T1" s="5"/>
      <c r="U1" s="5"/>
      <c r="V1" s="5"/>
      <c r="W1" s="5"/>
      <c r="X1" s="5"/>
      <c r="Y1" s="5"/>
      <c r="Z1" s="5"/>
      <c r="AA1" s="5"/>
      <c r="AB1" s="5"/>
      <c r="AC1" s="5"/>
      <c r="AD1" s="5"/>
      <c r="AE1" s="5"/>
      <c r="AF1" s="5"/>
      <c r="AG1" s="5"/>
      <c r="AH1" s="5"/>
      <c r="AI1" s="220"/>
      <c r="AJ1" s="5"/>
      <c r="AK1" s="233"/>
      <c r="AL1" s="5"/>
      <c r="AM1" s="5"/>
      <c r="AN1" s="5"/>
      <c r="AO1" s="5"/>
      <c r="AP1" s="5"/>
      <c r="AQ1" s="5"/>
      <c r="AR1" s="5"/>
      <c r="AS1" s="5"/>
      <c r="AT1" s="5"/>
      <c r="AU1" s="1000"/>
    </row>
    <row r="2" spans="1:60">
      <c r="A2" s="5"/>
      <c r="B2" s="1001" t="s">
        <v>219</v>
      </c>
      <c r="C2" s="1001"/>
      <c r="D2" s="1001"/>
      <c r="E2" s="1001"/>
      <c r="F2" s="1001"/>
      <c r="G2" s="1001"/>
      <c r="H2" s="1001"/>
      <c r="I2" s="1001"/>
      <c r="J2" s="1001"/>
      <c r="K2" s="101"/>
      <c r="L2" s="250"/>
      <c r="M2" s="5"/>
      <c r="N2" s="5"/>
      <c r="O2" s="5"/>
      <c r="P2" s="5"/>
      <c r="Q2" s="5"/>
      <c r="R2" s="5"/>
      <c r="S2" s="5"/>
      <c r="T2" s="5"/>
      <c r="U2" s="5"/>
      <c r="V2" s="5"/>
      <c r="W2" s="5"/>
      <c r="X2" s="5"/>
      <c r="Y2" t="s">
        <v>378</v>
      </c>
      <c r="Z2" s="1001" t="s">
        <v>219</v>
      </c>
      <c r="AA2" s="1001"/>
      <c r="AB2" s="1001"/>
      <c r="AC2" s="1001"/>
      <c r="AD2" s="1001"/>
      <c r="AE2" s="1001"/>
      <c r="AF2" s="1001"/>
      <c r="AG2" s="1001"/>
      <c r="AH2" s="1001"/>
      <c r="AJ2" s="5"/>
      <c r="AK2" s="5"/>
      <c r="AL2" s="444"/>
      <c r="AM2" s="444"/>
      <c r="AN2" s="444"/>
      <c r="AO2" s="444"/>
      <c r="AP2" s="444"/>
      <c r="AQ2" s="444"/>
      <c r="AR2" s="444"/>
      <c r="AS2" s="444"/>
      <c r="AT2" s="444"/>
      <c r="AU2" s="1000"/>
    </row>
    <row r="3" spans="1:60" ht="18">
      <c r="A3" s="5"/>
      <c r="B3" s="994" t="s">
        <v>220</v>
      </c>
      <c r="C3" s="994" t="s">
        <v>221</v>
      </c>
      <c r="D3" s="994"/>
      <c r="E3" s="994"/>
      <c r="F3" s="994"/>
      <c r="G3" s="108" t="s">
        <v>222</v>
      </c>
      <c r="H3" s="108" t="s">
        <v>223</v>
      </c>
      <c r="I3" s="108" t="s">
        <v>224</v>
      </c>
      <c r="J3" s="91" t="s">
        <v>225</v>
      </c>
      <c r="K3" s="489"/>
      <c r="L3" s="250"/>
      <c r="M3" s="5"/>
      <c r="N3" s="5"/>
      <c r="O3" s="5"/>
      <c r="P3" s="5"/>
      <c r="Q3" s="5"/>
      <c r="R3" s="5"/>
      <c r="S3" s="5"/>
      <c r="T3" s="5"/>
      <c r="U3" s="5"/>
      <c r="V3" s="5"/>
      <c r="W3" s="5"/>
      <c r="X3" s="5"/>
      <c r="Y3" s="5" t="s">
        <v>379</v>
      </c>
      <c r="Z3" s="994" t="s">
        <v>220</v>
      </c>
      <c r="AA3" s="221" t="s">
        <v>221</v>
      </c>
      <c r="AB3" s="221"/>
      <c r="AC3" s="221"/>
      <c r="AD3" s="221"/>
      <c r="AE3" s="108" t="s">
        <v>222</v>
      </c>
      <c r="AF3" s="108" t="s">
        <v>223</v>
      </c>
      <c r="AG3" s="108" t="s">
        <v>224</v>
      </c>
      <c r="AH3" s="109" t="s">
        <v>225</v>
      </c>
      <c r="AJ3" s="5"/>
      <c r="AK3" s="5"/>
      <c r="AL3" s="447"/>
      <c r="AM3" s="447"/>
      <c r="AN3" s="447"/>
      <c r="AO3" s="447"/>
      <c r="AP3" s="447"/>
      <c r="AQ3" s="289"/>
      <c r="AR3" s="289"/>
      <c r="AS3" s="289"/>
      <c r="AT3" s="289"/>
      <c r="AU3" s="1000"/>
    </row>
    <row r="4" spans="1:60" ht="18.75">
      <c r="A4" s="5"/>
      <c r="B4" s="994"/>
      <c r="C4" s="994"/>
      <c r="D4" s="994"/>
      <c r="E4" s="994"/>
      <c r="F4" s="994"/>
      <c r="G4" s="2" t="s">
        <v>226</v>
      </c>
      <c r="H4" s="89" t="s">
        <v>227</v>
      </c>
      <c r="I4" s="89" t="s">
        <v>228</v>
      </c>
      <c r="J4" s="92" t="s">
        <v>229</v>
      </c>
      <c r="K4" s="489"/>
      <c r="L4" s="250"/>
      <c r="M4" s="5"/>
      <c r="N4" s="5"/>
      <c r="O4" s="5"/>
      <c r="P4" s="5"/>
      <c r="Q4" s="5"/>
      <c r="R4" s="5"/>
      <c r="S4" s="5"/>
      <c r="T4" s="5"/>
      <c r="U4" s="5"/>
      <c r="V4" s="5"/>
      <c r="W4" s="5"/>
      <c r="X4" s="5"/>
      <c r="Y4" s="5"/>
      <c r="Z4" s="994"/>
      <c r="AA4" s="590"/>
      <c r="AB4" s="590"/>
      <c r="AC4" s="590"/>
      <c r="AD4" s="590"/>
      <c r="AE4" s="2" t="s">
        <v>226</v>
      </c>
      <c r="AF4" s="89" t="s">
        <v>227</v>
      </c>
      <c r="AG4" s="89" t="s">
        <v>228</v>
      </c>
      <c r="AH4" s="92" t="s">
        <v>229</v>
      </c>
      <c r="AI4" s="398"/>
      <c r="AJ4" s="5"/>
      <c r="AK4" s="5"/>
      <c r="AL4" s="447"/>
      <c r="AM4" s="447"/>
      <c r="AN4" s="447"/>
      <c r="AO4" s="447"/>
      <c r="AP4" s="447"/>
      <c r="AQ4" s="233"/>
      <c r="AR4" s="300"/>
      <c r="AS4" s="300"/>
      <c r="AT4" s="300"/>
      <c r="AU4" s="1000"/>
    </row>
    <row r="5" spans="1:60">
      <c r="A5" s="5"/>
      <c r="B5" s="110" t="s">
        <v>295</v>
      </c>
      <c r="C5" s="1153" t="s">
        <v>296</v>
      </c>
      <c r="D5" s="1153"/>
      <c r="E5" s="1153"/>
      <c r="F5" s="1153"/>
      <c r="G5" s="87">
        <f>(4.21*3.94)</f>
        <v>16.587399999999999</v>
      </c>
      <c r="H5" s="87">
        <f>Parois!L13</f>
        <v>0.31196948579298983</v>
      </c>
      <c r="I5" s="87">
        <v>1</v>
      </c>
      <c r="J5" s="93">
        <f>G5*H5*I5</f>
        <v>5.1747626486426395</v>
      </c>
      <c r="K5" s="489"/>
      <c r="L5" s="250"/>
      <c r="M5" s="5"/>
      <c r="N5" s="5"/>
      <c r="O5" s="5"/>
      <c r="P5" s="5"/>
      <c r="Q5" s="5"/>
      <c r="R5" s="5"/>
      <c r="S5" s="5"/>
      <c r="T5" s="5"/>
      <c r="U5" s="5"/>
      <c r="V5" s="5"/>
      <c r="W5" s="5"/>
      <c r="X5" s="5"/>
      <c r="Y5" s="5"/>
      <c r="Z5" s="111" t="s">
        <v>380</v>
      </c>
      <c r="AA5" s="351" t="s">
        <v>381</v>
      </c>
      <c r="AB5" s="351"/>
      <c r="AC5" s="351"/>
      <c r="AD5" s="351"/>
      <c r="AE5" s="206">
        <f>3.31*3.945-AE6</f>
        <v>10.67295</v>
      </c>
      <c r="AF5" s="156">
        <f>Parois!L13</f>
        <v>0.31196948579298983</v>
      </c>
      <c r="AG5" s="87">
        <v>1</v>
      </c>
      <c r="AH5" s="93">
        <f>AE5*AF5*AG5</f>
        <v>3.3296347233942907</v>
      </c>
      <c r="AI5" s="398"/>
      <c r="AJ5" s="5"/>
      <c r="AK5" s="5"/>
      <c r="AL5" s="5"/>
      <c r="AM5" s="5"/>
      <c r="AN5" s="5"/>
      <c r="AO5" s="5"/>
      <c r="AP5" s="5"/>
      <c r="AQ5" s="5"/>
      <c r="AR5" s="5"/>
      <c r="AS5" s="5"/>
      <c r="AT5" s="5"/>
      <c r="AU5" s="1000"/>
    </row>
    <row r="6" spans="1:60">
      <c r="A6" s="5"/>
      <c r="B6" s="87"/>
      <c r="C6" s="1154" t="s">
        <v>382</v>
      </c>
      <c r="D6" s="1154"/>
      <c r="E6" s="1154"/>
      <c r="F6" s="1154"/>
      <c r="G6" s="87">
        <f>SUM(Parois!AB10:AC10)</f>
        <v>3.2850000000000001</v>
      </c>
      <c r="H6" s="87">
        <f>Parois!AG9</f>
        <v>1.405672503174296</v>
      </c>
      <c r="I6" s="87">
        <v>1</v>
      </c>
      <c r="J6" s="93">
        <f>G6*H6*I6</f>
        <v>4.6176341729275627</v>
      </c>
      <c r="K6" s="489"/>
      <c r="L6" s="250"/>
      <c r="M6" s="5"/>
      <c r="N6" s="5"/>
      <c r="O6" s="5"/>
      <c r="P6" s="5"/>
      <c r="Q6" s="5"/>
      <c r="R6" s="5"/>
      <c r="S6" s="5"/>
      <c r="T6" s="5"/>
      <c r="U6" s="5"/>
      <c r="V6" s="5"/>
      <c r="W6" s="5"/>
      <c r="X6" s="5"/>
      <c r="Y6" s="5"/>
      <c r="Z6" s="205" t="s">
        <v>383</v>
      </c>
      <c r="AA6" s="351" t="s">
        <v>384</v>
      </c>
      <c r="AB6" s="351"/>
      <c r="AC6" s="351"/>
      <c r="AD6" s="351"/>
      <c r="AE6">
        <f>Parois!AB8+Parois!AC8</f>
        <v>2.3849999999999998</v>
      </c>
      <c r="AF6" s="208">
        <f>Parois!AG8</f>
        <v>1.4491928567553625</v>
      </c>
      <c r="AG6" s="208">
        <v>1</v>
      </c>
      <c r="AH6" s="93">
        <f>AE6*AF6*AG6</f>
        <v>3.4563249633615394</v>
      </c>
      <c r="AI6" s="398"/>
      <c r="AJ6" s="5"/>
      <c r="AK6" s="5"/>
      <c r="AL6" s="5"/>
      <c r="AM6" s="5"/>
      <c r="AN6" s="5"/>
      <c r="AO6" s="5"/>
      <c r="AP6" s="5"/>
      <c r="AQ6" s="5"/>
      <c r="AR6" s="5"/>
      <c r="AS6" s="5"/>
      <c r="AT6" s="5"/>
      <c r="AU6" s="1000"/>
    </row>
    <row r="7" spans="1:60">
      <c r="A7" s="5"/>
      <c r="B7" s="56"/>
      <c r="C7" s="1154"/>
      <c r="D7" s="1154"/>
      <c r="E7" s="1154"/>
      <c r="F7" s="1154"/>
      <c r="G7" s="56"/>
      <c r="H7" s="56"/>
      <c r="I7" s="56"/>
      <c r="J7" s="93"/>
      <c r="K7" s="489"/>
      <c r="L7" s="250"/>
      <c r="M7" s="5"/>
      <c r="N7" s="5"/>
      <c r="O7" s="5"/>
      <c r="P7" s="5"/>
      <c r="Q7" s="5"/>
      <c r="R7" s="5"/>
      <c r="S7" s="5"/>
      <c r="T7" s="5"/>
      <c r="U7" s="5"/>
      <c r="V7" s="5"/>
      <c r="W7" s="5"/>
      <c r="X7" s="5"/>
      <c r="Y7" s="5"/>
      <c r="Z7" s="1" t="s">
        <v>385</v>
      </c>
      <c r="AA7" s="1" t="s">
        <v>386</v>
      </c>
      <c r="AB7" s="1"/>
      <c r="AC7" s="1"/>
      <c r="AD7" s="1"/>
      <c r="AE7" s="1">
        <f>Parois!AB16+Parois!AC16</f>
        <v>3.762</v>
      </c>
      <c r="AF7" s="1">
        <f>Parois!AG16</f>
        <v>1.5205490810666877</v>
      </c>
      <c r="AG7" s="1">
        <f>1</f>
        <v>1</v>
      </c>
      <c r="AH7">
        <f>AE7*AF7*AG7</f>
        <v>5.7203056429728791</v>
      </c>
      <c r="AI7" s="398"/>
      <c r="AJ7" s="5"/>
      <c r="AK7" s="5"/>
      <c r="AL7" s="5"/>
      <c r="AM7" s="5"/>
      <c r="AN7" s="5"/>
      <c r="AO7" s="5"/>
      <c r="AP7" s="5"/>
      <c r="AQ7" s="5"/>
      <c r="AR7" s="5"/>
      <c r="AS7" s="5"/>
      <c r="AT7" s="289"/>
      <c r="AU7" s="1000"/>
    </row>
    <row r="8" spans="1:60">
      <c r="A8" s="5"/>
      <c r="B8" s="1155"/>
      <c r="C8" s="1155"/>
      <c r="D8" s="1155"/>
      <c r="E8" s="1155"/>
      <c r="F8" s="1155"/>
      <c r="G8" s="1155"/>
      <c r="H8" s="1155"/>
      <c r="I8" s="1155"/>
      <c r="J8" s="105">
        <f>J5+J7+J6</f>
        <v>9.7923968215702022</v>
      </c>
      <c r="K8" s="489"/>
      <c r="L8" s="250"/>
      <c r="M8" s="5"/>
      <c r="N8" s="5"/>
      <c r="O8" s="5"/>
      <c r="P8" s="5"/>
      <c r="Q8" s="5"/>
      <c r="R8" s="5"/>
      <c r="S8" s="5"/>
      <c r="T8" s="5"/>
      <c r="U8" s="5"/>
      <c r="V8" s="5"/>
      <c r="W8" s="5"/>
      <c r="X8" s="5"/>
      <c r="Y8" s="5"/>
      <c r="Z8" s="1" t="s">
        <v>387</v>
      </c>
      <c r="AA8" s="351" t="s">
        <v>386</v>
      </c>
      <c r="AB8" s="1"/>
      <c r="AC8" s="1"/>
      <c r="AD8" s="1"/>
      <c r="AE8" s="1">
        <f>(Parois!AB17+Parois!AC17)*5</f>
        <v>27</v>
      </c>
      <c r="AF8" s="1">
        <f>Parois!AG17</f>
        <v>1.354147856586601</v>
      </c>
      <c r="AG8" s="1">
        <v>1</v>
      </c>
      <c r="AH8">
        <f>AE8*AF8*AG8</f>
        <v>36.561992127838224</v>
      </c>
      <c r="AI8" s="398"/>
      <c r="AJ8" s="5"/>
      <c r="AK8" s="5"/>
      <c r="AL8" s="447"/>
      <c r="AM8" s="447"/>
      <c r="AN8" s="447"/>
      <c r="AO8" s="447"/>
      <c r="AP8" s="447"/>
      <c r="AQ8" s="289"/>
      <c r="AR8" s="289"/>
      <c r="AS8" s="289"/>
      <c r="AT8" s="289"/>
      <c r="AU8" s="1000"/>
    </row>
    <row r="9" spans="1:60" ht="18">
      <c r="A9" s="5"/>
      <c r="B9" s="1008" t="s">
        <v>220</v>
      </c>
      <c r="C9" s="1009" t="s">
        <v>302</v>
      </c>
      <c r="D9" s="1009"/>
      <c r="E9" s="1009"/>
      <c r="F9" s="1009"/>
      <c r="G9" s="114" t="s">
        <v>303</v>
      </c>
      <c r="H9" s="114" t="s">
        <v>304</v>
      </c>
      <c r="I9" s="114" t="s">
        <v>224</v>
      </c>
      <c r="J9" s="90" t="s">
        <v>305</v>
      </c>
      <c r="K9" s="489"/>
      <c r="L9" s="250"/>
      <c r="M9" s="5"/>
      <c r="N9" s="5"/>
      <c r="O9" s="5"/>
      <c r="P9" s="5"/>
      <c r="Q9" s="5"/>
      <c r="R9" s="5"/>
      <c r="S9" s="5"/>
      <c r="T9" s="5"/>
      <c r="U9" s="5"/>
      <c r="V9" s="5"/>
      <c r="W9" s="5"/>
      <c r="X9" s="5"/>
      <c r="Z9" s="1"/>
      <c r="AA9" s="1"/>
      <c r="AB9" s="1"/>
      <c r="AC9" s="1"/>
      <c r="AD9" s="1"/>
      <c r="AE9" s="1"/>
      <c r="AF9" s="1"/>
      <c r="AG9" s="1"/>
      <c r="AH9" s="238">
        <f>AH5+AH6+AH7+AH8</f>
        <v>49.068257457566929</v>
      </c>
      <c r="AI9" s="398"/>
      <c r="AL9" s="447"/>
      <c r="AM9" s="447"/>
      <c r="AN9" s="447"/>
      <c r="AO9" s="447"/>
      <c r="AP9" s="447"/>
      <c r="AQ9" s="5"/>
      <c r="AR9" s="5"/>
      <c r="AS9" s="5"/>
      <c r="AT9" s="5"/>
      <c r="AU9" s="1000"/>
    </row>
    <row r="10" spans="1:60" ht="18.75">
      <c r="A10" s="5"/>
      <c r="B10" s="1008"/>
      <c r="C10" s="1009"/>
      <c r="D10" s="1009"/>
      <c r="E10" s="1009"/>
      <c r="F10" s="1009"/>
      <c r="G10" s="57" t="s">
        <v>307</v>
      </c>
      <c r="H10" s="57" t="s">
        <v>308</v>
      </c>
      <c r="I10" s="57" t="s">
        <v>228</v>
      </c>
      <c r="J10" s="58" t="s">
        <v>229</v>
      </c>
      <c r="K10" s="489"/>
      <c r="L10" s="250"/>
      <c r="M10" s="5"/>
      <c r="N10" s="5"/>
      <c r="O10" s="5"/>
      <c r="P10" s="5"/>
      <c r="Q10" s="5"/>
      <c r="R10" s="5"/>
      <c r="S10" s="5"/>
      <c r="T10" s="5"/>
      <c r="U10" s="5"/>
      <c r="V10" s="5"/>
      <c r="Z10" s="637" t="s">
        <v>282</v>
      </c>
      <c r="AA10" s="496"/>
      <c r="AB10" s="496"/>
      <c r="AC10" s="496"/>
      <c r="AD10" s="496"/>
      <c r="AE10" s="496"/>
      <c r="AF10" s="638"/>
      <c r="AG10" s="502"/>
      <c r="AH10" s="95"/>
      <c r="AI10" s="398"/>
      <c r="AL10" s="5"/>
      <c r="AM10" s="5"/>
      <c r="AN10" s="5"/>
      <c r="AO10" s="5"/>
      <c r="AP10" s="5"/>
      <c r="AQ10" s="5"/>
      <c r="AR10" s="5"/>
      <c r="AS10" s="5"/>
      <c r="AT10" s="5"/>
      <c r="AU10" s="1000"/>
    </row>
    <row r="11" spans="1:60" ht="18">
      <c r="A11" s="5"/>
      <c r="B11" s="57"/>
      <c r="C11" s="1123"/>
      <c r="D11" s="1123"/>
      <c r="E11" s="1123"/>
      <c r="F11" s="1123"/>
      <c r="G11" s="57"/>
      <c r="H11" s="59"/>
      <c r="I11" s="59"/>
      <c r="J11" s="94"/>
      <c r="K11" s="489"/>
      <c r="L11" s="250"/>
      <c r="M11" s="5"/>
      <c r="N11" s="5"/>
      <c r="O11" s="5"/>
      <c r="P11" s="5"/>
      <c r="Q11" s="5"/>
      <c r="R11" s="5"/>
      <c r="S11" s="5"/>
      <c r="T11" s="5"/>
      <c r="U11" s="5"/>
      <c r="V11" s="5"/>
      <c r="Z11" s="1161" t="s">
        <v>244</v>
      </c>
      <c r="AA11" s="1161"/>
      <c r="AB11" s="1161"/>
      <c r="AC11" s="1161"/>
      <c r="AD11" s="1161"/>
      <c r="AE11" s="1161"/>
      <c r="AF11" s="390" t="s">
        <v>245</v>
      </c>
      <c r="AG11" s="390"/>
      <c r="AH11" s="391"/>
      <c r="AI11" s="210"/>
      <c r="AL11" s="46"/>
      <c r="AM11" s="46"/>
      <c r="AN11" s="46"/>
      <c r="AO11" s="46"/>
      <c r="AP11" s="46"/>
      <c r="AQ11" s="46"/>
      <c r="AR11" s="46"/>
      <c r="AS11" s="46"/>
      <c r="AT11" s="289"/>
      <c r="AU11" s="154"/>
    </row>
    <row r="12" spans="1:60" ht="18.75">
      <c r="A12" s="5"/>
      <c r="B12" s="1029" t="s">
        <v>282</v>
      </c>
      <c r="C12" s="1029"/>
      <c r="D12" s="1029"/>
      <c r="E12" s="1029"/>
      <c r="F12" s="1029"/>
      <c r="G12" s="1029"/>
      <c r="H12" s="1029"/>
      <c r="I12" s="1029"/>
      <c r="J12" s="95">
        <f>J11</f>
        <v>0</v>
      </c>
      <c r="K12" s="489"/>
      <c r="L12" s="250"/>
      <c r="M12" s="5"/>
      <c r="N12" s="5"/>
      <c r="O12" s="5"/>
      <c r="P12" s="5"/>
      <c r="Q12" s="5"/>
      <c r="R12" s="5"/>
      <c r="S12" s="5"/>
      <c r="T12" s="5"/>
      <c r="U12" s="5"/>
      <c r="V12" s="5"/>
      <c r="W12" s="5"/>
      <c r="X12" s="5"/>
      <c r="Z12" s="380" t="s">
        <v>247</v>
      </c>
      <c r="AA12" s="380"/>
      <c r="AB12" s="380"/>
      <c r="AC12" s="380"/>
      <c r="AD12" s="380"/>
      <c r="AE12" s="380"/>
      <c r="AF12" s="380"/>
      <c r="AG12" s="380"/>
      <c r="AH12" s="378"/>
      <c r="AI12" s="398"/>
      <c r="AL12" s="46"/>
      <c r="AM12" s="46"/>
      <c r="AN12" s="46"/>
      <c r="AO12" s="46"/>
      <c r="AP12" s="46"/>
      <c r="AQ12" s="46"/>
      <c r="AR12" s="289"/>
      <c r="AS12" s="289"/>
      <c r="AT12" s="289"/>
      <c r="AU12" s="1156"/>
    </row>
    <row r="13" spans="1:60" ht="18">
      <c r="A13" s="5"/>
      <c r="B13" s="995" t="s">
        <v>244</v>
      </c>
      <c r="C13" s="995"/>
      <c r="D13" s="995"/>
      <c r="E13" s="995"/>
      <c r="F13" s="995"/>
      <c r="G13" s="995"/>
      <c r="H13" s="1028" t="s">
        <v>245</v>
      </c>
      <c r="I13" s="1028"/>
      <c r="J13" s="1028"/>
      <c r="K13" s="82">
        <f>J8+J12</f>
        <v>9.7923968215702022</v>
      </c>
      <c r="L13" s="250"/>
      <c r="M13" s="5"/>
      <c r="N13" s="5"/>
      <c r="O13" s="5"/>
      <c r="P13" s="5"/>
      <c r="Q13" s="5"/>
      <c r="R13" s="5"/>
      <c r="S13" s="5"/>
      <c r="T13" s="5"/>
      <c r="U13" s="5"/>
      <c r="V13" s="5"/>
      <c r="W13" s="5"/>
      <c r="X13" s="5"/>
      <c r="Z13" s="411" t="s">
        <v>220</v>
      </c>
      <c r="AA13" s="411" t="s">
        <v>249</v>
      </c>
      <c r="AB13" s="411"/>
      <c r="AC13" s="411"/>
      <c r="AD13" s="411"/>
      <c r="AE13" s="108" t="s">
        <v>222</v>
      </c>
      <c r="AF13" s="108" t="s">
        <v>223</v>
      </c>
      <c r="AG13" s="313" t="s">
        <v>250</v>
      </c>
      <c r="AH13" s="109" t="s">
        <v>251</v>
      </c>
      <c r="AI13" s="398">
        <f>AH15</f>
        <v>6.7906452519373781</v>
      </c>
      <c r="AJ13" s="5"/>
      <c r="AK13" s="5"/>
      <c r="AL13" s="444"/>
      <c r="AM13" s="444"/>
      <c r="AN13" s="444"/>
      <c r="AO13" s="444"/>
      <c r="AP13" s="444"/>
      <c r="AQ13" s="444"/>
      <c r="AR13" s="444"/>
      <c r="AS13" s="444"/>
      <c r="AT13" s="444"/>
      <c r="AU13" s="1156"/>
    </row>
    <row r="14" spans="1:60" ht="18.75">
      <c r="A14" s="5"/>
      <c r="B14" s="1001" t="s">
        <v>388</v>
      </c>
      <c r="C14" s="1001"/>
      <c r="D14" s="1001"/>
      <c r="E14" s="1001"/>
      <c r="F14" s="1001"/>
      <c r="G14" s="1001"/>
      <c r="H14" s="1001"/>
      <c r="I14" s="1001"/>
      <c r="J14" s="1001"/>
      <c r="K14" s="489"/>
      <c r="L14" s="250"/>
      <c r="M14" s="5"/>
      <c r="N14" s="5"/>
      <c r="O14" s="5"/>
      <c r="P14" s="5"/>
      <c r="Q14" s="5"/>
      <c r="R14" s="5"/>
      <c r="S14" s="5"/>
      <c r="T14" s="5"/>
      <c r="U14" s="5"/>
      <c r="V14" s="5"/>
      <c r="W14" s="5"/>
      <c r="X14" s="5"/>
      <c r="Y14" s="5"/>
      <c r="Z14" s="411"/>
      <c r="AA14" s="411"/>
      <c r="AB14" s="411"/>
      <c r="AC14" s="411"/>
      <c r="AD14" s="411"/>
      <c r="AE14" s="2" t="s">
        <v>226</v>
      </c>
      <c r="AF14" s="89" t="s">
        <v>227</v>
      </c>
      <c r="AG14" s="89" t="s">
        <v>228</v>
      </c>
      <c r="AH14" s="92" t="s">
        <v>229</v>
      </c>
      <c r="AI14" s="398"/>
      <c r="AJ14" s="5"/>
      <c r="AK14" s="5"/>
      <c r="AL14" s="447"/>
      <c r="AM14" s="447"/>
      <c r="AN14" s="447"/>
      <c r="AO14" s="447"/>
      <c r="AP14" s="447"/>
      <c r="AQ14" s="289"/>
      <c r="AR14" s="289"/>
      <c r="AS14" s="289"/>
      <c r="AT14" s="289"/>
      <c r="AU14" s="1156"/>
    </row>
    <row r="15" spans="1:60" ht="18">
      <c r="A15" s="5"/>
      <c r="B15" s="994" t="s">
        <v>220</v>
      </c>
      <c r="C15" s="994" t="s">
        <v>249</v>
      </c>
      <c r="D15" s="994"/>
      <c r="E15" s="994"/>
      <c r="F15" s="994"/>
      <c r="G15" s="108" t="s">
        <v>222</v>
      </c>
      <c r="H15" s="108" t="s">
        <v>223</v>
      </c>
      <c r="I15" s="313" t="s">
        <v>250</v>
      </c>
      <c r="J15" s="109" t="s">
        <v>251</v>
      </c>
      <c r="K15" s="489"/>
      <c r="L15" s="250"/>
      <c r="M15" s="5"/>
      <c r="N15" s="5"/>
      <c r="O15" s="5"/>
      <c r="P15" s="5"/>
      <c r="Q15" s="5"/>
      <c r="R15" s="5"/>
      <c r="S15" s="5"/>
      <c r="T15" s="5"/>
      <c r="U15" s="5"/>
      <c r="V15" s="5"/>
      <c r="W15" s="5"/>
      <c r="X15" s="5"/>
      <c r="Y15" s="5"/>
      <c r="Z15" s="1"/>
      <c r="AA15" s="347" t="s">
        <v>389</v>
      </c>
      <c r="AB15" s="366"/>
      <c r="AC15" s="366"/>
      <c r="AD15" s="367"/>
      <c r="AE15" s="1">
        <f>4.56*3.945</f>
        <v>17.989199999999997</v>
      </c>
      <c r="AF15" s="1">
        <f>Parois!L28</f>
        <v>2.642391922017747</v>
      </c>
      <c r="AG15" s="1">
        <f>($AH$39-AF44)/$AH$40</f>
        <v>0.14285714285714285</v>
      </c>
      <c r="AH15" s="119">
        <f>AE15*AF15*AG15</f>
        <v>6.7906452519373781</v>
      </c>
      <c r="AI15" s="398"/>
      <c r="AJ15" s="5"/>
      <c r="AK15" s="5"/>
      <c r="AL15" s="447"/>
      <c r="AM15" s="447"/>
      <c r="AN15" s="447"/>
      <c r="AO15" s="447"/>
      <c r="AP15" s="447"/>
      <c r="AQ15" s="233"/>
      <c r="AR15" s="300"/>
      <c r="AS15" s="300"/>
      <c r="AT15" s="300"/>
      <c r="AU15" s="1156"/>
      <c r="AV15" s="5"/>
      <c r="AW15" s="5"/>
      <c r="AX15" s="5"/>
      <c r="AY15" s="5"/>
      <c r="AZ15" s="5"/>
      <c r="BA15" s="5"/>
      <c r="BB15" s="5"/>
      <c r="BC15" s="5"/>
      <c r="BD15" s="5"/>
      <c r="BE15" s="5"/>
      <c r="BF15" s="5"/>
      <c r="BG15" s="5"/>
      <c r="BH15" s="5"/>
    </row>
    <row r="16" spans="1:60">
      <c r="A16" s="5"/>
      <c r="B16" s="994"/>
      <c r="C16" s="994"/>
      <c r="D16" s="994"/>
      <c r="E16" s="994"/>
      <c r="F16" s="994"/>
      <c r="G16" s="108"/>
      <c r="H16" s="108"/>
      <c r="I16" s="501"/>
      <c r="J16" s="109"/>
      <c r="K16" s="489"/>
      <c r="L16" s="250"/>
      <c r="M16" s="5"/>
      <c r="N16" s="5"/>
      <c r="O16" s="5"/>
      <c r="P16" s="5"/>
      <c r="Q16" s="5"/>
      <c r="R16" s="5"/>
      <c r="S16" s="5"/>
      <c r="T16" s="5"/>
      <c r="U16" s="5"/>
      <c r="V16" s="5"/>
      <c r="W16" s="5"/>
      <c r="X16" s="5"/>
      <c r="Y16" s="5"/>
      <c r="Z16" s="1"/>
      <c r="AA16" s="347"/>
      <c r="AB16" s="366"/>
      <c r="AC16" s="366"/>
      <c r="AD16" s="367"/>
      <c r="AE16" s="1"/>
      <c r="AF16" s="351"/>
      <c r="AG16" s="1"/>
      <c r="AH16" s="119"/>
      <c r="AI16" s="398"/>
      <c r="AJ16" s="5"/>
      <c r="AK16" s="5"/>
      <c r="AL16" s="447"/>
      <c r="AM16" s="447"/>
      <c r="AN16" s="447"/>
      <c r="AO16" s="447"/>
      <c r="AP16" s="447"/>
      <c r="AQ16" s="233"/>
      <c r="AR16" s="300"/>
      <c r="AS16" s="300"/>
      <c r="AT16" s="300"/>
      <c r="AU16" s="1156"/>
      <c r="AV16" s="5" t="s">
        <v>378</v>
      </c>
      <c r="AW16" s="656" t="s">
        <v>230</v>
      </c>
      <c r="AX16" s="657"/>
      <c r="AY16" s="657"/>
      <c r="AZ16" s="657"/>
      <c r="BA16" s="657"/>
      <c r="BB16" s="657"/>
      <c r="BC16" s="657"/>
      <c r="BD16" s="655"/>
      <c r="BE16" s="227"/>
      <c r="BF16" s="287"/>
      <c r="BG16" s="250"/>
      <c r="BH16" s="5"/>
    </row>
    <row r="17" spans="1:60" ht="18">
      <c r="A17" s="5"/>
      <c r="B17" s="994"/>
      <c r="C17" s="994"/>
      <c r="D17" s="994"/>
      <c r="E17" s="994"/>
      <c r="F17" s="994"/>
      <c r="G17" s="108"/>
      <c r="H17" s="108"/>
      <c r="I17" s="501"/>
      <c r="J17" s="109"/>
      <c r="K17" s="489"/>
      <c r="L17" s="250"/>
      <c r="M17" s="5"/>
      <c r="N17" s="5"/>
      <c r="O17" s="5"/>
      <c r="P17" s="5"/>
      <c r="Q17" s="5"/>
      <c r="R17" s="5"/>
      <c r="S17" s="5"/>
      <c r="T17" s="5"/>
      <c r="U17" s="5"/>
      <c r="V17" s="5"/>
      <c r="W17" s="5"/>
      <c r="X17" s="5"/>
      <c r="Y17" s="5"/>
      <c r="Z17" s="351" t="s">
        <v>318</v>
      </c>
      <c r="AA17" s="351"/>
      <c r="AB17" s="351"/>
      <c r="AC17" s="351"/>
      <c r="AD17" s="351"/>
      <c r="AE17" s="351"/>
      <c r="AG17" s="351"/>
      <c r="AH17" s="91"/>
      <c r="AI17" s="398"/>
      <c r="AJ17" s="5"/>
      <c r="AK17" s="5"/>
      <c r="AL17" s="447"/>
      <c r="AM17" s="447"/>
      <c r="AN17" s="447"/>
      <c r="AO17" s="447"/>
      <c r="AP17" s="447"/>
      <c r="AQ17" s="233"/>
      <c r="AR17" s="300"/>
      <c r="AS17" s="300"/>
      <c r="AT17" s="300"/>
      <c r="AU17" s="1156"/>
      <c r="AV17" s="5"/>
      <c r="AW17" s="975" t="s">
        <v>220</v>
      </c>
      <c r="AX17" s="977" t="s">
        <v>221</v>
      </c>
      <c r="AY17" s="978"/>
      <c r="AZ17" s="978"/>
      <c r="BA17" s="978"/>
      <c r="BB17" s="654" t="s">
        <v>232</v>
      </c>
      <c r="BC17" s="654" t="s">
        <v>222</v>
      </c>
      <c r="BD17" s="196" t="s">
        <v>223</v>
      </c>
      <c r="BE17" s="231" t="s">
        <v>233</v>
      </c>
      <c r="BF17" s="287"/>
      <c r="BG17" s="250"/>
      <c r="BH17" s="5"/>
    </row>
    <row r="18" spans="1:60" ht="19.5">
      <c r="A18" s="5"/>
      <c r="B18" s="994"/>
      <c r="C18" s="994"/>
      <c r="D18" s="994"/>
      <c r="E18" s="994"/>
      <c r="F18" s="994"/>
      <c r="G18" s="2" t="s">
        <v>226</v>
      </c>
      <c r="H18" s="89" t="s">
        <v>227</v>
      </c>
      <c r="I18" s="89" t="s">
        <v>228</v>
      </c>
      <c r="J18" s="92" t="s">
        <v>229</v>
      </c>
      <c r="K18" s="489"/>
      <c r="L18" s="250"/>
      <c r="M18" s="5"/>
      <c r="N18" s="5"/>
      <c r="O18" s="5"/>
      <c r="P18" s="5"/>
      <c r="Q18" s="5"/>
      <c r="R18" s="5"/>
      <c r="S18" s="5"/>
      <c r="T18" s="5"/>
      <c r="U18" s="5"/>
      <c r="V18" s="5"/>
      <c r="W18" s="5"/>
      <c r="X18" s="5"/>
      <c r="Y18" s="5"/>
      <c r="Z18" s="368" t="s">
        <v>220</v>
      </c>
      <c r="AA18" s="370" t="s">
        <v>302</v>
      </c>
      <c r="AB18" s="371"/>
      <c r="AC18" s="371"/>
      <c r="AD18" s="372"/>
      <c r="AE18" s="86" t="s">
        <v>303</v>
      </c>
      <c r="AF18" s="86" t="s">
        <v>304</v>
      </c>
      <c r="AG18" s="313" t="s">
        <v>250</v>
      </c>
      <c r="AH18" s="90" t="s">
        <v>319</v>
      </c>
      <c r="AI18" s="398"/>
      <c r="AJ18" s="5"/>
      <c r="AK18" s="5"/>
      <c r="AL18" s="5"/>
      <c r="AM18" s="5"/>
      <c r="AN18" s="5"/>
      <c r="AO18" s="5"/>
      <c r="AP18" s="5"/>
      <c r="AQ18" s="5"/>
      <c r="AR18" s="5"/>
      <c r="AS18" s="5"/>
      <c r="AT18" s="5"/>
      <c r="AU18" s="1156"/>
      <c r="AV18" s="5"/>
      <c r="AW18" s="976"/>
      <c r="AX18" s="979"/>
      <c r="AY18" s="980"/>
      <c r="AZ18" s="980"/>
      <c r="BA18" s="980"/>
      <c r="BB18" s="62" t="s">
        <v>228</v>
      </c>
      <c r="BC18" s="62" t="s">
        <v>226</v>
      </c>
      <c r="BD18" s="197" t="s">
        <v>227</v>
      </c>
      <c r="BE18" s="232" t="s">
        <v>229</v>
      </c>
      <c r="BF18" s="287"/>
      <c r="BG18" s="250"/>
      <c r="BH18" s="5"/>
    </row>
    <row r="19" spans="1:60">
      <c r="A19" s="5"/>
      <c r="B19" s="1" t="s">
        <v>344</v>
      </c>
      <c r="C19" s="862" t="s">
        <v>390</v>
      </c>
      <c r="D19" s="862"/>
      <c r="E19" s="862"/>
      <c r="F19" s="862"/>
      <c r="G19" s="1">
        <f>5*3.94</f>
        <v>19.7</v>
      </c>
      <c r="H19" s="1">
        <f>Parois!L28</f>
        <v>2.642391922017747</v>
      </c>
      <c r="I19" s="1">
        <f>(22-16)/(22--8)</f>
        <v>0.2</v>
      </c>
      <c r="J19" s="119">
        <f>G19*H19*I19</f>
        <v>10.411024172749924</v>
      </c>
      <c r="K19" s="489"/>
      <c r="L19" s="250"/>
      <c r="M19" s="5"/>
      <c r="N19" s="5"/>
      <c r="O19" s="5"/>
      <c r="P19" s="5"/>
      <c r="Q19" s="5"/>
      <c r="R19" s="5"/>
      <c r="S19" s="5"/>
      <c r="T19" s="5"/>
      <c r="U19" s="5"/>
      <c r="V19" s="5"/>
      <c r="W19" s="5"/>
      <c r="X19" s="5"/>
      <c r="Y19" s="5"/>
      <c r="Z19" s="369"/>
      <c r="AA19" s="373"/>
      <c r="AB19" s="374"/>
      <c r="AC19" s="374"/>
      <c r="AD19" s="375"/>
      <c r="AE19" s="59" t="s">
        <v>307</v>
      </c>
      <c r="AF19" s="59" t="s">
        <v>308</v>
      </c>
      <c r="AG19" s="59" t="s">
        <v>228</v>
      </c>
      <c r="AH19" s="94" t="s">
        <v>229</v>
      </c>
      <c r="AI19" s="398"/>
      <c r="AJ19" s="5"/>
      <c r="AK19" s="5"/>
      <c r="AL19" s="5"/>
      <c r="AM19" s="5"/>
      <c r="AN19" s="5"/>
      <c r="AO19" s="5"/>
      <c r="AP19" s="5"/>
      <c r="AQ19" s="5"/>
      <c r="AR19" s="5"/>
      <c r="AS19" s="5"/>
      <c r="AT19" s="5"/>
      <c r="AU19" s="1156"/>
      <c r="AV19" s="5"/>
      <c r="AW19" s="155"/>
      <c r="AX19" s="981" t="s">
        <v>294</v>
      </c>
      <c r="AY19" s="982"/>
      <c r="AZ19" s="982"/>
      <c r="BA19" s="983"/>
      <c r="BB19" s="264">
        <f>(BE30-BD37)/BE33</f>
        <v>0.5</v>
      </c>
      <c r="BC19" s="65">
        <f>(5.35+2.075)*3.7</f>
        <v>27.4725</v>
      </c>
      <c r="BD19" s="265">
        <f>Parois!L49</f>
        <v>0.39937430012814151</v>
      </c>
      <c r="BE19" s="266">
        <f>BB19*BC19*BD19</f>
        <v>5.4859052301351836</v>
      </c>
      <c r="BF19" s="287"/>
      <c r="BG19" s="969"/>
      <c r="BH19" s="5"/>
    </row>
    <row r="20" spans="1:60">
      <c r="A20" s="5"/>
      <c r="B20" s="1"/>
      <c r="C20" s="862" t="s">
        <v>294</v>
      </c>
      <c r="D20" s="862"/>
      <c r="E20" s="862"/>
      <c r="F20" s="862"/>
      <c r="G20" s="1">
        <f>4.045*5.04</f>
        <v>20.386800000000001</v>
      </c>
      <c r="H20" s="1">
        <f>Parois!L49</f>
        <v>0.39937430012814151</v>
      </c>
      <c r="I20" s="1">
        <f>(22-10)/(22--8)</f>
        <v>0.4</v>
      </c>
      <c r="J20" s="119">
        <f>G20*H20*I20</f>
        <v>3.2567855927409584</v>
      </c>
      <c r="K20" s="489"/>
      <c r="L20" s="250"/>
      <c r="M20" s="5"/>
      <c r="N20" s="5"/>
      <c r="O20" s="5"/>
      <c r="P20" s="5"/>
      <c r="Q20" s="5"/>
      <c r="R20" s="5"/>
      <c r="S20" s="5"/>
      <c r="T20" s="5"/>
      <c r="U20" s="5"/>
      <c r="V20" s="5"/>
      <c r="W20" s="5"/>
      <c r="X20" s="5"/>
      <c r="Y20" s="5"/>
      <c r="Z20" s="1"/>
      <c r="AA20" s="2" t="s">
        <v>174</v>
      </c>
      <c r="AB20" s="2"/>
      <c r="AC20" s="2"/>
      <c r="AD20" s="2"/>
      <c r="AE20" s="1"/>
      <c r="AF20" s="1"/>
      <c r="AG20" s="1"/>
      <c r="AH20" s="119"/>
      <c r="AI20" s="398"/>
      <c r="AJ20" s="5"/>
      <c r="AK20" s="5"/>
      <c r="AL20" s="5"/>
      <c r="AM20" s="5"/>
      <c r="AN20" s="5"/>
      <c r="AO20" s="5"/>
      <c r="AP20" s="5"/>
      <c r="AQ20" s="5"/>
      <c r="AR20" s="5"/>
      <c r="AS20" s="5"/>
      <c r="AT20" s="289"/>
      <c r="AU20" s="1156"/>
      <c r="AV20" s="5"/>
      <c r="AW20" s="155"/>
      <c r="AX20" s="981" t="s">
        <v>275</v>
      </c>
      <c r="AY20" s="982"/>
      <c r="AZ20" s="982"/>
      <c r="BA20" s="983"/>
      <c r="BB20" s="264">
        <f>(BE30-BD38)/BE33</f>
        <v>-0.125</v>
      </c>
      <c r="BC20" s="65">
        <f>3.7*3.97-BC21</f>
        <v>13.044700000000002</v>
      </c>
      <c r="BD20" s="265">
        <f>Parois!L42</f>
        <v>1.8115853807007718</v>
      </c>
      <c r="BE20" s="266">
        <f>BB20*BC20*BD20</f>
        <v>-2.9539484769534203</v>
      </c>
      <c r="BF20" s="287"/>
      <c r="BG20" s="969"/>
      <c r="BH20" s="5"/>
    </row>
    <row r="21" spans="1:60">
      <c r="A21" s="5"/>
      <c r="B21" s="1"/>
      <c r="C21" s="862"/>
      <c r="D21" s="862"/>
      <c r="E21" s="862"/>
      <c r="F21" s="862"/>
      <c r="G21" s="1">
        <f>0</f>
        <v>0</v>
      </c>
      <c r="H21" s="1">
        <f>0</f>
        <v>0</v>
      </c>
      <c r="I21" s="1">
        <f>0</f>
        <v>0</v>
      </c>
      <c r="J21" s="119">
        <f t="shared" ref="J21" si="0">G21*H21*I21</f>
        <v>0</v>
      </c>
      <c r="K21" s="489"/>
      <c r="L21" s="250"/>
      <c r="M21" s="5"/>
      <c r="N21" s="5"/>
      <c r="O21" s="5"/>
      <c r="P21" s="5"/>
      <c r="Q21" s="5"/>
      <c r="R21" s="5"/>
      <c r="S21" s="5"/>
      <c r="T21" s="5"/>
      <c r="U21" s="5"/>
      <c r="V21" s="5"/>
      <c r="W21" s="5"/>
      <c r="X21" s="5"/>
      <c r="Y21" s="5"/>
      <c r="Z21" s="376" t="s">
        <v>254</v>
      </c>
      <c r="AA21" s="376"/>
      <c r="AB21" s="376"/>
      <c r="AC21" s="376"/>
      <c r="AD21" s="376"/>
      <c r="AE21" s="376"/>
      <c r="AF21" s="376"/>
      <c r="AG21" s="376"/>
      <c r="AH21" s="377"/>
      <c r="AI21" s="210"/>
      <c r="AJ21" s="5"/>
      <c r="AK21" s="5"/>
      <c r="AL21" s="447"/>
      <c r="AM21" s="447"/>
      <c r="AN21" s="447"/>
      <c r="AO21" s="447"/>
      <c r="AP21" s="447"/>
      <c r="AQ21" s="289"/>
      <c r="AR21" s="289"/>
      <c r="AS21" s="289"/>
      <c r="AT21" s="289"/>
      <c r="AU21" s="1156"/>
      <c r="AV21" s="5"/>
      <c r="AW21" s="155"/>
      <c r="AX21" s="981" t="s">
        <v>246</v>
      </c>
      <c r="AY21" s="982"/>
      <c r="AZ21" s="982"/>
      <c r="BA21" s="983"/>
      <c r="BB21" s="264">
        <f>(BE30-BD38)/BE33</f>
        <v>-0.125</v>
      </c>
      <c r="BC21" s="65">
        <f>0.81*2.03</f>
        <v>1.6442999999999999</v>
      </c>
      <c r="BD21" s="265">
        <v>2.5</v>
      </c>
      <c r="BE21" s="266">
        <f>BB21*BC21*BD21</f>
        <v>-0.51384374999999993</v>
      </c>
      <c r="BF21" s="287"/>
      <c r="BG21" s="969"/>
      <c r="BH21" s="5"/>
    </row>
    <row r="22" spans="1:60">
      <c r="A22" s="5"/>
      <c r="B22" s="818" t="s">
        <v>318</v>
      </c>
      <c r="C22" s="818"/>
      <c r="D22" s="818"/>
      <c r="E22" s="818"/>
      <c r="F22" s="818"/>
      <c r="G22" s="818"/>
      <c r="H22" s="818"/>
      <c r="I22" s="818"/>
      <c r="J22" s="91">
        <f>J19+J20</f>
        <v>13.667809765490883</v>
      </c>
      <c r="K22" s="489"/>
      <c r="L22" s="250"/>
      <c r="M22" s="5"/>
      <c r="N22" s="5"/>
      <c r="O22" s="5"/>
      <c r="P22" s="5"/>
      <c r="Q22" s="5"/>
      <c r="R22" s="5"/>
      <c r="S22" s="5"/>
      <c r="T22" s="5"/>
      <c r="U22" s="5"/>
      <c r="V22" s="5"/>
      <c r="W22" s="5"/>
      <c r="X22" s="5"/>
      <c r="Y22" s="5"/>
      <c r="Z22" s="378" t="s">
        <v>321</v>
      </c>
      <c r="AA22" s="379"/>
      <c r="AB22" s="379"/>
      <c r="AC22" s="379"/>
      <c r="AD22" s="379"/>
      <c r="AE22" s="379"/>
      <c r="AF22" s="379"/>
      <c r="AG22" s="379"/>
      <c r="AH22" s="379"/>
      <c r="AI22" s="398"/>
      <c r="AJ22" s="5"/>
      <c r="AK22" s="5"/>
      <c r="AL22" s="447"/>
      <c r="AM22" s="447"/>
      <c r="AN22" s="447"/>
      <c r="AO22" s="447"/>
      <c r="AP22" s="447"/>
      <c r="AQ22" s="5"/>
      <c r="AR22" s="5"/>
      <c r="AS22" s="5"/>
      <c r="AT22" s="5"/>
      <c r="AU22" s="1156"/>
      <c r="AV22" s="5"/>
      <c r="AW22" s="155"/>
      <c r="AX22" s="981" t="s">
        <v>325</v>
      </c>
      <c r="AY22" s="982"/>
      <c r="AZ22" s="982"/>
      <c r="BA22" s="983"/>
      <c r="BB22" s="264"/>
      <c r="BC22" s="65"/>
      <c r="BD22" s="267"/>
      <c r="BE22" s="266"/>
      <c r="BF22" s="287"/>
      <c r="BG22" s="969"/>
      <c r="BH22" s="5"/>
    </row>
    <row r="23" spans="1:60" ht="18">
      <c r="A23" s="5"/>
      <c r="B23" s="1130" t="s">
        <v>220</v>
      </c>
      <c r="C23" s="1132" t="s">
        <v>302</v>
      </c>
      <c r="D23" s="1132"/>
      <c r="E23" s="1132"/>
      <c r="F23" s="1132"/>
      <c r="G23" s="86" t="s">
        <v>303</v>
      </c>
      <c r="H23" s="86" t="s">
        <v>304</v>
      </c>
      <c r="I23" s="313" t="s">
        <v>250</v>
      </c>
      <c r="J23" s="90" t="s">
        <v>319</v>
      </c>
      <c r="K23" s="489"/>
      <c r="L23" s="250"/>
      <c r="M23" s="5"/>
      <c r="N23" s="5"/>
      <c r="O23" s="5"/>
      <c r="P23" s="5"/>
      <c r="Q23" s="5"/>
      <c r="R23" s="5"/>
      <c r="S23" s="5"/>
      <c r="T23" s="5"/>
      <c r="U23" s="5"/>
      <c r="V23" s="5"/>
      <c r="W23" s="5"/>
      <c r="X23" s="5"/>
      <c r="Y23" s="5"/>
      <c r="Z23" s="411" t="s">
        <v>220</v>
      </c>
      <c r="AA23" s="411" t="s">
        <v>249</v>
      </c>
      <c r="AB23" s="411"/>
      <c r="AC23" s="411"/>
      <c r="AD23" s="411"/>
      <c r="AE23" s="88" t="s">
        <v>222</v>
      </c>
      <c r="AF23" s="88" t="s">
        <v>223</v>
      </c>
      <c r="AG23" s="88" t="s">
        <v>224</v>
      </c>
      <c r="AH23" s="91" t="s">
        <v>225</v>
      </c>
      <c r="AI23" s="398"/>
      <c r="AJ23" s="5"/>
      <c r="AK23" s="5"/>
      <c r="AL23" s="5"/>
      <c r="AM23" s="5"/>
      <c r="AN23" s="5"/>
      <c r="AO23" s="5"/>
      <c r="AP23" s="5"/>
      <c r="AQ23" s="5"/>
      <c r="AR23" s="5"/>
      <c r="AS23" s="5"/>
      <c r="AT23" s="5"/>
      <c r="AU23" s="154"/>
      <c r="AV23" s="5"/>
      <c r="AW23" s="155"/>
      <c r="AX23" s="346"/>
      <c r="AY23" s="629"/>
      <c r="AZ23" s="629"/>
      <c r="BA23" s="629"/>
      <c r="BB23" s="264"/>
      <c r="BC23" s="65"/>
      <c r="BD23" s="267"/>
      <c r="BE23" s="266"/>
      <c r="BF23" s="287"/>
      <c r="BG23" s="969"/>
      <c r="BH23" s="5"/>
    </row>
    <row r="24" spans="1:60" ht="18.75">
      <c r="A24" s="5"/>
      <c r="B24" s="1130"/>
      <c r="C24" s="1132"/>
      <c r="D24" s="1132"/>
      <c r="E24" s="1132"/>
      <c r="F24" s="1132"/>
      <c r="G24" s="59" t="s">
        <v>307</v>
      </c>
      <c r="H24" s="59" t="s">
        <v>308</v>
      </c>
      <c r="I24" s="59" t="s">
        <v>228</v>
      </c>
      <c r="J24" s="94" t="s">
        <v>229</v>
      </c>
      <c r="K24" s="489"/>
      <c r="L24" s="250"/>
      <c r="M24" s="5"/>
      <c r="N24" s="5"/>
      <c r="O24" s="5"/>
      <c r="P24" s="5"/>
      <c r="Q24" s="5"/>
      <c r="R24" s="5"/>
      <c r="S24" s="5"/>
      <c r="T24" s="5"/>
      <c r="U24" s="5"/>
      <c r="V24" s="5"/>
      <c r="W24" s="5"/>
      <c r="X24" s="5"/>
      <c r="Y24" s="5"/>
      <c r="Z24" s="411"/>
      <c r="AA24" s="411"/>
      <c r="AB24" s="411"/>
      <c r="AC24" s="411"/>
      <c r="AD24" s="411"/>
      <c r="AE24" s="2" t="s">
        <v>226</v>
      </c>
      <c r="AF24" s="89" t="s">
        <v>227</v>
      </c>
      <c r="AG24" s="89" t="s">
        <v>228</v>
      </c>
      <c r="AH24" s="92" t="s">
        <v>229</v>
      </c>
      <c r="AI24" s="398"/>
      <c r="AJ24" s="5"/>
      <c r="AK24" s="5"/>
      <c r="AL24" s="46"/>
      <c r="AM24" s="46"/>
      <c r="AN24" s="46"/>
      <c r="AO24" s="46"/>
      <c r="AP24" s="46"/>
      <c r="AQ24" s="46"/>
      <c r="AR24" s="46"/>
      <c r="AS24" s="46"/>
      <c r="AT24" s="46"/>
      <c r="AU24" s="1000"/>
      <c r="AV24" s="5"/>
      <c r="AW24" s="57"/>
      <c r="AX24" s="984"/>
      <c r="AY24" s="985"/>
      <c r="AZ24" s="985"/>
      <c r="BA24" s="985"/>
      <c r="BB24" s="264"/>
      <c r="BC24" s="268"/>
      <c r="BD24" s="268"/>
      <c r="BE24" s="266"/>
      <c r="BF24" s="287"/>
      <c r="BG24" s="969"/>
      <c r="BH24" s="5"/>
    </row>
    <row r="25" spans="1:60">
      <c r="A25" s="5"/>
      <c r="B25" s="1"/>
      <c r="C25" s="810" t="s">
        <v>174</v>
      </c>
      <c r="D25" s="810"/>
      <c r="E25" s="810"/>
      <c r="F25" s="810"/>
      <c r="G25" s="1"/>
      <c r="H25" s="1"/>
      <c r="I25" s="1"/>
      <c r="J25" s="119"/>
      <c r="K25" s="489"/>
      <c r="L25" s="250"/>
      <c r="M25" s="5"/>
      <c r="N25" s="5"/>
      <c r="O25" s="5"/>
      <c r="P25" s="5"/>
      <c r="Q25" s="5"/>
      <c r="R25" s="5"/>
      <c r="S25" s="5"/>
      <c r="T25" s="5"/>
      <c r="U25" s="5"/>
      <c r="V25" s="5"/>
      <c r="W25" s="5"/>
      <c r="X25" s="5"/>
      <c r="Y25" s="5"/>
      <c r="Z25" s="1"/>
      <c r="AA25" s="347" t="s">
        <v>391</v>
      </c>
      <c r="AB25" s="366"/>
      <c r="AC25" s="366"/>
      <c r="AD25" s="367"/>
      <c r="AE25" s="1"/>
      <c r="AF25" s="1"/>
      <c r="AG25" s="1"/>
      <c r="AH25" s="119"/>
      <c r="AI25" s="398"/>
      <c r="AJ25" s="5"/>
      <c r="AK25" s="5"/>
      <c r="AL25" s="444"/>
      <c r="AM25" s="444"/>
      <c r="AN25" s="444"/>
      <c r="AO25" s="444"/>
      <c r="AP25" s="444"/>
      <c r="AQ25" s="444"/>
      <c r="AR25" s="444"/>
      <c r="AS25" s="444"/>
      <c r="AT25" s="444"/>
      <c r="AU25" s="1000"/>
      <c r="AV25" s="5"/>
      <c r="AW25" s="57"/>
      <c r="AX25" s="364"/>
      <c r="AY25" s="365"/>
      <c r="AZ25" s="365"/>
      <c r="BA25" s="365"/>
      <c r="BB25" s="264"/>
      <c r="BC25" s="268"/>
      <c r="BD25" s="268"/>
      <c r="BE25" s="266"/>
      <c r="BF25" s="287"/>
      <c r="BG25" s="969"/>
      <c r="BH25" s="5"/>
    </row>
    <row r="26" spans="1:60" ht="18.75">
      <c r="A26" s="5"/>
      <c r="B26" s="1003" t="s">
        <v>254</v>
      </c>
      <c r="C26" s="1003"/>
      <c r="D26" s="1003"/>
      <c r="E26" s="1003"/>
      <c r="F26" s="1003"/>
      <c r="G26" s="1003"/>
      <c r="H26" s="1003"/>
      <c r="I26" s="1003"/>
      <c r="J26" s="1003"/>
      <c r="K26" s="489"/>
      <c r="L26" s="250"/>
      <c r="M26" s="5"/>
      <c r="N26" s="5"/>
      <c r="O26" s="5"/>
      <c r="P26" s="5"/>
      <c r="Q26" s="5"/>
      <c r="R26" s="5"/>
      <c r="S26" s="5"/>
      <c r="T26" s="5"/>
      <c r="U26" s="5"/>
      <c r="V26" s="5"/>
      <c r="W26" s="5"/>
      <c r="X26" s="5"/>
      <c r="Y26" s="5"/>
      <c r="Z26" s="98" t="s">
        <v>287</v>
      </c>
      <c r="AA26" s="98"/>
      <c r="AB26" s="98"/>
      <c r="AC26" s="98"/>
      <c r="AD26" s="98"/>
      <c r="AE26" s="98"/>
      <c r="AF26" s="357" t="s">
        <v>288</v>
      </c>
      <c r="AG26" s="358"/>
      <c r="AH26" s="358"/>
      <c r="AI26" s="210">
        <f>AH9+AI13</f>
        <v>55.858902709504306</v>
      </c>
      <c r="AJ26" s="5"/>
      <c r="AK26" s="5"/>
      <c r="AL26" s="447"/>
      <c r="AM26" s="447"/>
      <c r="AN26" s="447"/>
      <c r="AO26" s="447"/>
      <c r="AP26" s="447"/>
      <c r="AQ26" s="289"/>
      <c r="AR26" s="289"/>
      <c r="AS26" s="289"/>
      <c r="AT26" s="289"/>
      <c r="AU26" s="1000"/>
      <c r="AV26" s="5"/>
      <c r="AW26" s="57" t="s">
        <v>255</v>
      </c>
      <c r="AX26" s="57"/>
      <c r="AY26" s="57"/>
      <c r="AZ26" s="57"/>
      <c r="BA26" s="58"/>
      <c r="BB26" s="1"/>
      <c r="BC26" s="1"/>
      <c r="BD26" s="1"/>
      <c r="BE26" s="91" t="s">
        <v>256</v>
      </c>
      <c r="BF26" s="287"/>
      <c r="BG26" s="969"/>
      <c r="BH26" s="5"/>
    </row>
    <row r="27" spans="1:60" ht="18">
      <c r="A27" s="5"/>
      <c r="B27" s="1002" t="s">
        <v>321</v>
      </c>
      <c r="C27" s="1002"/>
      <c r="D27" s="1002"/>
      <c r="E27" s="1002"/>
      <c r="F27" s="1002"/>
      <c r="G27" s="1002"/>
      <c r="H27" s="1002"/>
      <c r="I27" s="1002"/>
      <c r="J27" s="1002"/>
      <c r="K27" s="489"/>
      <c r="L27" s="250"/>
      <c r="M27" s="5"/>
      <c r="N27" s="5"/>
      <c r="O27" s="5"/>
      <c r="P27" s="5"/>
      <c r="Q27" s="5"/>
      <c r="R27" s="5"/>
      <c r="S27" s="5"/>
      <c r="T27" s="5"/>
      <c r="U27" s="5"/>
      <c r="V27" s="5"/>
      <c r="W27" s="5"/>
      <c r="X27" s="5"/>
      <c r="Y27" s="5"/>
      <c r="Z27" s="118" t="s">
        <v>257</v>
      </c>
      <c r="AA27" s="97"/>
      <c r="AB27" s="97"/>
      <c r="AC27" s="97"/>
      <c r="AD27" s="97"/>
      <c r="AE27" s="99"/>
      <c r="AF27" s="100"/>
      <c r="AG27" s="101"/>
      <c r="AH27" s="227"/>
      <c r="AI27" s="398"/>
      <c r="AJ27" s="5"/>
      <c r="AK27" s="5"/>
      <c r="AL27" s="447"/>
      <c r="AM27" s="447"/>
      <c r="AN27" s="447"/>
      <c r="AO27" s="447"/>
      <c r="AP27" s="447"/>
      <c r="AQ27" s="233"/>
      <c r="AR27" s="300"/>
      <c r="AS27" s="300"/>
      <c r="AT27" s="300"/>
      <c r="AU27" s="1000"/>
      <c r="AV27" s="5"/>
      <c r="AW27" s="83" t="s">
        <v>258</v>
      </c>
      <c r="AX27" s="84"/>
      <c r="AY27" s="84"/>
      <c r="AZ27" s="84"/>
      <c r="BA27" s="102"/>
      <c r="BB27" s="999" t="s">
        <v>259</v>
      </c>
      <c r="BC27" s="999"/>
      <c r="BD27" s="999"/>
      <c r="BE27" s="119"/>
      <c r="BF27" s="663">
        <f>BE19</f>
        <v>5.4859052301351836</v>
      </c>
      <c r="BG27" s="969"/>
      <c r="BH27" s="5"/>
    </row>
    <row r="28" spans="1:60" ht="18">
      <c r="A28" s="5"/>
      <c r="B28" s="994" t="s">
        <v>220</v>
      </c>
      <c r="C28" s="994" t="s">
        <v>249</v>
      </c>
      <c r="D28" s="994"/>
      <c r="E28" s="994"/>
      <c r="F28" s="994"/>
      <c r="G28" s="196" t="s">
        <v>222</v>
      </c>
      <c r="H28" s="196" t="s">
        <v>223</v>
      </c>
      <c r="I28" s="196" t="s">
        <v>224</v>
      </c>
      <c r="J28" s="231" t="s">
        <v>225</v>
      </c>
      <c r="K28" s="489"/>
      <c r="L28" s="250"/>
      <c r="M28" s="5"/>
      <c r="N28" s="5"/>
      <c r="O28" s="5"/>
      <c r="P28" s="5"/>
      <c r="Q28" s="5"/>
      <c r="R28" s="5"/>
      <c r="S28" s="5"/>
      <c r="T28" s="5"/>
      <c r="U28" s="5"/>
      <c r="V28" s="5"/>
      <c r="W28" s="5"/>
      <c r="X28" s="5"/>
      <c r="Y28" s="5"/>
      <c r="Z28" s="490"/>
      <c r="AA28" s="100"/>
      <c r="AB28" s="491"/>
      <c r="AC28" s="491"/>
      <c r="AD28" s="491"/>
      <c r="AE28" s="491"/>
      <c r="AF28" s="491"/>
      <c r="AG28" s="101"/>
      <c r="AH28" s="227"/>
      <c r="AI28" s="398"/>
      <c r="AJ28" s="5"/>
      <c r="AK28" s="5"/>
      <c r="AL28" s="5"/>
      <c r="AM28" s="5"/>
      <c r="AN28" s="5"/>
      <c r="AO28" s="5"/>
      <c r="AP28" s="5"/>
      <c r="AQ28" s="5"/>
      <c r="AR28" s="5"/>
      <c r="AS28" s="5"/>
      <c r="AT28" s="5"/>
      <c r="AU28" s="154"/>
      <c r="AV28" s="5"/>
      <c r="AW28" s="104" t="s">
        <v>260</v>
      </c>
      <c r="AX28" s="103"/>
      <c r="AY28" s="103"/>
      <c r="AZ28" s="103"/>
      <c r="BA28" s="103"/>
      <c r="BB28" s="103"/>
      <c r="BC28" s="103"/>
      <c r="BD28" s="103"/>
      <c r="BE28" s="103"/>
      <c r="BF28" s="287"/>
      <c r="BG28" s="969"/>
      <c r="BH28" s="5"/>
    </row>
    <row r="29" spans="1:60" ht="19.5">
      <c r="A29" s="5"/>
      <c r="B29" s="994"/>
      <c r="C29" s="994"/>
      <c r="D29" s="994"/>
      <c r="E29" s="994"/>
      <c r="F29" s="994"/>
      <c r="G29" s="62" t="s">
        <v>226</v>
      </c>
      <c r="H29" s="197" t="s">
        <v>227</v>
      </c>
      <c r="I29" s="197" t="s">
        <v>228</v>
      </c>
      <c r="J29" s="232" t="s">
        <v>229</v>
      </c>
      <c r="K29" s="489"/>
      <c r="L29" s="250"/>
      <c r="M29" s="5"/>
      <c r="N29" s="5"/>
      <c r="O29" s="5"/>
      <c r="P29" s="5"/>
      <c r="Q29" s="5"/>
      <c r="R29" s="5"/>
      <c r="S29" s="5"/>
      <c r="T29" s="5"/>
      <c r="U29" s="5"/>
      <c r="V29" s="5"/>
      <c r="W29" s="5"/>
      <c r="X29" s="5"/>
      <c r="Y29" s="5"/>
      <c r="Z29" s="490"/>
      <c r="AA29" s="100"/>
      <c r="AB29" s="491"/>
      <c r="AC29" s="491"/>
      <c r="AD29" s="491"/>
      <c r="AE29" s="491"/>
      <c r="AF29" s="491"/>
      <c r="AG29" s="101"/>
      <c r="AH29" s="227"/>
      <c r="AI29" s="398"/>
      <c r="AJ29" s="5"/>
      <c r="AK29" s="5"/>
      <c r="AL29" s="448"/>
      <c r="AM29" s="448"/>
      <c r="AN29" s="448"/>
      <c r="AO29" s="448"/>
      <c r="AP29" s="448"/>
      <c r="AQ29" s="448"/>
      <c r="AR29" s="449"/>
      <c r="AS29" s="449"/>
      <c r="AT29" s="449"/>
      <c r="AU29" s="1000"/>
      <c r="AV29" s="5"/>
      <c r="AW29" s="818" t="s">
        <v>6</v>
      </c>
      <c r="AX29" s="818"/>
      <c r="AY29" s="818"/>
      <c r="AZ29" s="818"/>
      <c r="BA29" s="818"/>
      <c r="BB29" s="818"/>
      <c r="BC29" s="1" t="s">
        <v>261</v>
      </c>
      <c r="BD29" s="1" t="s">
        <v>262</v>
      </c>
      <c r="BE29" s="119">
        <f>32</f>
        <v>32</v>
      </c>
      <c r="BF29" s="287"/>
      <c r="BG29" s="969"/>
      <c r="BH29" s="5"/>
    </row>
    <row r="30" spans="1:60" ht="19.5">
      <c r="A30" s="5"/>
      <c r="B30" s="1"/>
      <c r="C30" s="862"/>
      <c r="D30" s="862"/>
      <c r="E30" s="862"/>
      <c r="F30" s="862"/>
      <c r="G30" s="1"/>
      <c r="H30" s="1"/>
      <c r="I30" s="1"/>
      <c r="J30" s="119"/>
      <c r="K30" s="489"/>
      <c r="L30" s="250"/>
      <c r="M30" s="5"/>
      <c r="N30" s="5"/>
      <c r="O30" s="5"/>
      <c r="P30" s="5"/>
      <c r="Q30" s="5"/>
      <c r="R30" s="5"/>
      <c r="S30" s="5"/>
      <c r="T30" s="5"/>
      <c r="U30" s="5"/>
      <c r="V30" s="5"/>
      <c r="W30" s="5"/>
      <c r="X30" s="5"/>
      <c r="Y30" s="5"/>
      <c r="Z30" s="368" t="s">
        <v>220</v>
      </c>
      <c r="AA30" s="370" t="s">
        <v>221</v>
      </c>
      <c r="AB30" s="371"/>
      <c r="AC30" s="371"/>
      <c r="AD30" s="371"/>
      <c r="AE30" s="88" t="s">
        <v>232</v>
      </c>
      <c r="AF30" s="88" t="s">
        <v>222</v>
      </c>
      <c r="AG30" s="88" t="s">
        <v>223</v>
      </c>
      <c r="AH30" s="91" t="s">
        <v>233</v>
      </c>
      <c r="AI30" s="398"/>
      <c r="AJ30" s="5"/>
      <c r="AK30" s="5"/>
      <c r="AL30" s="444"/>
      <c r="AM30" s="5"/>
      <c r="AN30" s="5"/>
      <c r="AO30" s="5"/>
      <c r="AP30" s="5"/>
      <c r="AQ30" s="5"/>
      <c r="AR30" s="5"/>
      <c r="AS30" s="5"/>
      <c r="AT30" s="5"/>
      <c r="AU30" s="1000"/>
      <c r="AV30" s="5"/>
      <c r="AW30" s="971" t="s">
        <v>264</v>
      </c>
      <c r="AX30" s="971"/>
      <c r="AY30" s="971"/>
      <c r="AZ30" s="971"/>
      <c r="BA30" s="971"/>
      <c r="BB30" s="971"/>
      <c r="BC30" s="1" t="s">
        <v>265</v>
      </c>
      <c r="BD30" s="1" t="s">
        <v>262</v>
      </c>
      <c r="BE30" s="119">
        <v>24</v>
      </c>
      <c r="BF30" s="287"/>
      <c r="BG30" s="969"/>
      <c r="BH30" s="5"/>
    </row>
    <row r="31" spans="1:60" ht="20.25">
      <c r="A31" s="5"/>
      <c r="B31" s="98" t="s">
        <v>287</v>
      </c>
      <c r="C31" s="98"/>
      <c r="D31" s="98"/>
      <c r="E31" s="98"/>
      <c r="F31" s="98"/>
      <c r="G31" s="98"/>
      <c r="H31" s="1030" t="s">
        <v>288</v>
      </c>
      <c r="I31" s="1030"/>
      <c r="J31" s="1030"/>
      <c r="K31" s="489"/>
      <c r="L31" s="250"/>
      <c r="M31" s="5"/>
      <c r="N31" s="5"/>
      <c r="O31" s="5"/>
      <c r="P31" s="5"/>
      <c r="Q31" s="5"/>
      <c r="R31" s="5"/>
      <c r="S31" s="5"/>
      <c r="T31" s="5"/>
      <c r="U31" s="5"/>
      <c r="V31" s="5"/>
      <c r="W31" s="5"/>
      <c r="X31" s="5"/>
      <c r="Y31" s="5"/>
      <c r="Z31" s="460"/>
      <c r="AA31" s="409"/>
      <c r="AB31" s="410"/>
      <c r="AC31" s="410"/>
      <c r="AD31" s="410"/>
      <c r="AE31" s="2" t="s">
        <v>228</v>
      </c>
      <c r="AF31" s="2" t="s">
        <v>226</v>
      </c>
      <c r="AG31" s="89" t="s">
        <v>227</v>
      </c>
      <c r="AH31" s="92" t="s">
        <v>229</v>
      </c>
      <c r="AI31" s="398"/>
      <c r="AJ31" s="5"/>
      <c r="AK31" s="5"/>
      <c r="AL31" s="447"/>
      <c r="AM31" s="447"/>
      <c r="AN31" s="447"/>
      <c r="AO31" s="447"/>
      <c r="AP31" s="447"/>
      <c r="AQ31" s="289"/>
      <c r="AR31" s="289"/>
      <c r="AS31" s="289"/>
      <c r="AT31" s="289"/>
      <c r="AU31" s="1000"/>
      <c r="AV31" s="5"/>
      <c r="AW31" s="618"/>
      <c r="AX31" s="618"/>
      <c r="AY31" s="618"/>
      <c r="AZ31" s="618"/>
      <c r="BA31" s="618"/>
      <c r="BB31" s="618"/>
      <c r="BC31" s="101"/>
      <c r="BD31" s="101"/>
      <c r="BE31" s="227"/>
      <c r="BF31" s="287"/>
      <c r="BG31" s="970"/>
      <c r="BH31" s="5"/>
    </row>
    <row r="32" spans="1:60">
      <c r="A32" s="5"/>
      <c r="B32" s="118" t="s">
        <v>257</v>
      </c>
      <c r="C32" s="97"/>
      <c r="D32" s="97"/>
      <c r="E32" s="97"/>
      <c r="F32" s="97"/>
      <c r="G32" s="99"/>
      <c r="H32" s="100"/>
      <c r="I32" s="101"/>
      <c r="J32" s="227"/>
      <c r="K32" s="489"/>
      <c r="L32" s="250"/>
      <c r="M32" s="5"/>
      <c r="N32" s="5"/>
      <c r="O32" s="5"/>
      <c r="P32" s="5"/>
      <c r="Q32" s="5"/>
      <c r="R32" s="5"/>
      <c r="S32" s="5"/>
      <c r="T32" s="5"/>
      <c r="U32" s="5"/>
      <c r="V32" s="5"/>
      <c r="W32" s="5"/>
      <c r="X32" s="5"/>
      <c r="Y32" s="5"/>
      <c r="Z32" s="57"/>
      <c r="AA32" s="364" t="s">
        <v>199</v>
      </c>
      <c r="AB32" s="365"/>
      <c r="AC32" s="365"/>
      <c r="AD32" s="365"/>
      <c r="AE32">
        <f>ABS(($AH$39-AF45)/$AH$40)</f>
        <v>0.35714285714285715</v>
      </c>
      <c r="AF32" s="89">
        <f>4.505*8.04</f>
        <v>36.220199999999998</v>
      </c>
      <c r="AG32" s="89">
        <f>Parois!L49</f>
        <v>0.39937430012814151</v>
      </c>
      <c r="AH32" s="92">
        <f>AE32*AF32*AG32</f>
        <v>5.1662203662504682</v>
      </c>
      <c r="AI32" s="398"/>
      <c r="AJ32" s="5"/>
      <c r="AK32" s="5"/>
      <c r="AL32" s="447"/>
      <c r="AM32" s="447"/>
      <c r="AN32" s="447"/>
      <c r="AO32" s="447"/>
      <c r="AP32" s="447"/>
      <c r="AQ32" s="233"/>
      <c r="AR32" s="233"/>
      <c r="AS32" s="300"/>
      <c r="AT32" s="300"/>
      <c r="AU32" s="1000"/>
      <c r="AV32" s="5"/>
      <c r="AW32" s="618"/>
      <c r="AX32" s="618"/>
      <c r="AY32" s="618"/>
      <c r="AZ32" s="618"/>
      <c r="BA32" s="618"/>
      <c r="BB32" s="618"/>
      <c r="BC32" s="101"/>
      <c r="BD32" s="101"/>
      <c r="BE32" s="227"/>
      <c r="BF32" s="287"/>
      <c r="BG32" s="251" t="s">
        <v>263</v>
      </c>
      <c r="BH32" s="5"/>
    </row>
    <row r="33" spans="1:60" ht="19.5">
      <c r="A33" s="5"/>
      <c r="B33" s="1008" t="s">
        <v>220</v>
      </c>
      <c r="C33" s="1009" t="s">
        <v>221</v>
      </c>
      <c r="D33" s="1009"/>
      <c r="E33" s="1009"/>
      <c r="F33" s="1009"/>
      <c r="G33" s="196" t="s">
        <v>232</v>
      </c>
      <c r="H33" s="196" t="s">
        <v>222</v>
      </c>
      <c r="I33" s="196" t="s">
        <v>223</v>
      </c>
      <c r="J33" s="231" t="s">
        <v>233</v>
      </c>
      <c r="K33" s="489"/>
      <c r="L33" s="250"/>
      <c r="M33" s="5"/>
      <c r="N33" s="5"/>
      <c r="O33" s="5"/>
      <c r="P33" s="5"/>
      <c r="Q33" s="5"/>
      <c r="R33" s="5"/>
      <c r="S33" s="5"/>
      <c r="T33" s="5"/>
      <c r="U33" s="5"/>
      <c r="V33" s="5"/>
      <c r="W33" s="5"/>
      <c r="X33" s="5"/>
      <c r="Y33" s="5"/>
      <c r="AA33" t="s">
        <v>275</v>
      </c>
      <c r="AE33" s="2">
        <f>ABS(($AH$39-AF46)/$AH$40)</f>
        <v>7.1428571428571425E-2</v>
      </c>
      <c r="AF33">
        <f>3.075*3.945</f>
        <v>12.130875</v>
      </c>
      <c r="AG33">
        <f>Parois!L42</f>
        <v>1.8115853807007718</v>
      </c>
      <c r="AH33">
        <f>AE33*AF33*AG33</f>
        <v>1.5697225575077483</v>
      </c>
      <c r="AJ33" s="5"/>
      <c r="AK33" s="5"/>
      <c r="AL33" s="5"/>
      <c r="AM33" s="5"/>
      <c r="AN33" s="5"/>
      <c r="AO33" s="5"/>
      <c r="AP33" s="5"/>
      <c r="AQ33" s="233"/>
      <c r="AR33" s="300"/>
      <c r="AS33" s="300"/>
      <c r="AT33" s="300"/>
      <c r="AU33" s="154"/>
      <c r="AV33" s="5"/>
      <c r="AW33" s="997" t="s">
        <v>266</v>
      </c>
      <c r="AX33" s="997"/>
      <c r="AY33" s="997"/>
      <c r="AZ33" s="997"/>
      <c r="BA33" s="997"/>
      <c r="BB33" s="997"/>
      <c r="BC33" s="101" t="s">
        <v>267</v>
      </c>
      <c r="BD33" s="101" t="s">
        <v>262</v>
      </c>
      <c r="BE33" s="227">
        <f>BE29-BE30</f>
        <v>8</v>
      </c>
      <c r="BF33" s="288"/>
      <c r="BG33" s="250"/>
      <c r="BH33" s="5"/>
    </row>
    <row r="34" spans="1:60" ht="18">
      <c r="A34" s="5"/>
      <c r="B34" s="1008"/>
      <c r="C34" s="1009"/>
      <c r="D34" s="1009"/>
      <c r="E34" s="1009"/>
      <c r="F34" s="1009"/>
      <c r="G34" s="62" t="s">
        <v>228</v>
      </c>
      <c r="H34" s="62" t="s">
        <v>226</v>
      </c>
      <c r="I34" s="197" t="s">
        <v>227</v>
      </c>
      <c r="J34" s="232" t="s">
        <v>229</v>
      </c>
      <c r="K34" s="489"/>
      <c r="L34" s="250"/>
      <c r="M34" s="5"/>
      <c r="N34" s="5"/>
      <c r="O34" s="5"/>
      <c r="P34" s="5"/>
      <c r="Q34" s="5"/>
      <c r="R34" s="5"/>
      <c r="S34" s="5"/>
      <c r="T34" s="5"/>
      <c r="U34" s="5"/>
      <c r="V34" s="5"/>
      <c r="W34" s="5"/>
      <c r="X34" s="5"/>
      <c r="Y34" s="5"/>
      <c r="AA34" t="s">
        <v>392</v>
      </c>
      <c r="AE34">
        <f>ABS(($AH$39-AF46)/$AH$40)</f>
        <v>7.1428571428571425E-2</v>
      </c>
      <c r="AF34">
        <f>0.81*2.03</f>
        <v>1.6442999999999999</v>
      </c>
      <c r="AG34">
        <f>2.5</f>
        <v>2.5</v>
      </c>
      <c r="AH34">
        <f>AE34*AF34*AG34</f>
        <v>0.29362499999999997</v>
      </c>
      <c r="AJ34" s="5"/>
      <c r="AK34" s="5"/>
      <c r="AL34" s="5"/>
      <c r="AM34" s="5"/>
      <c r="AN34" s="5"/>
      <c r="AO34" s="5"/>
      <c r="AP34" s="5"/>
      <c r="AQ34" s="5"/>
      <c r="AR34" s="5"/>
      <c r="AS34" s="5"/>
      <c r="AT34" s="289"/>
      <c r="AU34" s="154"/>
      <c r="AV34" s="5"/>
      <c r="AW34" s="988" t="s">
        <v>268</v>
      </c>
      <c r="AX34" s="988"/>
      <c r="AY34" s="988"/>
      <c r="AZ34" s="988"/>
      <c r="BA34" s="988"/>
      <c r="BB34" s="988"/>
      <c r="BC34" s="988"/>
      <c r="BD34" s="988"/>
      <c r="BE34" s="988"/>
      <c r="BF34" s="234" t="e">
        <f>BE33*#REF!</f>
        <v>#REF!</v>
      </c>
      <c r="BG34" s="250"/>
      <c r="BH34" s="5"/>
    </row>
    <row r="35" spans="1:60" ht="18">
      <c r="A35" s="5"/>
      <c r="B35" s="57" t="s">
        <v>342</v>
      </c>
      <c r="C35" s="1123" t="s">
        <v>345</v>
      </c>
      <c r="D35" s="1123"/>
      <c r="E35" s="1123"/>
      <c r="F35" s="1123"/>
      <c r="G35" s="2">
        <f>G37</f>
        <v>0.13333333333333333</v>
      </c>
      <c r="H35" s="89">
        <f>(3.87+0.075+0.005)*3.94</f>
        <v>15.563000000000001</v>
      </c>
      <c r="I35" s="89">
        <f>Parois!L42</f>
        <v>1.8115853807007718</v>
      </c>
      <c r="J35" s="92">
        <f>G35*H35*I35</f>
        <v>3.7591604373128154</v>
      </c>
      <c r="K35" s="489"/>
      <c r="L35" s="250"/>
      <c r="M35" s="5"/>
      <c r="N35" s="5"/>
      <c r="O35" s="5"/>
      <c r="P35" s="5"/>
      <c r="Q35" s="5"/>
      <c r="R35" s="5"/>
      <c r="S35" s="5"/>
      <c r="T35" s="5"/>
      <c r="U35" s="5"/>
      <c r="V35" s="5"/>
      <c r="W35" s="5"/>
      <c r="X35" s="5"/>
      <c r="Y35" s="5"/>
      <c r="Z35" s="57" t="s">
        <v>255</v>
      </c>
      <c r="AA35" s="57"/>
      <c r="AB35" s="57"/>
      <c r="AC35" s="57"/>
      <c r="AD35" s="58"/>
      <c r="AE35" s="1"/>
      <c r="AF35" s="1"/>
      <c r="AG35" s="1"/>
      <c r="AH35" s="91" t="s">
        <v>256</v>
      </c>
      <c r="AI35" s="210">
        <f>AH32+AH33+AH34</f>
        <v>7.0295679237582158</v>
      </c>
      <c r="AJ35" s="5"/>
      <c r="AK35" s="5"/>
      <c r="AL35" s="444"/>
      <c r="AM35" s="5"/>
      <c r="AN35" s="5"/>
      <c r="AO35" s="5"/>
      <c r="AP35" s="5"/>
      <c r="AQ35" s="445"/>
      <c r="AR35" s="445"/>
      <c r="AS35" s="445"/>
      <c r="AT35" s="5"/>
      <c r="AU35" s="1000"/>
      <c r="AV35" s="5"/>
      <c r="AW35" s="989" t="s">
        <v>269</v>
      </c>
      <c r="AX35" s="989"/>
      <c r="AY35" s="989"/>
      <c r="AZ35" s="989"/>
      <c r="BA35" s="989"/>
      <c r="BB35" s="989"/>
      <c r="BC35" s="989"/>
      <c r="BD35" s="989"/>
      <c r="BE35" s="989"/>
      <c r="BF35" s="989"/>
      <c r="BG35" s="250"/>
      <c r="BH35" s="5"/>
    </row>
    <row r="36" spans="1:60" ht="18">
      <c r="A36" s="5"/>
      <c r="B36" s="57" t="s">
        <v>337</v>
      </c>
      <c r="C36" s="1123" t="s">
        <v>393</v>
      </c>
      <c r="D36" s="1123"/>
      <c r="E36" s="1123"/>
      <c r="F36" s="1123"/>
      <c r="G36" s="2">
        <f>(22-22)/(22--8)</f>
        <v>0</v>
      </c>
      <c r="H36" s="89">
        <f>5.01*3.94</f>
        <v>19.7394</v>
      </c>
      <c r="I36" s="89">
        <f>Parois!L42</f>
        <v>1.8115853807007718</v>
      </c>
      <c r="J36" s="92">
        <f>G36*H36*I36</f>
        <v>0</v>
      </c>
      <c r="K36" s="489"/>
      <c r="L36" s="250"/>
      <c r="M36" s="5"/>
      <c r="N36" s="5"/>
      <c r="O36" s="5"/>
      <c r="P36" s="5"/>
      <c r="Q36" s="5"/>
      <c r="R36" s="5"/>
      <c r="S36" s="5"/>
      <c r="T36" s="5"/>
      <c r="U36" s="5"/>
      <c r="V36" s="5"/>
      <c r="W36" s="5"/>
      <c r="X36" s="5"/>
      <c r="Y36" s="5"/>
      <c r="Z36" s="83" t="s">
        <v>258</v>
      </c>
      <c r="AA36" s="84"/>
      <c r="AB36" s="84"/>
      <c r="AC36" s="84"/>
      <c r="AD36" s="102"/>
      <c r="AE36" s="408" t="s">
        <v>259</v>
      </c>
      <c r="AF36" s="408"/>
      <c r="AG36" s="408"/>
      <c r="AH36" s="119"/>
      <c r="AI36" s="398"/>
      <c r="AJ36" s="398"/>
      <c r="AK36" s="5"/>
      <c r="AL36" s="444"/>
      <c r="AM36" s="5"/>
      <c r="AN36" s="5"/>
      <c r="AO36" s="5"/>
      <c r="AP36" s="5"/>
      <c r="AQ36" s="445"/>
      <c r="AR36" s="445"/>
      <c r="AS36" s="445"/>
      <c r="AT36" s="5"/>
      <c r="AU36" s="1000"/>
      <c r="AV36" s="5"/>
      <c r="AW36" s="990" t="s">
        <v>270</v>
      </c>
      <c r="AX36" s="991"/>
      <c r="AY36" s="991"/>
      <c r="AZ36" s="991"/>
      <c r="BA36" s="991"/>
      <c r="BB36" s="992"/>
      <c r="BC36" s="241" t="s">
        <v>271</v>
      </c>
      <c r="BD36" s="241" t="s">
        <v>272</v>
      </c>
      <c r="BE36" s="242" t="s">
        <v>273</v>
      </c>
      <c r="BF36" s="235" t="s">
        <v>274</v>
      </c>
      <c r="BG36" s="250"/>
      <c r="BH36" s="5"/>
    </row>
    <row r="37" spans="1:60">
      <c r="A37" s="5"/>
      <c r="B37" s="57" t="s">
        <v>342</v>
      </c>
      <c r="C37" s="1123" t="s">
        <v>394</v>
      </c>
      <c r="D37" s="1123"/>
      <c r="E37" s="1123"/>
      <c r="F37" s="1123"/>
      <c r="G37" s="2">
        <f>(22-18)/(22--8)</f>
        <v>0.13333333333333333</v>
      </c>
      <c r="H37" s="89">
        <f>1.64</f>
        <v>1.64</v>
      </c>
      <c r="I37" s="89">
        <f>Parois!L72</f>
        <v>2.5</v>
      </c>
      <c r="J37" s="92">
        <f>G37*H37*I37</f>
        <v>0.54666666666666663</v>
      </c>
      <c r="K37" s="489"/>
      <c r="L37" s="250"/>
      <c r="M37" s="5"/>
      <c r="N37" s="5"/>
      <c r="O37" s="5"/>
      <c r="P37" s="5"/>
      <c r="Q37" s="5"/>
      <c r="R37" s="5"/>
      <c r="S37" s="5"/>
      <c r="T37" s="5"/>
      <c r="U37" s="5"/>
      <c r="V37" s="5"/>
      <c r="W37" s="5"/>
      <c r="X37" s="5"/>
      <c r="Y37" s="5"/>
      <c r="Z37" s="104" t="s">
        <v>365</v>
      </c>
      <c r="AA37" s="103"/>
      <c r="AB37" s="103"/>
      <c r="AC37" s="103"/>
      <c r="AD37" s="103"/>
      <c r="AE37" s="103"/>
      <c r="AF37" s="103"/>
      <c r="AG37" s="103"/>
      <c r="AH37" s="103"/>
      <c r="AI37" s="398"/>
      <c r="AJ37" s="5"/>
      <c r="AK37" s="5"/>
      <c r="AL37" s="444"/>
      <c r="AM37" s="5"/>
      <c r="AN37" s="5"/>
      <c r="AO37" s="5"/>
      <c r="AP37" s="5"/>
      <c r="AQ37" s="445"/>
      <c r="AR37" s="445"/>
      <c r="AS37" s="445"/>
      <c r="AT37" s="5"/>
      <c r="AU37" s="1000"/>
      <c r="AV37" s="5"/>
      <c r="AW37" s="844" t="s">
        <v>294</v>
      </c>
      <c r="AX37" s="845"/>
      <c r="AY37" s="845"/>
      <c r="AZ37" s="845"/>
      <c r="BA37" s="845"/>
      <c r="BB37" s="846"/>
      <c r="BC37" s="246" t="s">
        <v>174</v>
      </c>
      <c r="BD37" s="246">
        <v>20</v>
      </c>
      <c r="BE37" s="245" t="s">
        <v>174</v>
      </c>
      <c r="BF37" s="245">
        <f>BE29-BD37</f>
        <v>12</v>
      </c>
      <c r="BG37" s="250"/>
      <c r="BH37" s="5"/>
    </row>
    <row r="38" spans="1:60" ht="19.5">
      <c r="A38" s="5"/>
      <c r="B38" s="57" t="s">
        <v>255</v>
      </c>
      <c r="C38" s="57"/>
      <c r="D38" s="57"/>
      <c r="E38" s="57"/>
      <c r="F38" s="58"/>
      <c r="G38" s="1"/>
      <c r="H38" s="1"/>
      <c r="I38" s="1"/>
      <c r="J38" s="91">
        <f>J35+J36+J37</f>
        <v>4.3058271039794818</v>
      </c>
      <c r="K38" s="489"/>
      <c r="L38" s="250"/>
      <c r="M38" s="5"/>
      <c r="N38" s="5"/>
      <c r="O38" s="5"/>
      <c r="P38" s="5"/>
      <c r="Q38" s="5"/>
      <c r="R38" s="5"/>
      <c r="S38" s="5"/>
      <c r="T38" s="5"/>
      <c r="U38" s="5"/>
      <c r="V38" s="5"/>
      <c r="W38" s="5"/>
      <c r="X38" s="5"/>
      <c r="Y38" s="5"/>
      <c r="Z38" s="351" t="s">
        <v>6</v>
      </c>
      <c r="AA38" s="351"/>
      <c r="AB38" s="351"/>
      <c r="AC38" s="351"/>
      <c r="AD38" s="351"/>
      <c r="AE38" s="351"/>
      <c r="AF38" s="1" t="s">
        <v>261</v>
      </c>
      <c r="AG38" s="1" t="s">
        <v>262</v>
      </c>
      <c r="AH38" s="119">
        <v>-8</v>
      </c>
      <c r="AI38" s="398"/>
      <c r="AJ38" s="5"/>
      <c r="AK38" s="5"/>
      <c r="AL38" s="46"/>
      <c r="AM38" s="46"/>
      <c r="AN38" s="46"/>
      <c r="AO38" s="46"/>
      <c r="AP38" s="46"/>
      <c r="AQ38" s="46"/>
      <c r="AR38" s="46"/>
      <c r="AS38" s="46"/>
      <c r="AT38" s="46"/>
      <c r="AU38" s="1000"/>
      <c r="AV38" s="5"/>
      <c r="AW38" s="818" t="s">
        <v>345</v>
      </c>
      <c r="AX38" s="818"/>
      <c r="AY38" s="818"/>
      <c r="AZ38" s="818"/>
      <c r="BA38" s="818"/>
      <c r="BB38" s="818"/>
      <c r="BC38" s="245" t="s">
        <v>174</v>
      </c>
      <c r="BD38" s="245">
        <v>25</v>
      </c>
      <c r="BE38" s="245" t="s">
        <v>174</v>
      </c>
      <c r="BF38" s="245">
        <f>BE29-BD38</f>
        <v>7</v>
      </c>
      <c r="BG38" s="250"/>
      <c r="BH38" s="5"/>
    </row>
    <row r="39" spans="1:60" ht="19.5">
      <c r="A39" s="5"/>
      <c r="B39" s="83" t="s">
        <v>258</v>
      </c>
      <c r="C39" s="84"/>
      <c r="D39" s="84"/>
      <c r="E39" s="84"/>
      <c r="F39" s="102"/>
      <c r="G39" s="999" t="s">
        <v>259</v>
      </c>
      <c r="H39" s="999"/>
      <c r="I39" s="999"/>
      <c r="J39" s="119"/>
      <c r="K39" s="506">
        <f>K13+J22+J38</f>
        <v>27.766033691040569</v>
      </c>
      <c r="L39" s="250"/>
      <c r="M39" s="5"/>
      <c r="N39" s="5"/>
      <c r="O39" s="5"/>
      <c r="P39" s="5"/>
      <c r="Q39" s="5"/>
      <c r="R39" s="5"/>
      <c r="S39" s="5"/>
      <c r="T39" s="5"/>
      <c r="U39" s="5"/>
      <c r="V39" s="5"/>
      <c r="W39" s="5"/>
      <c r="X39" s="5"/>
      <c r="Y39" s="5"/>
      <c r="Z39" s="352" t="s">
        <v>264</v>
      </c>
      <c r="AA39" s="352"/>
      <c r="AB39" s="352"/>
      <c r="AC39" s="352"/>
      <c r="AD39" s="352"/>
      <c r="AE39" s="352"/>
      <c r="AF39" s="1" t="s">
        <v>265</v>
      </c>
      <c r="AG39" s="1" t="s">
        <v>262</v>
      </c>
      <c r="AH39" s="119">
        <v>20</v>
      </c>
      <c r="AI39" s="398"/>
      <c r="AJ39" s="5"/>
      <c r="AK39" s="5"/>
      <c r="AL39" s="5"/>
      <c r="AM39" s="5"/>
      <c r="AN39" s="5"/>
      <c r="AO39" s="5"/>
      <c r="AP39" s="5"/>
      <c r="AQ39" s="5"/>
      <c r="AR39" s="5"/>
      <c r="AS39" s="5"/>
      <c r="AT39" s="5"/>
      <c r="AU39" s="1000"/>
      <c r="AV39" s="5"/>
      <c r="AW39" s="971"/>
      <c r="AX39" s="971"/>
      <c r="AY39" s="971"/>
      <c r="AZ39" s="971"/>
      <c r="BA39" s="971"/>
      <c r="BB39" s="971"/>
      <c r="BC39" s="245" t="s">
        <v>174</v>
      </c>
      <c r="BD39" s="245">
        <v>0</v>
      </c>
      <c r="BE39" s="245" t="s">
        <v>174</v>
      </c>
      <c r="BF39" s="245">
        <f>BE29-BD39</f>
        <v>32</v>
      </c>
      <c r="BG39" s="250"/>
      <c r="BH39" s="5"/>
    </row>
    <row r="40" spans="1:60" ht="19.5">
      <c r="A40" s="5"/>
      <c r="B40" s="104" t="s">
        <v>365</v>
      </c>
      <c r="C40" s="103"/>
      <c r="D40" s="103"/>
      <c r="E40" s="103"/>
      <c r="F40" s="103"/>
      <c r="G40" s="103"/>
      <c r="H40" s="103"/>
      <c r="I40" s="103"/>
      <c r="J40" s="103"/>
      <c r="L40" s="250"/>
      <c r="M40" s="5"/>
      <c r="N40" s="5"/>
      <c r="O40" s="5"/>
      <c r="P40" s="5"/>
      <c r="Q40" s="5"/>
      <c r="R40" s="5"/>
      <c r="S40" s="5"/>
      <c r="T40" s="5"/>
      <c r="U40" s="5"/>
      <c r="V40" s="5"/>
      <c r="W40" s="5"/>
      <c r="X40" s="5"/>
      <c r="Y40" s="5"/>
      <c r="Z40" s="351" t="s">
        <v>266</v>
      </c>
      <c r="AA40" s="351"/>
      <c r="AB40" s="351"/>
      <c r="AC40" s="351"/>
      <c r="AD40" s="351"/>
      <c r="AE40" s="351"/>
      <c r="AF40" s="1" t="s">
        <v>267</v>
      </c>
      <c r="AG40" s="1" t="s">
        <v>262</v>
      </c>
      <c r="AH40" s="119">
        <f>AH39-AH38</f>
        <v>28</v>
      </c>
      <c r="AI40" s="399"/>
      <c r="AJ40" s="5"/>
      <c r="AK40" s="5"/>
      <c r="AL40" s="446"/>
      <c r="AM40" s="446"/>
      <c r="AN40" s="446"/>
      <c r="AO40" s="446"/>
      <c r="AP40" s="446"/>
      <c r="AQ40" s="446"/>
      <c r="AR40" s="5"/>
      <c r="AS40" s="5"/>
      <c r="AT40" s="5"/>
      <c r="AU40" s="1000"/>
      <c r="AV40" s="5"/>
      <c r="AW40" s="972"/>
      <c r="AX40" s="973"/>
      <c r="AY40" s="973"/>
      <c r="AZ40" s="973"/>
      <c r="BA40" s="973"/>
      <c r="BB40" s="974"/>
      <c r="BC40" s="247" t="s">
        <v>174</v>
      </c>
      <c r="BD40" s="247">
        <v>0</v>
      </c>
      <c r="BE40" s="245" t="s">
        <v>174</v>
      </c>
      <c r="BF40" s="245">
        <f>BE29-BD40</f>
        <v>32</v>
      </c>
      <c r="BG40" s="251" t="s">
        <v>263</v>
      </c>
      <c r="BH40" s="5"/>
    </row>
    <row r="41" spans="1:60" ht="19.5">
      <c r="A41" s="5"/>
      <c r="B41" s="818" t="s">
        <v>6</v>
      </c>
      <c r="C41" s="818"/>
      <c r="D41" s="818"/>
      <c r="E41" s="818"/>
      <c r="F41" s="818"/>
      <c r="G41" s="818"/>
      <c r="H41" s="1" t="s">
        <v>261</v>
      </c>
      <c r="I41" s="1" t="s">
        <v>262</v>
      </c>
      <c r="J41" s="119">
        <v>-10</v>
      </c>
      <c r="K41" s="489"/>
      <c r="L41" s="250"/>
      <c r="M41" s="5"/>
      <c r="N41" s="5"/>
      <c r="O41" s="5"/>
      <c r="P41" s="5"/>
      <c r="Q41" s="5"/>
      <c r="R41" s="5"/>
      <c r="S41" s="5"/>
      <c r="T41" s="5"/>
      <c r="U41" s="5"/>
      <c r="V41" s="5"/>
      <c r="W41" s="5"/>
      <c r="X41" s="5"/>
      <c r="Z41" s="356" t="s">
        <v>289</v>
      </c>
      <c r="AA41" s="356"/>
      <c r="AB41" s="356"/>
      <c r="AC41" s="356"/>
      <c r="AD41" s="356"/>
      <c r="AE41" s="356"/>
      <c r="AF41" s="356"/>
      <c r="AG41" s="356"/>
      <c r="AH41" s="356"/>
      <c r="AI41" s="274">
        <f>AJ44*AH40</f>
        <v>1760.8771777313507</v>
      </c>
      <c r="AL41" s="5"/>
      <c r="AM41" s="5"/>
      <c r="AN41" s="5"/>
      <c r="AO41" s="5"/>
      <c r="AP41" s="5"/>
      <c r="AQ41" s="5"/>
      <c r="AR41" s="5"/>
      <c r="AS41" s="5"/>
      <c r="AT41" s="5"/>
      <c r="AU41" s="154"/>
      <c r="AV41" s="5"/>
      <c r="AW41" s="997"/>
      <c r="AX41" s="997"/>
      <c r="AY41" s="997"/>
      <c r="AZ41" s="997"/>
      <c r="BA41" s="997"/>
      <c r="BB41" s="997"/>
      <c r="BC41" s="247" t="s">
        <v>174</v>
      </c>
      <c r="BD41" s="247">
        <v>0</v>
      </c>
      <c r="BE41" s="245" t="s">
        <v>174</v>
      </c>
      <c r="BF41" s="245">
        <f>BE29-BD41</f>
        <v>32</v>
      </c>
      <c r="BG41" s="253" t="s">
        <v>263</v>
      </c>
      <c r="BH41" s="5"/>
    </row>
    <row r="42" spans="1:60" ht="19.5">
      <c r="A42" s="5"/>
      <c r="B42" s="971" t="s">
        <v>264</v>
      </c>
      <c r="C42" s="971"/>
      <c r="D42" s="971"/>
      <c r="E42" s="971"/>
      <c r="F42" s="971"/>
      <c r="G42" s="971"/>
      <c r="H42" s="1" t="s">
        <v>265</v>
      </c>
      <c r="I42" s="1" t="s">
        <v>262</v>
      </c>
      <c r="J42" s="119">
        <v>22</v>
      </c>
      <c r="K42" s="489"/>
      <c r="L42" s="250"/>
      <c r="M42" s="5"/>
      <c r="N42" s="5"/>
      <c r="O42" s="5"/>
      <c r="P42" s="5"/>
      <c r="Q42" s="5"/>
      <c r="R42" s="5"/>
      <c r="S42" s="5"/>
      <c r="T42" s="5"/>
      <c r="U42" s="5"/>
      <c r="V42" s="5"/>
      <c r="W42" s="5"/>
      <c r="X42" s="5"/>
      <c r="Z42" s="235" t="s">
        <v>269</v>
      </c>
      <c r="AA42" s="235"/>
      <c r="AB42" s="235"/>
      <c r="AC42" s="235"/>
      <c r="AD42" s="235"/>
      <c r="AE42" s="235"/>
      <c r="AF42" s="235"/>
      <c r="AG42" s="235"/>
      <c r="AH42" s="235"/>
      <c r="AI42" s="235"/>
      <c r="AL42" s="46"/>
      <c r="AM42" s="46"/>
      <c r="AN42" s="46"/>
      <c r="AO42" s="46"/>
      <c r="AP42" s="46"/>
      <c r="AQ42" s="46"/>
      <c r="AR42" s="46"/>
      <c r="AS42" s="46"/>
      <c r="AT42" s="46"/>
      <c r="AV42" s="5"/>
      <c r="AW42" s="993" t="s">
        <v>278</v>
      </c>
      <c r="AX42" s="993"/>
      <c r="AY42" s="993"/>
      <c r="AZ42" s="993"/>
      <c r="BA42" s="993"/>
      <c r="BB42" s="993"/>
      <c r="BC42" s="993"/>
      <c r="BD42" s="993"/>
      <c r="BE42" s="993"/>
      <c r="BF42" s="249"/>
      <c r="BG42" s="5"/>
      <c r="BH42" s="5"/>
    </row>
    <row r="43" spans="1:60" ht="19.5">
      <c r="A43" s="5"/>
      <c r="B43" s="818" t="s">
        <v>266</v>
      </c>
      <c r="C43" s="818"/>
      <c r="D43" s="818"/>
      <c r="E43" s="818"/>
      <c r="F43" s="818"/>
      <c r="G43" s="818"/>
      <c r="H43" s="1" t="s">
        <v>267</v>
      </c>
      <c r="I43" s="1" t="s">
        <v>262</v>
      </c>
      <c r="J43" s="119">
        <f>J42-J41</f>
        <v>32</v>
      </c>
      <c r="K43" s="454"/>
      <c r="L43" s="250"/>
      <c r="M43" s="5"/>
      <c r="N43" s="5"/>
      <c r="O43" s="5"/>
      <c r="P43" s="5"/>
      <c r="Q43" s="5"/>
      <c r="R43" s="5"/>
      <c r="S43" s="5"/>
      <c r="T43" s="5"/>
      <c r="U43" s="5"/>
      <c r="V43" s="5"/>
      <c r="W43" s="5"/>
      <c r="X43" s="5"/>
      <c r="Y43" s="5"/>
      <c r="Z43" s="348" t="s">
        <v>270</v>
      </c>
      <c r="AA43" s="349"/>
      <c r="AB43" s="349"/>
      <c r="AC43" s="349"/>
      <c r="AD43" s="349"/>
      <c r="AE43" s="350"/>
      <c r="AF43" s="241" t="s">
        <v>271</v>
      </c>
      <c r="AG43" s="241" t="s">
        <v>272</v>
      </c>
      <c r="AH43" s="242" t="s">
        <v>273</v>
      </c>
      <c r="AI43" s="235" t="s">
        <v>274</v>
      </c>
      <c r="AJ43" s="5"/>
      <c r="AK43" s="5"/>
      <c r="AL43" s="5"/>
      <c r="AM43" s="5"/>
      <c r="AN43" s="5"/>
      <c r="AO43" s="5"/>
      <c r="AP43" s="5"/>
      <c r="AQ43" s="5"/>
      <c r="AR43" s="5"/>
      <c r="AS43" s="5"/>
      <c r="AT43" s="5"/>
      <c r="AW43" s="987" t="s">
        <v>279</v>
      </c>
      <c r="AX43" s="987"/>
      <c r="AY43" s="987"/>
      <c r="AZ43" s="987"/>
      <c r="BA43" s="987"/>
      <c r="BB43" s="987"/>
      <c r="BC43" s="987"/>
      <c r="BD43" s="987"/>
      <c r="BE43" s="987"/>
      <c r="BF43" s="271">
        <f>BF27*BE33</f>
        <v>43.887241841081469</v>
      </c>
      <c r="BH43" s="5"/>
    </row>
    <row r="44" spans="1:60">
      <c r="A44" s="5"/>
      <c r="B44" s="988" t="s">
        <v>395</v>
      </c>
      <c r="C44" s="988"/>
      <c r="D44" s="988"/>
      <c r="E44" s="988"/>
      <c r="F44" s="988"/>
      <c r="G44" s="988"/>
      <c r="H44" s="988"/>
      <c r="I44" s="988"/>
      <c r="J44" s="988"/>
      <c r="K44" s="274">
        <f>K39*J43</f>
        <v>888.51307811329821</v>
      </c>
      <c r="L44" s="251" t="s">
        <v>263</v>
      </c>
      <c r="M44" s="5"/>
      <c r="N44" s="5"/>
      <c r="O44" s="5"/>
      <c r="P44" s="5"/>
      <c r="Q44" s="5"/>
      <c r="R44" s="5"/>
      <c r="S44" s="5"/>
      <c r="T44" s="5"/>
      <c r="U44" s="5"/>
      <c r="V44" s="5"/>
      <c r="W44" s="5"/>
      <c r="X44" s="5"/>
      <c r="Y44" s="5"/>
      <c r="Z44" s="352" t="s">
        <v>396</v>
      </c>
      <c r="AA44" s="352"/>
      <c r="AB44" s="352"/>
      <c r="AC44" s="352"/>
      <c r="AD44" s="352"/>
      <c r="AE44" s="352"/>
      <c r="AF44" s="245">
        <v>16</v>
      </c>
      <c r="AG44" s="245" t="s">
        <v>174</v>
      </c>
      <c r="AH44" s="245">
        <f t="shared" ref="AH44:AI46" si="1">$AH$39-AF44</f>
        <v>4</v>
      </c>
      <c r="AI44" s="245" t="e">
        <f t="shared" si="1"/>
        <v>#VALUE!</v>
      </c>
      <c r="AJ44" s="504">
        <f>AI26+AI35</f>
        <v>62.888470633262521</v>
      </c>
      <c r="AK44" s="5"/>
      <c r="AL44" s="5"/>
      <c r="AM44" s="5"/>
      <c r="AN44" s="5"/>
      <c r="AO44" s="5"/>
      <c r="AP44" s="5"/>
      <c r="AQ44" s="5"/>
      <c r="AR44" s="5"/>
      <c r="AS44" s="5"/>
      <c r="AT44" s="5"/>
    </row>
    <row r="45" spans="1:60">
      <c r="A45" s="5"/>
      <c r="B45" s="1158" t="s">
        <v>269</v>
      </c>
      <c r="C45" s="1158"/>
      <c r="D45" s="1158"/>
      <c r="E45" s="1158"/>
      <c r="F45" s="1158"/>
      <c r="G45" s="1158"/>
      <c r="H45" s="1158"/>
      <c r="I45" s="1158"/>
      <c r="J45" s="1158"/>
      <c r="K45" s="1158"/>
      <c r="L45" s="250"/>
      <c r="M45" s="5"/>
      <c r="N45" s="5"/>
      <c r="O45" s="5"/>
      <c r="P45" s="5"/>
      <c r="Q45" s="5"/>
      <c r="R45" s="5"/>
      <c r="S45" s="5"/>
      <c r="T45" s="5"/>
      <c r="U45" s="5"/>
      <c r="V45" s="5"/>
      <c r="W45" s="5"/>
      <c r="X45" s="5"/>
      <c r="Y45" s="5"/>
      <c r="Z45" s="351" t="s">
        <v>199</v>
      </c>
      <c r="AA45" s="351"/>
      <c r="AB45" s="351"/>
      <c r="AC45" s="351"/>
      <c r="AD45" s="351"/>
      <c r="AE45" s="351"/>
      <c r="AF45" s="245">
        <f>Données!G58</f>
        <v>10</v>
      </c>
      <c r="AG45" s="245">
        <f>Données!G58</f>
        <v>10</v>
      </c>
      <c r="AH45" s="245">
        <f t="shared" si="1"/>
        <v>10</v>
      </c>
      <c r="AI45" s="245">
        <f t="shared" si="1"/>
        <v>10</v>
      </c>
      <c r="AJ45" s="5"/>
      <c r="AK45" s="5"/>
      <c r="AL45" s="5"/>
      <c r="AM45" s="5"/>
      <c r="AN45" s="5"/>
      <c r="AO45" s="5"/>
      <c r="AP45" s="5"/>
      <c r="AQ45" s="5"/>
      <c r="AR45" s="5"/>
      <c r="AS45" s="5"/>
      <c r="AT45" s="5"/>
    </row>
    <row r="46" spans="1:60">
      <c r="A46" s="5"/>
      <c r="B46" s="990" t="s">
        <v>270</v>
      </c>
      <c r="C46" s="990"/>
      <c r="D46" s="990"/>
      <c r="E46" s="990"/>
      <c r="F46" s="990"/>
      <c r="G46" s="990"/>
      <c r="H46" s="241" t="s">
        <v>271</v>
      </c>
      <c r="I46" s="241" t="s">
        <v>272</v>
      </c>
      <c r="J46" s="242" t="s">
        <v>273</v>
      </c>
      <c r="K46" s="235" t="s">
        <v>274</v>
      </c>
      <c r="L46" s="250"/>
      <c r="M46" s="5"/>
      <c r="N46" s="5"/>
      <c r="O46" s="5"/>
      <c r="P46" s="5"/>
      <c r="Q46" s="5"/>
      <c r="R46" s="5"/>
      <c r="S46" s="5"/>
      <c r="T46" s="5"/>
      <c r="U46" s="5"/>
      <c r="V46" s="5"/>
      <c r="W46" s="5"/>
      <c r="X46" s="5"/>
      <c r="Y46" s="5"/>
      <c r="Z46" t="s">
        <v>275</v>
      </c>
      <c r="AF46">
        <v>18</v>
      </c>
      <c r="AG46">
        <v>25</v>
      </c>
      <c r="AH46">
        <f t="shared" si="1"/>
        <v>2</v>
      </c>
      <c r="AI46">
        <f t="shared" si="1"/>
        <v>-5</v>
      </c>
      <c r="AJ46" s="5"/>
      <c r="AK46" s="5"/>
      <c r="AL46" s="5"/>
      <c r="AM46" s="5"/>
      <c r="AN46" s="5"/>
      <c r="AO46" s="5"/>
      <c r="AP46" s="5"/>
      <c r="AQ46" s="5"/>
      <c r="AR46" s="5"/>
      <c r="AS46" s="5"/>
      <c r="AT46" s="5"/>
    </row>
    <row r="47" spans="1:60">
      <c r="A47" s="5"/>
      <c r="B47" s="818" t="s">
        <v>397</v>
      </c>
      <c r="C47" s="818"/>
      <c r="D47" s="818"/>
      <c r="E47" s="818"/>
      <c r="F47" s="818"/>
      <c r="G47" s="818"/>
      <c r="H47" s="245">
        <f>Données!G46</f>
        <v>16</v>
      </c>
      <c r="I47" s="245" t="s">
        <v>174</v>
      </c>
      <c r="J47" s="1">
        <f t="shared" ref="J47:K49" si="2">$J$42-H47</f>
        <v>6</v>
      </c>
      <c r="K47" s="1" t="e">
        <f t="shared" si="2"/>
        <v>#VALUE!</v>
      </c>
      <c r="L47" s="250"/>
      <c r="M47" s="5"/>
      <c r="N47" s="5"/>
      <c r="O47" s="5"/>
      <c r="P47" s="5"/>
      <c r="Q47" s="5"/>
      <c r="R47" s="5"/>
      <c r="S47" s="5"/>
      <c r="T47" s="5"/>
      <c r="U47" s="5"/>
      <c r="V47" s="5"/>
      <c r="W47" s="5"/>
      <c r="X47" s="5"/>
      <c r="Y47" s="5"/>
      <c r="Z47" t="s">
        <v>398</v>
      </c>
      <c r="AF47">
        <v>22</v>
      </c>
      <c r="AG47">
        <v>26</v>
      </c>
      <c r="AJ47" s="5"/>
      <c r="AK47" s="5"/>
      <c r="AL47" s="5"/>
      <c r="AM47" s="5"/>
      <c r="AN47" s="5"/>
      <c r="AO47" s="5"/>
      <c r="AP47" s="5"/>
      <c r="AQ47" s="5"/>
      <c r="AR47" s="5"/>
      <c r="AS47" s="5"/>
      <c r="AT47" s="5"/>
    </row>
    <row r="48" spans="1:60">
      <c r="A48" s="5"/>
      <c r="B48" s="971" t="s">
        <v>275</v>
      </c>
      <c r="C48" s="971"/>
      <c r="D48" s="971"/>
      <c r="E48" s="971"/>
      <c r="F48" s="971"/>
      <c r="G48" s="971"/>
      <c r="H48" s="245" t="e">
        <f>Données!#REF!</f>
        <v>#REF!</v>
      </c>
      <c r="I48" s="245" t="s">
        <v>174</v>
      </c>
      <c r="J48" s="1" t="e">
        <f t="shared" si="2"/>
        <v>#REF!</v>
      </c>
      <c r="K48" s="1" t="e">
        <f t="shared" si="2"/>
        <v>#VALUE!</v>
      </c>
      <c r="L48" s="250"/>
      <c r="M48" s="5"/>
      <c r="N48" s="5"/>
      <c r="O48" s="5"/>
      <c r="P48" s="5"/>
      <c r="Q48" s="5"/>
      <c r="R48" s="5"/>
      <c r="S48" s="5"/>
      <c r="T48" s="5"/>
      <c r="U48" s="5"/>
      <c r="V48" s="5"/>
      <c r="W48" s="5"/>
      <c r="X48" s="5"/>
      <c r="Y48" s="5"/>
      <c r="Z48" s="354" t="s">
        <v>278</v>
      </c>
      <c r="AA48" s="354"/>
      <c r="AB48" s="354"/>
      <c r="AC48" s="354"/>
      <c r="AD48" s="354"/>
      <c r="AE48" s="354"/>
      <c r="AF48" s="354"/>
      <c r="AG48" s="354"/>
      <c r="AH48" s="354"/>
      <c r="AI48" s="243">
        <f>AH44*AH17+AH45*AH32</f>
        <v>51.66220366250468</v>
      </c>
      <c r="AJ48" s="5"/>
      <c r="AK48" s="5"/>
      <c r="AL48" s="5"/>
      <c r="AM48" s="5"/>
      <c r="AN48" s="5"/>
      <c r="AO48" s="5"/>
      <c r="AP48" s="5"/>
      <c r="AQ48" s="5"/>
      <c r="AR48" s="5"/>
      <c r="AS48" s="5"/>
      <c r="AT48" s="5"/>
    </row>
    <row r="49" spans="1:60" ht="18.75">
      <c r="A49" s="5"/>
      <c r="B49" s="997" t="s">
        <v>199</v>
      </c>
      <c r="C49" s="997"/>
      <c r="D49" s="997"/>
      <c r="E49" s="997"/>
      <c r="F49" s="997"/>
      <c r="G49" s="997"/>
      <c r="H49" s="247">
        <f>Données!E31</f>
        <v>20</v>
      </c>
      <c r="I49" s="247">
        <f>Données!F31</f>
        <v>20</v>
      </c>
      <c r="J49" s="101">
        <f t="shared" si="2"/>
        <v>2</v>
      </c>
      <c r="K49" s="101">
        <f t="shared" si="2"/>
        <v>2</v>
      </c>
      <c r="L49" s="250"/>
      <c r="M49" s="5"/>
      <c r="N49" s="5"/>
      <c r="O49" s="5"/>
      <c r="P49" s="5"/>
      <c r="Q49" s="5"/>
      <c r="R49" s="5"/>
      <c r="S49" s="5"/>
      <c r="T49" s="5"/>
      <c r="U49" s="5"/>
      <c r="V49" s="5"/>
      <c r="W49" s="5"/>
      <c r="X49" s="5"/>
      <c r="Y49" s="5"/>
      <c r="Z49" s="345" t="s">
        <v>279</v>
      </c>
      <c r="AA49" s="345"/>
      <c r="AB49" s="345"/>
      <c r="AC49" s="345"/>
      <c r="AD49" s="345"/>
      <c r="AE49" s="345"/>
      <c r="AF49" s="345"/>
      <c r="AG49" s="345"/>
      <c r="AH49" s="345"/>
      <c r="AI49" s="271">
        <f>AI41</f>
        <v>1760.8771777313507</v>
      </c>
      <c r="AJ49" s="14" t="s">
        <v>263</v>
      </c>
      <c r="AK49" s="5"/>
      <c r="AL49" s="5"/>
      <c r="AM49" s="5"/>
      <c r="AN49" s="5"/>
      <c r="AO49" s="5"/>
      <c r="AP49" s="5"/>
      <c r="AQ49" s="5"/>
      <c r="AR49" s="5"/>
      <c r="AS49" s="5"/>
      <c r="AT49" s="5"/>
      <c r="AV49" s="5" t="s">
        <v>399</v>
      </c>
      <c r="AW49" s="656" t="s">
        <v>230</v>
      </c>
      <c r="AX49" s="657"/>
      <c r="AY49" s="657"/>
      <c r="AZ49" s="657"/>
      <c r="BA49" s="657"/>
      <c r="BB49" s="657"/>
      <c r="BC49" s="657"/>
      <c r="BD49" s="655"/>
      <c r="BE49" s="227"/>
      <c r="BF49" s="287"/>
      <c r="BG49" s="250"/>
      <c r="BH49" s="5"/>
    </row>
    <row r="50" spans="1:60" ht="18">
      <c r="A50" s="5"/>
      <c r="B50" s="993" t="s">
        <v>278</v>
      </c>
      <c r="C50" s="993"/>
      <c r="D50" s="993"/>
      <c r="E50" s="993"/>
      <c r="F50" s="993"/>
      <c r="G50" s="993"/>
      <c r="H50" s="993"/>
      <c r="I50" s="993"/>
      <c r="J50" s="993"/>
      <c r="K50" s="243"/>
      <c r="L50" s="251" t="s">
        <v>263</v>
      </c>
      <c r="M50" s="5"/>
      <c r="N50" s="5"/>
      <c r="O50" s="5"/>
      <c r="P50" s="5"/>
      <c r="Q50" s="5"/>
      <c r="R50" s="5"/>
      <c r="S50" s="5"/>
      <c r="T50" s="5"/>
      <c r="U50" s="5"/>
      <c r="V50" s="5"/>
      <c r="W50" s="5"/>
      <c r="X50" s="5"/>
      <c r="Y50" s="5"/>
      <c r="AJ50" s="5"/>
      <c r="AK50" s="5"/>
      <c r="AL50" s="5"/>
      <c r="AM50" s="5"/>
      <c r="AN50" s="5"/>
      <c r="AO50" s="5"/>
      <c r="AP50" s="5"/>
      <c r="AQ50" s="5"/>
      <c r="AR50" s="5"/>
      <c r="AS50" s="5"/>
      <c r="AT50" s="5"/>
      <c r="AV50" s="5"/>
      <c r="AW50" s="604" t="s">
        <v>220</v>
      </c>
      <c r="AX50" s="633" t="s">
        <v>221</v>
      </c>
      <c r="AY50" s="640"/>
      <c r="AZ50" s="640"/>
      <c r="BA50" s="640"/>
      <c r="BB50" s="654" t="s">
        <v>232</v>
      </c>
      <c r="BC50" s="654" t="s">
        <v>222</v>
      </c>
      <c r="BD50" s="196" t="s">
        <v>223</v>
      </c>
      <c r="BE50" s="231" t="s">
        <v>233</v>
      </c>
      <c r="BF50" s="287"/>
      <c r="BG50" s="250"/>
    </row>
    <row r="51" spans="1:60" ht="19.5" customHeight="1" thickBot="1">
      <c r="A51" s="5"/>
      <c r="B51" s="987" t="s">
        <v>279</v>
      </c>
      <c r="C51" s="987"/>
      <c r="D51" s="987"/>
      <c r="E51" s="987"/>
      <c r="F51" s="987"/>
      <c r="G51" s="987"/>
      <c r="H51" s="987"/>
      <c r="I51" s="987"/>
      <c r="J51" s="987"/>
      <c r="K51" s="271">
        <f>K44</f>
        <v>888.51307811329821</v>
      </c>
      <c r="L51" s="253" t="s">
        <v>263</v>
      </c>
      <c r="M51" s="5"/>
      <c r="N51" s="5"/>
      <c r="O51" s="5"/>
      <c r="P51" s="5"/>
      <c r="Q51" s="5"/>
      <c r="R51" s="5"/>
      <c r="S51" s="5"/>
      <c r="T51" s="5"/>
      <c r="U51" s="5"/>
      <c r="V51" s="5"/>
      <c r="W51" s="5"/>
      <c r="X51" s="5"/>
      <c r="Y51" s="5"/>
      <c r="Z51" s="5"/>
      <c r="AA51" s="5"/>
      <c r="AB51" s="5"/>
      <c r="AC51" s="5"/>
      <c r="AD51" s="5"/>
      <c r="AE51" s="5"/>
      <c r="AF51" s="5"/>
      <c r="AG51" s="5"/>
      <c r="AH51" s="5"/>
      <c r="AJ51" s="5"/>
      <c r="AK51" s="5"/>
      <c r="AL51" s="5"/>
      <c r="AM51" s="5"/>
      <c r="AN51" s="5"/>
      <c r="AO51" s="5"/>
      <c r="AP51" s="5"/>
      <c r="AQ51" s="5"/>
      <c r="AR51" s="5"/>
      <c r="AS51" s="5"/>
      <c r="AT51" s="5"/>
      <c r="AV51" s="5"/>
      <c r="AW51" s="155"/>
      <c r="AX51" s="362"/>
      <c r="AY51" s="363"/>
      <c r="AZ51" s="363"/>
      <c r="BA51" s="363"/>
      <c r="BB51" s="62" t="s">
        <v>228</v>
      </c>
      <c r="BC51" s="62" t="s">
        <v>226</v>
      </c>
      <c r="BD51" s="197" t="s">
        <v>227</v>
      </c>
      <c r="BE51" s="232" t="s">
        <v>229</v>
      </c>
      <c r="BF51" s="287"/>
      <c r="BG51" s="250"/>
    </row>
    <row r="52" spans="1:60" ht="18" customHeight="1" thickBot="1">
      <c r="A52" s="5"/>
      <c r="B52" s="5"/>
      <c r="C52" s="5"/>
      <c r="D52" s="5"/>
      <c r="E52" s="5"/>
      <c r="F52" s="5"/>
      <c r="G52" s="5"/>
      <c r="H52" s="5"/>
      <c r="I52" s="5"/>
      <c r="J52" s="5"/>
      <c r="K52" s="5"/>
      <c r="L52" s="250"/>
      <c r="M52" s="5"/>
      <c r="N52" s="5"/>
      <c r="O52" s="5"/>
      <c r="P52" s="5"/>
      <c r="Q52" s="5"/>
      <c r="R52" s="5"/>
      <c r="S52" s="5"/>
      <c r="T52" s="5"/>
      <c r="U52" s="5"/>
      <c r="V52" s="5"/>
      <c r="W52" s="5"/>
      <c r="X52" s="5"/>
      <c r="Y52" s="450" t="s">
        <v>400</v>
      </c>
      <c r="Z52" s="380" t="s">
        <v>219</v>
      </c>
      <c r="AA52" s="380"/>
      <c r="AB52" s="380"/>
      <c r="AC52" s="380"/>
      <c r="AD52" s="380"/>
      <c r="AE52" s="380"/>
      <c r="AF52" s="380"/>
      <c r="AG52" s="380"/>
      <c r="AH52" s="378"/>
      <c r="AI52" s="5"/>
      <c r="AJ52" s="5"/>
      <c r="AK52" s="5"/>
      <c r="AO52" s="5"/>
      <c r="AP52" s="5"/>
      <c r="AQ52" s="5"/>
      <c r="AR52" s="5"/>
      <c r="AS52" s="5"/>
      <c r="AT52" s="5"/>
      <c r="AV52" s="5"/>
      <c r="AW52" s="155"/>
      <c r="AX52" s="346" t="s">
        <v>294</v>
      </c>
      <c r="AY52" s="629"/>
      <c r="AZ52" s="629"/>
      <c r="BA52" s="630"/>
      <c r="BB52" s="264">
        <f>(BE$63-BD70)/BE66</f>
        <v>1</v>
      </c>
      <c r="BC52" s="65">
        <f>4.045*5.04</f>
        <v>20.386800000000001</v>
      </c>
      <c r="BD52" s="265">
        <f>Parois!L49</f>
        <v>0.39937430012814151</v>
      </c>
      <c r="BE52" s="266">
        <f>BB52*BC52*BD52</f>
        <v>8.1419639818523954</v>
      </c>
      <c r="BF52" s="287"/>
      <c r="BG52" s="969"/>
    </row>
    <row r="53" spans="1:60" ht="18.75" thickBot="1">
      <c r="A53" s="153" t="s">
        <v>401</v>
      </c>
      <c r="B53" s="5"/>
      <c r="C53" s="5"/>
      <c r="D53" s="5"/>
      <c r="E53" s="5"/>
      <c r="F53" s="5"/>
      <c r="G53" s="5"/>
      <c r="H53" s="5"/>
      <c r="I53" s="5"/>
      <c r="J53" s="5"/>
      <c r="L53" s="250"/>
      <c r="M53" s="5"/>
      <c r="N53" s="5"/>
      <c r="O53" s="5"/>
      <c r="P53" s="5"/>
      <c r="Q53" s="5"/>
      <c r="R53" s="5"/>
      <c r="S53" s="5"/>
      <c r="T53" s="5"/>
      <c r="U53" s="5"/>
      <c r="V53" s="5"/>
      <c r="W53" s="5"/>
      <c r="X53" s="5"/>
      <c r="Y53" s="5" t="s">
        <v>379</v>
      </c>
      <c r="Z53" s="221" t="s">
        <v>220</v>
      </c>
      <c r="AA53" s="221" t="s">
        <v>221</v>
      </c>
      <c r="AB53" s="221"/>
      <c r="AC53" s="221"/>
      <c r="AD53" s="221"/>
      <c r="AE53" s="108" t="s">
        <v>222</v>
      </c>
      <c r="AF53" s="108" t="s">
        <v>223</v>
      </c>
      <c r="AG53" s="108" t="s">
        <v>224</v>
      </c>
      <c r="AH53" s="91" t="s">
        <v>225</v>
      </c>
      <c r="AI53" s="213"/>
      <c r="AJ53" s="5"/>
      <c r="AK53" s="5"/>
      <c r="AO53" s="5"/>
      <c r="AP53" s="5"/>
      <c r="AQ53" s="5"/>
      <c r="AR53" s="5"/>
      <c r="AS53" s="5"/>
      <c r="AT53" s="5"/>
      <c r="AV53" s="5"/>
      <c r="AW53" s="155"/>
      <c r="AX53" s="346" t="s">
        <v>275</v>
      </c>
      <c r="AY53" s="629"/>
      <c r="AZ53" s="629"/>
      <c r="BA53" s="630"/>
      <c r="BB53" s="264">
        <f>(BE$63-BD71)/BE66</f>
        <v>0.16666666666666666</v>
      </c>
      <c r="BC53" s="65">
        <f>(3.87+0.075+0.005)*3.94</f>
        <v>15.563000000000001</v>
      </c>
      <c r="BD53" s="265">
        <f>Parois!L42</f>
        <v>1.8115853807007718</v>
      </c>
      <c r="BE53" s="266">
        <f>BB53*BC53*BD53</f>
        <v>4.6989505466410186</v>
      </c>
      <c r="BF53" s="287"/>
      <c r="BG53" s="969"/>
    </row>
    <row r="54" spans="1:60" ht="18.75">
      <c r="A54" s="5"/>
      <c r="B54" s="1001" t="s">
        <v>219</v>
      </c>
      <c r="C54" s="1001"/>
      <c r="D54" s="1001"/>
      <c r="E54" s="1001"/>
      <c r="F54" s="1001"/>
      <c r="G54" s="1001"/>
      <c r="H54" s="1001"/>
      <c r="I54" s="1001"/>
      <c r="J54" s="1001"/>
      <c r="K54" s="101"/>
      <c r="L54" s="250"/>
      <c r="M54" s="1162"/>
      <c r="N54" s="1162"/>
      <c r="O54" s="1162"/>
      <c r="P54" s="1162"/>
      <c r="Q54" s="1162"/>
      <c r="R54" s="1162"/>
      <c r="S54" s="1162"/>
      <c r="T54" s="1162"/>
      <c r="U54" s="1162"/>
      <c r="V54" s="1162"/>
      <c r="W54" s="1162"/>
      <c r="X54" s="1162"/>
      <c r="Z54" s="221"/>
      <c r="AA54" s="221"/>
      <c r="AC54" s="221"/>
      <c r="AD54" s="221"/>
      <c r="AE54" s="2" t="s">
        <v>226</v>
      </c>
      <c r="AF54" s="89" t="s">
        <v>227</v>
      </c>
      <c r="AG54" s="89" t="s">
        <v>228</v>
      </c>
      <c r="AH54" s="92" t="s">
        <v>229</v>
      </c>
      <c r="AI54" s="307"/>
      <c r="AK54" s="5"/>
      <c r="AO54" s="5"/>
      <c r="AP54" s="5"/>
      <c r="AQ54" s="5"/>
      <c r="AR54" s="5"/>
      <c r="AS54" s="5"/>
      <c r="AT54" s="5"/>
      <c r="AV54" s="5"/>
      <c r="AW54" s="155"/>
      <c r="AX54" s="346" t="s">
        <v>246</v>
      </c>
      <c r="AY54" s="629"/>
      <c r="AZ54" s="629"/>
      <c r="BA54" s="630"/>
      <c r="BB54" s="264">
        <f>(BE63-BD72)/BE66</f>
        <v>1</v>
      </c>
      <c r="BC54" s="65">
        <f>1.64</f>
        <v>1.64</v>
      </c>
      <c r="BD54" s="265">
        <f>Parois!L28</f>
        <v>2.642391922017747</v>
      </c>
      <c r="BE54" s="266">
        <f>BB54*BC54*BD54</f>
        <v>4.3335227521091051</v>
      </c>
      <c r="BF54" s="287"/>
      <c r="BG54" s="969"/>
    </row>
    <row r="55" spans="1:60" ht="18">
      <c r="A55" s="5"/>
      <c r="B55" s="994" t="s">
        <v>220</v>
      </c>
      <c r="C55" s="994" t="s">
        <v>221</v>
      </c>
      <c r="D55" s="994"/>
      <c r="E55" s="994"/>
      <c r="F55" s="994"/>
      <c r="G55" s="108" t="s">
        <v>222</v>
      </c>
      <c r="H55" s="108" t="s">
        <v>223</v>
      </c>
      <c r="I55" s="108" t="s">
        <v>224</v>
      </c>
      <c r="J55" s="91" t="s">
        <v>225</v>
      </c>
      <c r="K55" s="489"/>
      <c r="L55" s="250"/>
      <c r="M55" s="1162"/>
      <c r="N55" s="1162"/>
      <c r="O55" s="1162"/>
      <c r="P55" s="1162"/>
      <c r="Q55" s="1162"/>
      <c r="R55" s="1162"/>
      <c r="S55" s="1162"/>
      <c r="T55" s="1162"/>
      <c r="U55" s="1162"/>
      <c r="V55" s="1162"/>
      <c r="W55" s="1162"/>
      <c r="X55" s="1162"/>
      <c r="Z55" s="110" t="s">
        <v>383</v>
      </c>
      <c r="AA55" s="402" t="s">
        <v>296</v>
      </c>
      <c r="AC55" s="403"/>
      <c r="AD55" s="404"/>
      <c r="AE55" s="87">
        <f>4*3.94-AE59-AE58</f>
        <v>12.790000000000001</v>
      </c>
      <c r="AF55" s="87">
        <f>Parois!L13</f>
        <v>0.31196948579298983</v>
      </c>
      <c r="AG55" s="87">
        <v>1</v>
      </c>
      <c r="AH55" s="93">
        <f>AE55*AF55*AG55</f>
        <v>3.99008972329234</v>
      </c>
      <c r="AI55" s="307"/>
      <c r="AK55" s="5"/>
      <c r="AO55" s="5"/>
      <c r="AP55" s="5"/>
      <c r="AQ55" s="5"/>
      <c r="AR55" s="5"/>
      <c r="AS55" s="5"/>
      <c r="AT55" s="5"/>
      <c r="AV55" s="5"/>
      <c r="AW55" s="155"/>
      <c r="AX55" s="346" t="s">
        <v>402</v>
      </c>
      <c r="AY55" s="629"/>
      <c r="AZ55" s="629"/>
      <c r="BA55" s="630"/>
      <c r="BB55" s="264"/>
      <c r="BC55" s="65"/>
      <c r="BD55" s="267"/>
      <c r="BE55" s="266"/>
      <c r="BF55" s="287"/>
      <c r="BG55" s="969"/>
    </row>
    <row r="56" spans="1:60" ht="18" customHeight="1">
      <c r="A56" s="5"/>
      <c r="B56" s="994"/>
      <c r="C56" s="994"/>
      <c r="D56" s="994"/>
      <c r="E56" s="994"/>
      <c r="F56" s="994"/>
      <c r="G56" s="2" t="s">
        <v>226</v>
      </c>
      <c r="H56" s="89" t="s">
        <v>227</v>
      </c>
      <c r="I56" s="89" t="s">
        <v>228</v>
      </c>
      <c r="J56" s="92" t="s">
        <v>229</v>
      </c>
      <c r="K56" s="489"/>
      <c r="L56" s="250"/>
      <c r="M56" s="1162"/>
      <c r="N56" s="1162"/>
      <c r="O56" s="1162"/>
      <c r="P56" s="1162"/>
      <c r="Q56" s="1162"/>
      <c r="R56" s="1162"/>
      <c r="S56" s="1162"/>
      <c r="T56" s="1162"/>
      <c r="U56" s="1162"/>
      <c r="V56" s="1162"/>
      <c r="W56" s="1162"/>
      <c r="X56" s="1162"/>
      <c r="Y56" s="5"/>
      <c r="Z56" s="87"/>
      <c r="AA56" s="395" t="s">
        <v>206</v>
      </c>
      <c r="AB56" s="396"/>
      <c r="AC56" s="396"/>
      <c r="AD56" s="397"/>
      <c r="AE56" s="87">
        <f>AF89</f>
        <v>15.78</v>
      </c>
      <c r="AF56" s="87">
        <f>Parois!L59</f>
        <v>0.14630087903826619</v>
      </c>
      <c r="AG56" s="87">
        <v>1</v>
      </c>
      <c r="AH56" s="93"/>
      <c r="AI56" s="307"/>
      <c r="AJ56" s="14" t="s">
        <v>263</v>
      </c>
      <c r="AO56" s="5"/>
      <c r="AP56" s="5"/>
      <c r="AQ56" s="5"/>
      <c r="AR56" s="5"/>
      <c r="AS56" s="5"/>
      <c r="AT56" s="5"/>
      <c r="AV56" s="5"/>
      <c r="AW56" s="155"/>
      <c r="AX56" s="346"/>
      <c r="AY56" s="629"/>
      <c r="AZ56" s="629"/>
      <c r="BA56" s="629"/>
      <c r="BB56" s="264"/>
      <c r="BC56" s="65"/>
      <c r="BD56" s="267"/>
      <c r="BE56" s="266"/>
      <c r="BF56" s="287"/>
      <c r="BG56" s="969"/>
    </row>
    <row r="57" spans="1:60">
      <c r="A57" s="5"/>
      <c r="B57" s="110" t="s">
        <v>344</v>
      </c>
      <c r="C57" s="1153" t="s">
        <v>381</v>
      </c>
      <c r="D57" s="1153"/>
      <c r="E57" s="1153"/>
      <c r="F57" s="1153"/>
      <c r="G57" s="87">
        <f>4*3.78-G59-G60</f>
        <v>9.18</v>
      </c>
      <c r="H57" s="87">
        <f>Parois!L13</f>
        <v>0.31196948579298983</v>
      </c>
      <c r="I57" s="87">
        <v>1</v>
      </c>
      <c r="J57" s="93">
        <f>G57*H57*I57</f>
        <v>2.8638798795796467</v>
      </c>
      <c r="K57" s="489"/>
      <c r="L57" s="250"/>
      <c r="M57" s="1162"/>
      <c r="N57" s="1162"/>
      <c r="O57" s="1162"/>
      <c r="P57" s="1162"/>
      <c r="Q57" s="1162"/>
      <c r="R57" s="1162"/>
      <c r="S57" s="1162"/>
      <c r="T57" s="1162"/>
      <c r="U57" s="1162"/>
      <c r="V57" s="1162"/>
      <c r="W57" s="1162"/>
      <c r="X57" s="1162"/>
      <c r="Y57" s="5"/>
      <c r="Z57" s="87"/>
      <c r="AA57" s="395"/>
      <c r="AB57" s="396"/>
      <c r="AC57" s="396"/>
      <c r="AD57" s="397"/>
      <c r="AE57" s="87"/>
      <c r="AF57" s="87"/>
      <c r="AG57" s="87"/>
      <c r="AH57" s="93"/>
      <c r="AI57" s="307"/>
      <c r="AJ57" s="253" t="s">
        <v>263</v>
      </c>
      <c r="AO57" s="5"/>
      <c r="AP57" s="5"/>
      <c r="AQ57" s="5"/>
      <c r="AR57" s="5"/>
      <c r="AS57" s="5"/>
      <c r="AT57" s="5"/>
      <c r="AV57" s="5"/>
      <c r="AW57" s="57"/>
      <c r="AX57" s="364"/>
      <c r="AY57" s="365"/>
      <c r="AZ57" s="365"/>
      <c r="BA57" s="365"/>
      <c r="BB57" s="264"/>
      <c r="BC57" s="268"/>
      <c r="BD57" s="268"/>
      <c r="BE57" s="266"/>
      <c r="BF57" s="287"/>
      <c r="BG57" s="969"/>
    </row>
    <row r="58" spans="1:60">
      <c r="A58" s="5"/>
      <c r="B58" s="87"/>
      <c r="C58" s="1154"/>
      <c r="D58" s="1154"/>
      <c r="E58" s="1154"/>
      <c r="F58" s="1154"/>
      <c r="G58" s="244" t="s">
        <v>242</v>
      </c>
      <c r="H58" s="244" t="s">
        <v>242</v>
      </c>
      <c r="I58" s="87"/>
      <c r="J58" s="93"/>
      <c r="K58" s="489"/>
      <c r="L58" s="250"/>
      <c r="M58" s="1162"/>
      <c r="N58" s="1162"/>
      <c r="O58" s="1162"/>
      <c r="P58" s="1162"/>
      <c r="Q58" s="1162"/>
      <c r="R58" s="1162"/>
      <c r="S58" s="1162"/>
      <c r="T58" s="1162"/>
      <c r="U58" s="1162"/>
      <c r="V58" s="1162"/>
      <c r="W58" s="1162"/>
      <c r="X58" s="1162"/>
      <c r="Z58" s="87"/>
      <c r="AA58" s="395" t="s">
        <v>403</v>
      </c>
      <c r="AB58" s="396"/>
      <c r="AC58" s="396"/>
      <c r="AD58" s="397"/>
      <c r="AE58" s="87">
        <f>SUM(Parois!AB13:AC13)</f>
        <v>1.4849999999999999</v>
      </c>
      <c r="AF58" s="87">
        <f>Parois!AE13</f>
        <v>2.0386478114478117</v>
      </c>
      <c r="AG58" s="87">
        <v>1</v>
      </c>
      <c r="AH58" s="93">
        <f>AE58*AF58*AG58</f>
        <v>3.0273920000000003</v>
      </c>
      <c r="AI58" s="307"/>
      <c r="AL58" s="5"/>
      <c r="AM58" s="5"/>
      <c r="AN58" s="5"/>
      <c r="AO58" s="5"/>
      <c r="AP58" s="5"/>
      <c r="AQ58" s="5"/>
      <c r="AR58" s="5"/>
      <c r="AS58" s="5"/>
      <c r="AT58" s="5"/>
      <c r="AV58" s="5"/>
      <c r="AW58" s="57"/>
      <c r="AX58" s="364"/>
      <c r="AY58" s="365"/>
      <c r="AZ58" s="365"/>
      <c r="BA58" s="365"/>
      <c r="BB58" s="264"/>
      <c r="BC58" s="268"/>
      <c r="BD58" s="268"/>
      <c r="BE58" s="266"/>
      <c r="BF58" s="287"/>
      <c r="BG58" s="969"/>
    </row>
    <row r="59" spans="1:60" ht="18">
      <c r="A59" s="5"/>
      <c r="B59" s="56"/>
      <c r="C59" s="1157" t="s">
        <v>403</v>
      </c>
      <c r="D59" s="1157"/>
      <c r="E59" s="1157"/>
      <c r="F59" s="1157"/>
      <c r="G59" s="208">
        <f>2*SUM(Parois!AB11:AC11)</f>
        <v>4.7699999999999996</v>
      </c>
      <c r="H59" s="208">
        <f>Parois!AG11</f>
        <v>1.4491928567553625</v>
      </c>
      <c r="I59" s="56">
        <v>1</v>
      </c>
      <c r="J59" s="93">
        <f>G59*H59*I59</f>
        <v>6.9126499267230788</v>
      </c>
      <c r="K59" s="489"/>
      <c r="L59" s="250"/>
      <c r="M59" s="1162"/>
      <c r="N59" s="1162"/>
      <c r="O59" s="1162"/>
      <c r="P59" s="1162"/>
      <c r="Q59" s="1162"/>
      <c r="R59" s="1162"/>
      <c r="S59" s="1162"/>
      <c r="T59" s="1162"/>
      <c r="U59" s="1162"/>
      <c r="V59" s="1162"/>
      <c r="W59" s="1162"/>
      <c r="X59" s="1162"/>
      <c r="Y59" s="5"/>
      <c r="Z59" s="56"/>
      <c r="AA59" s="395" t="s">
        <v>404</v>
      </c>
      <c r="AB59" s="396"/>
      <c r="AC59" s="396"/>
      <c r="AD59" s="397"/>
      <c r="AE59" s="56">
        <f>SUM(Parois!AB14:AC14)</f>
        <v>1.4849999999999999</v>
      </c>
      <c r="AF59" s="87">
        <f>Parois!AE14</f>
        <v>2.0386478114478117</v>
      </c>
      <c r="AG59" s="56">
        <v>1</v>
      </c>
      <c r="AH59" s="93">
        <f>AE59*AF59*AG59</f>
        <v>3.0273920000000003</v>
      </c>
      <c r="AI59" s="307"/>
      <c r="AJ59" s="5"/>
      <c r="AK59" s="5"/>
      <c r="AL59" s="5"/>
      <c r="AM59" s="5"/>
      <c r="AN59" s="5"/>
      <c r="AO59" s="5"/>
      <c r="AP59" s="5"/>
      <c r="AQ59" s="5"/>
      <c r="AR59" s="5"/>
      <c r="AS59" s="5"/>
      <c r="AT59" s="5"/>
      <c r="AV59" s="5"/>
      <c r="AW59" s="57" t="s">
        <v>255</v>
      </c>
      <c r="AX59" s="57"/>
      <c r="AY59" s="57"/>
      <c r="AZ59" s="57"/>
      <c r="BA59" s="58"/>
      <c r="BB59" s="1"/>
      <c r="BC59" s="1"/>
      <c r="BD59" s="1"/>
      <c r="BE59" s="91" t="s">
        <v>256</v>
      </c>
      <c r="BF59" s="287"/>
      <c r="BG59" s="969"/>
    </row>
    <row r="60" spans="1:60" ht="18" customHeight="1">
      <c r="A60" s="5"/>
      <c r="B60" s="205"/>
      <c r="C60" s="862" t="s">
        <v>404</v>
      </c>
      <c r="D60" s="862"/>
      <c r="E60" s="862"/>
      <c r="F60" s="862"/>
      <c r="G60" s="1">
        <f>2*SUM(Parois!AB12:AC12)</f>
        <v>1.1700000000000002</v>
      </c>
      <c r="H60" s="1">
        <f>Parois!AG12</f>
        <v>1.7595079121018575</v>
      </c>
      <c r="I60" s="206">
        <v>1</v>
      </c>
      <c r="J60" s="207">
        <f>G60*H60*I60</f>
        <v>2.0586242571591735</v>
      </c>
      <c r="K60" s="489"/>
      <c r="L60" s="250"/>
      <c r="M60" s="5"/>
      <c r="N60" s="5"/>
      <c r="O60" s="5"/>
      <c r="P60" s="5"/>
      <c r="Q60" s="5"/>
      <c r="R60" s="5"/>
      <c r="S60" s="5"/>
      <c r="T60" s="5"/>
      <c r="U60" s="5"/>
      <c r="V60" s="5"/>
      <c r="W60" s="5"/>
      <c r="X60" s="5"/>
      <c r="Z60" s="405"/>
      <c r="AA60" s="407"/>
      <c r="AB60" s="407"/>
      <c r="AC60" s="407"/>
      <c r="AD60" s="407"/>
      <c r="AE60" s="407"/>
      <c r="AF60" s="407"/>
      <c r="AG60" s="406"/>
      <c r="AH60" s="105">
        <f>SUM(AH55:AH59)</f>
        <v>10.044873723292341</v>
      </c>
      <c r="AI60" s="307"/>
      <c r="AJ60" s="5"/>
      <c r="AK60" s="5"/>
      <c r="AL60" s="5"/>
      <c r="AM60" s="5"/>
      <c r="AN60" s="5"/>
      <c r="AO60" s="5"/>
      <c r="AP60" s="5"/>
      <c r="AQ60" s="5"/>
      <c r="AR60" s="5"/>
      <c r="AS60" s="5"/>
      <c r="AT60" s="5"/>
      <c r="AV60" s="5"/>
      <c r="AW60" s="83" t="s">
        <v>258</v>
      </c>
      <c r="AX60" s="84"/>
      <c r="AY60" s="84"/>
      <c r="AZ60" s="84"/>
      <c r="BA60" s="102"/>
      <c r="BB60" s="355" t="s">
        <v>259</v>
      </c>
      <c r="BC60" s="355"/>
      <c r="BD60" s="355"/>
      <c r="BE60" s="119"/>
      <c r="BF60" s="663">
        <f>BE52+BE53+BE54</f>
        <v>17.174437280602518</v>
      </c>
      <c r="BG60" s="969"/>
    </row>
    <row r="61" spans="1:60" ht="18">
      <c r="A61" s="5"/>
      <c r="B61" s="1155"/>
      <c r="C61" s="1155"/>
      <c r="D61" s="1155"/>
      <c r="E61" s="1155"/>
      <c r="F61" s="1155"/>
      <c r="G61" s="1155"/>
      <c r="H61" s="1155"/>
      <c r="I61" s="1155"/>
      <c r="J61" s="105">
        <f>SUM(J57:J60)</f>
        <v>11.8351540634619</v>
      </c>
      <c r="K61" s="489"/>
      <c r="L61" s="250"/>
      <c r="M61" s="5"/>
      <c r="N61" s="5"/>
      <c r="O61" s="5"/>
      <c r="P61" s="5"/>
      <c r="Q61" s="5"/>
      <c r="R61" s="5"/>
      <c r="S61" s="5"/>
      <c r="T61" s="5"/>
      <c r="U61" s="5"/>
      <c r="V61" s="5"/>
      <c r="W61" s="5"/>
      <c r="X61" s="5"/>
      <c r="Z61" s="359" t="s">
        <v>220</v>
      </c>
      <c r="AA61" s="360" t="s">
        <v>302</v>
      </c>
      <c r="AB61" s="361"/>
      <c r="AC61" s="361"/>
      <c r="AD61" s="381"/>
      <c r="AE61" s="114" t="s">
        <v>303</v>
      </c>
      <c r="AF61" s="114" t="s">
        <v>304</v>
      </c>
      <c r="AG61" s="114" t="s">
        <v>224</v>
      </c>
      <c r="AH61" s="90" t="s">
        <v>305</v>
      </c>
      <c r="AI61" s="105"/>
      <c r="AJ61" s="5"/>
      <c r="AK61" s="5"/>
      <c r="AL61" s="5"/>
      <c r="AM61" s="5"/>
      <c r="AN61" s="5"/>
      <c r="AO61" s="5"/>
      <c r="AP61" s="5"/>
      <c r="AQ61" s="5"/>
      <c r="AR61" s="5"/>
      <c r="AS61" s="5"/>
      <c r="AT61" s="5"/>
      <c r="AV61" s="5"/>
      <c r="AW61" s="104" t="s">
        <v>260</v>
      </c>
      <c r="AX61" s="103"/>
      <c r="AY61" s="103"/>
      <c r="AZ61" s="103"/>
      <c r="BA61" s="103"/>
      <c r="BB61" s="103"/>
      <c r="BC61" s="103"/>
      <c r="BD61" s="103"/>
      <c r="BE61" s="103"/>
      <c r="BF61" s="287"/>
      <c r="BG61" s="969"/>
    </row>
    <row r="62" spans="1:60" ht="19.5" customHeight="1">
      <c r="A62" s="5"/>
      <c r="B62" s="1008" t="s">
        <v>220</v>
      </c>
      <c r="C62" s="1009" t="s">
        <v>302</v>
      </c>
      <c r="D62" s="1009"/>
      <c r="E62" s="1009"/>
      <c r="F62" s="1009"/>
      <c r="G62" s="114" t="s">
        <v>303</v>
      </c>
      <c r="H62" s="114" t="s">
        <v>304</v>
      </c>
      <c r="I62" s="114" t="s">
        <v>224</v>
      </c>
      <c r="J62" s="90" t="s">
        <v>305</v>
      </c>
      <c r="K62" s="489"/>
      <c r="L62" s="250"/>
      <c r="M62" s="5" t="s">
        <v>405</v>
      </c>
      <c r="N62" s="656" t="s">
        <v>230</v>
      </c>
      <c r="O62" s="657"/>
      <c r="P62" s="657"/>
      <c r="Q62" s="657"/>
      <c r="R62" s="657"/>
      <c r="S62" s="657"/>
      <c r="T62" s="657"/>
      <c r="U62" s="655"/>
      <c r="V62" s="227"/>
      <c r="W62" s="287"/>
      <c r="X62" s="250"/>
      <c r="Z62" s="155"/>
      <c r="AA62" s="362"/>
      <c r="AB62" s="363"/>
      <c r="AC62" s="363"/>
      <c r="AD62" s="382"/>
      <c r="AE62" s="57" t="s">
        <v>307</v>
      </c>
      <c r="AF62" s="57" t="s">
        <v>308</v>
      </c>
      <c r="AG62" s="57">
        <f>1</f>
        <v>1</v>
      </c>
      <c r="AH62" s="58" t="s">
        <v>229</v>
      </c>
      <c r="AI62" s="307"/>
      <c r="AJ62" s="5"/>
      <c r="AK62" s="5"/>
      <c r="AL62" s="5"/>
      <c r="AM62" s="5"/>
      <c r="AN62" s="5"/>
      <c r="AO62" s="5"/>
      <c r="AP62" s="5"/>
      <c r="AQ62" s="5"/>
      <c r="AR62" s="5"/>
      <c r="AS62" s="5"/>
      <c r="AT62" s="5"/>
      <c r="AV62" s="5"/>
      <c r="AW62" s="351" t="s">
        <v>6</v>
      </c>
      <c r="AX62" s="351"/>
      <c r="AY62" s="351"/>
      <c r="AZ62" s="351"/>
      <c r="BA62" s="351"/>
      <c r="BB62" s="351"/>
      <c r="BC62" s="1" t="s">
        <v>261</v>
      </c>
      <c r="BD62" s="1" t="s">
        <v>262</v>
      </c>
      <c r="BE62" s="119">
        <f>32</f>
        <v>32</v>
      </c>
      <c r="BF62" s="287"/>
      <c r="BG62" s="969"/>
    </row>
    <row r="63" spans="1:60" ht="18" customHeight="1">
      <c r="A63" s="5"/>
      <c r="B63" s="1008"/>
      <c r="C63" s="1009"/>
      <c r="D63" s="1009"/>
      <c r="E63" s="1009"/>
      <c r="F63" s="1009"/>
      <c r="G63" s="57" t="s">
        <v>307</v>
      </c>
      <c r="H63" s="57" t="s">
        <v>308</v>
      </c>
      <c r="I63" s="57" t="s">
        <v>228</v>
      </c>
      <c r="J63" s="58" t="s">
        <v>229</v>
      </c>
      <c r="K63" s="489"/>
      <c r="L63" s="250"/>
      <c r="M63" s="5"/>
      <c r="N63" s="604" t="s">
        <v>220</v>
      </c>
      <c r="O63" s="633" t="s">
        <v>221</v>
      </c>
      <c r="P63" s="640"/>
      <c r="Q63" s="640"/>
      <c r="R63" s="640"/>
      <c r="S63" s="654" t="s">
        <v>232</v>
      </c>
      <c r="T63" s="654" t="s">
        <v>222</v>
      </c>
      <c r="U63" s="196" t="s">
        <v>223</v>
      </c>
      <c r="V63" s="231" t="s">
        <v>233</v>
      </c>
      <c r="W63" s="287"/>
      <c r="X63" s="250"/>
      <c r="Z63" s="57"/>
      <c r="AA63" s="1123"/>
      <c r="AB63" s="1123"/>
      <c r="AC63" s="1123"/>
      <c r="AD63" s="1123"/>
      <c r="AE63" s="57"/>
      <c r="AF63" s="59"/>
      <c r="AG63" s="59"/>
      <c r="AH63" s="94"/>
      <c r="AI63" s="307"/>
      <c r="AJ63" s="5"/>
      <c r="AK63" s="5"/>
      <c r="AL63" s="5"/>
      <c r="AM63" s="5"/>
      <c r="AN63" s="5"/>
      <c r="AO63" s="5"/>
      <c r="AP63" s="5"/>
      <c r="AQ63" s="5"/>
      <c r="AR63" s="5"/>
      <c r="AS63" s="5"/>
      <c r="AT63" s="5"/>
      <c r="AV63" s="5"/>
      <c r="AW63" s="352" t="s">
        <v>264</v>
      </c>
      <c r="AX63" s="352"/>
      <c r="AY63" s="352"/>
      <c r="AZ63" s="352"/>
      <c r="BA63" s="352"/>
      <c r="BB63" s="352"/>
      <c r="BC63" s="1" t="s">
        <v>265</v>
      </c>
      <c r="BD63" s="1" t="s">
        <v>262</v>
      </c>
      <c r="BE63" s="119">
        <v>26</v>
      </c>
      <c r="BF63" s="287"/>
      <c r="BG63" s="969"/>
    </row>
    <row r="64" spans="1:60" ht="18">
      <c r="A64" s="5"/>
      <c r="B64" s="57"/>
      <c r="C64" s="1123"/>
      <c r="D64" s="1123"/>
      <c r="E64" s="1123"/>
      <c r="F64" s="1123"/>
      <c r="G64" s="57"/>
      <c r="H64" s="59"/>
      <c r="I64" s="59"/>
      <c r="J64" s="94"/>
      <c r="K64" s="489"/>
      <c r="L64" s="250"/>
      <c r="M64" s="5"/>
      <c r="N64" s="155"/>
      <c r="O64" s="362"/>
      <c r="P64" s="363"/>
      <c r="Q64" s="363"/>
      <c r="R64" s="363"/>
      <c r="S64" s="62" t="s">
        <v>228</v>
      </c>
      <c r="T64" s="62" t="s">
        <v>226</v>
      </c>
      <c r="U64" s="197" t="s">
        <v>227</v>
      </c>
      <c r="V64" s="232" t="s">
        <v>229</v>
      </c>
      <c r="W64" s="287"/>
      <c r="X64" s="250"/>
      <c r="Z64" s="58"/>
      <c r="AA64" s="1124"/>
      <c r="AB64" s="1124"/>
      <c r="AC64" s="1124"/>
      <c r="AD64" s="1124"/>
      <c r="AE64" s="57"/>
      <c r="AF64" s="59"/>
      <c r="AG64" s="59"/>
      <c r="AH64" s="94"/>
      <c r="AI64" s="307"/>
      <c r="AJ64" s="5"/>
      <c r="AK64" s="5"/>
      <c r="AL64" s="5"/>
      <c r="AM64" s="5"/>
      <c r="AN64" s="5"/>
      <c r="AO64" s="5"/>
      <c r="AP64" s="5"/>
      <c r="AQ64" s="5"/>
      <c r="AR64" s="5"/>
      <c r="AS64" s="5"/>
      <c r="AT64" s="5"/>
      <c r="AV64" s="5"/>
      <c r="AW64" s="618"/>
      <c r="AX64" s="618"/>
      <c r="AY64" s="618"/>
      <c r="AZ64" s="618"/>
      <c r="BA64" s="618"/>
      <c r="BB64" s="618"/>
      <c r="BC64" s="101"/>
      <c r="BD64" s="101"/>
      <c r="BE64" s="227"/>
      <c r="BF64" s="287"/>
      <c r="BG64" s="970"/>
    </row>
    <row r="65" spans="1:59" ht="18.75">
      <c r="A65" s="5"/>
      <c r="B65" s="58"/>
      <c r="C65" s="1124"/>
      <c r="D65" s="1124"/>
      <c r="E65" s="1124"/>
      <c r="F65" s="1124"/>
      <c r="G65" s="493"/>
      <c r="H65" s="494"/>
      <c r="I65" s="495"/>
      <c r="J65" s="94"/>
      <c r="K65" s="489"/>
      <c r="L65" s="250"/>
      <c r="M65" s="5"/>
      <c r="N65" s="155"/>
      <c r="O65" s="346" t="s">
        <v>294</v>
      </c>
      <c r="P65" s="629"/>
      <c r="Q65" s="629"/>
      <c r="R65" s="630"/>
      <c r="S65" s="264">
        <f>(V$76-U83)/V79</f>
        <v>1</v>
      </c>
      <c r="T65" s="65">
        <f>G71</f>
        <v>20.16</v>
      </c>
      <c r="U65" s="265">
        <f>H71</f>
        <v>0.39937430012814151</v>
      </c>
      <c r="V65" s="266">
        <f>S65*T65*U65</f>
        <v>8.0513858905833331</v>
      </c>
      <c r="W65" s="287"/>
      <c r="X65" s="969"/>
      <c r="Z65" s="384" t="s">
        <v>282</v>
      </c>
      <c r="AA65" s="385"/>
      <c r="AB65" s="385"/>
      <c r="AC65" s="385"/>
      <c r="AD65" s="385"/>
      <c r="AE65" s="385"/>
      <c r="AF65" s="386"/>
      <c r="AG65" s="387"/>
      <c r="AH65" s="391">
        <f>AH63+AH64</f>
        <v>0</v>
      </c>
      <c r="AI65" s="307"/>
      <c r="AJ65" s="5"/>
      <c r="AK65" s="5"/>
      <c r="AL65" s="5"/>
      <c r="AM65" s="5"/>
      <c r="AN65" s="5"/>
      <c r="AO65" s="5"/>
      <c r="AP65" s="5"/>
      <c r="AQ65" s="5"/>
      <c r="AR65" s="5"/>
      <c r="AS65" s="5"/>
      <c r="AT65" s="5"/>
      <c r="AV65" s="5"/>
      <c r="AW65" s="618"/>
      <c r="AX65" s="618"/>
      <c r="AY65" s="618"/>
      <c r="AZ65" s="618"/>
      <c r="BA65" s="618"/>
      <c r="BB65" s="618"/>
      <c r="BC65" s="101"/>
      <c r="BD65" s="101"/>
      <c r="BE65" s="227"/>
      <c r="BF65" s="287"/>
      <c r="BG65" s="251" t="s">
        <v>263</v>
      </c>
    </row>
    <row r="66" spans="1:59" ht="19.5">
      <c r="A66" s="5"/>
      <c r="B66" s="1029" t="s">
        <v>282</v>
      </c>
      <c r="C66" s="1029"/>
      <c r="D66" s="1029"/>
      <c r="E66" s="1029"/>
      <c r="F66" s="1029"/>
      <c r="G66" s="1029"/>
      <c r="H66" s="1029"/>
      <c r="I66" s="1029"/>
      <c r="J66" s="95">
        <f>0</f>
        <v>0</v>
      </c>
      <c r="K66" s="489"/>
      <c r="L66" s="250"/>
      <c r="M66" s="5"/>
      <c r="N66" s="155"/>
      <c r="O66" s="346" t="s">
        <v>275</v>
      </c>
      <c r="P66" s="629"/>
      <c r="Q66" s="629"/>
      <c r="R66" s="630"/>
      <c r="S66" s="264">
        <f>(V76-U84)/V79</f>
        <v>0.16666666666666666</v>
      </c>
      <c r="T66" s="65">
        <f>H87</f>
        <v>19.896999999999998</v>
      </c>
      <c r="U66" s="265">
        <f>I88</f>
        <v>1.8115853807007718</v>
      </c>
      <c r="V66" s="266">
        <f>S66*T66*U66</f>
        <v>6.007519053300542</v>
      </c>
      <c r="W66" s="287"/>
      <c r="X66" s="969"/>
      <c r="Z66" s="388" t="s">
        <v>244</v>
      </c>
      <c r="AA66" s="389"/>
      <c r="AB66" s="389"/>
      <c r="AC66" s="389"/>
      <c r="AD66" s="389"/>
      <c r="AE66" s="389"/>
      <c r="AF66" s="390" t="s">
        <v>245</v>
      </c>
      <c r="AG66" s="390"/>
      <c r="AI66" s="307"/>
      <c r="AJ66" s="5"/>
      <c r="AK66" s="5"/>
      <c r="AL66" s="5"/>
      <c r="AM66" s="5"/>
      <c r="AN66" s="5"/>
      <c r="AO66" s="5"/>
      <c r="AP66" s="5"/>
      <c r="AQ66" s="5"/>
      <c r="AR66" s="5"/>
      <c r="AS66" s="5"/>
      <c r="AT66" s="5"/>
      <c r="AV66" s="5"/>
      <c r="AW66" s="353" t="s">
        <v>266</v>
      </c>
      <c r="AX66" s="353"/>
      <c r="AY66" s="353"/>
      <c r="AZ66" s="353"/>
      <c r="BA66" s="353"/>
      <c r="BB66" s="353"/>
      <c r="BC66" s="101" t="s">
        <v>267</v>
      </c>
      <c r="BD66" s="101" t="s">
        <v>262</v>
      </c>
      <c r="BE66" s="227">
        <f>BE62-BE63</f>
        <v>6</v>
      </c>
      <c r="BF66" s="288"/>
      <c r="BG66" s="250"/>
    </row>
    <row r="67" spans="1:59" ht="18" customHeight="1">
      <c r="A67" s="5"/>
      <c r="B67" s="995" t="s">
        <v>244</v>
      </c>
      <c r="C67" s="995"/>
      <c r="D67" s="995"/>
      <c r="E67" s="995"/>
      <c r="F67" s="995"/>
      <c r="G67" s="995"/>
      <c r="H67" s="1028" t="s">
        <v>245</v>
      </c>
      <c r="I67" s="1028"/>
      <c r="J67" s="1028"/>
      <c r="K67" s="1">
        <f>J66+J61</f>
        <v>11.8351540634619</v>
      </c>
      <c r="L67" s="250"/>
      <c r="M67" s="5"/>
      <c r="N67" s="155"/>
      <c r="O67" s="346" t="s">
        <v>246</v>
      </c>
      <c r="P67" s="629"/>
      <c r="Q67" s="629"/>
      <c r="R67" s="630"/>
      <c r="S67" s="264">
        <f>S66</f>
        <v>0.16666666666666666</v>
      </c>
      <c r="T67" s="65">
        <f>1.64</f>
        <v>1.64</v>
      </c>
      <c r="U67" s="265">
        <f>I90</f>
        <v>2.5</v>
      </c>
      <c r="V67" s="266">
        <f>S67*T67*U67</f>
        <v>0.68333333333333335</v>
      </c>
      <c r="W67" s="287"/>
      <c r="X67" s="969"/>
      <c r="Z67" s="380" t="s">
        <v>247</v>
      </c>
      <c r="AA67" s="380"/>
      <c r="AB67" s="380"/>
      <c r="AC67" s="380"/>
      <c r="AD67" s="380"/>
      <c r="AE67" s="380"/>
      <c r="AF67" s="380"/>
      <c r="AG67" s="380"/>
      <c r="AH67" s="378"/>
      <c r="AI67" s="235">
        <f>AH60+AH65</f>
        <v>10.044873723292341</v>
      </c>
      <c r="AJ67" s="5"/>
      <c r="AK67" s="5"/>
      <c r="AL67" s="5"/>
      <c r="AM67" s="5"/>
      <c r="AN67" s="5"/>
      <c r="AO67" s="5"/>
      <c r="AP67" s="5"/>
      <c r="AQ67" s="5"/>
      <c r="AR67" s="5"/>
      <c r="AS67" s="5"/>
      <c r="AT67" s="5"/>
      <c r="AV67" s="5"/>
      <c r="AW67" s="356" t="s">
        <v>268</v>
      </c>
      <c r="AX67" s="356"/>
      <c r="AY67" s="356"/>
      <c r="AZ67" s="356"/>
      <c r="BA67" s="356"/>
      <c r="BB67" s="356"/>
      <c r="BC67" s="356"/>
      <c r="BD67" s="356"/>
      <c r="BE67" s="356"/>
      <c r="BF67" s="234" t="e">
        <f>BE66*#REF!</f>
        <v>#REF!</v>
      </c>
      <c r="BG67" s="250"/>
    </row>
    <row r="68" spans="1:59" ht="18" customHeight="1">
      <c r="A68" s="5"/>
      <c r="B68" s="1001" t="s">
        <v>247</v>
      </c>
      <c r="C68" s="1001"/>
      <c r="D68" s="1001"/>
      <c r="E68" s="1001"/>
      <c r="F68" s="1001"/>
      <c r="G68" s="1001"/>
      <c r="H68" s="1001"/>
      <c r="I68" s="1001"/>
      <c r="J68" s="1001"/>
      <c r="K68" s="489"/>
      <c r="L68" s="250"/>
      <c r="M68" s="5"/>
      <c r="N68" s="155"/>
      <c r="O68" s="346"/>
      <c r="P68" s="629"/>
      <c r="Q68" s="629"/>
      <c r="R68" s="630"/>
      <c r="S68" s="264"/>
      <c r="T68" s="65"/>
      <c r="U68" s="267"/>
      <c r="V68" s="266"/>
      <c r="W68" s="287"/>
      <c r="X68" s="969"/>
      <c r="Z68" s="221" t="s">
        <v>220</v>
      </c>
      <c r="AA68" s="221" t="s">
        <v>249</v>
      </c>
      <c r="AB68" s="221"/>
      <c r="AC68" s="221"/>
      <c r="AD68" s="221"/>
      <c r="AE68" s="108" t="s">
        <v>222</v>
      </c>
      <c r="AF68" s="108" t="s">
        <v>223</v>
      </c>
      <c r="AG68" s="313" t="s">
        <v>250</v>
      </c>
      <c r="AH68" s="109" t="s">
        <v>251</v>
      </c>
      <c r="AI68" s="307"/>
      <c r="AJ68" s="5"/>
      <c r="AK68" s="5"/>
      <c r="AL68" s="5"/>
      <c r="AM68" s="5"/>
      <c r="AN68" s="5"/>
      <c r="AO68" s="5"/>
      <c r="AP68" s="5"/>
      <c r="AQ68" s="5"/>
      <c r="AR68" s="5"/>
      <c r="AS68" s="5"/>
      <c r="AT68" s="5"/>
      <c r="AV68" s="5"/>
      <c r="AW68" s="551" t="s">
        <v>269</v>
      </c>
      <c r="AX68" s="551"/>
      <c r="AY68" s="551"/>
      <c r="AZ68" s="551"/>
      <c r="BA68" s="551"/>
      <c r="BB68" s="551"/>
      <c r="BC68" s="551"/>
      <c r="BD68" s="551"/>
      <c r="BE68" s="551"/>
      <c r="BF68" s="551"/>
      <c r="BG68" s="250"/>
    </row>
    <row r="69" spans="1:59" ht="19.5">
      <c r="A69" s="5"/>
      <c r="B69" s="994" t="s">
        <v>220</v>
      </c>
      <c r="C69" s="994" t="s">
        <v>249</v>
      </c>
      <c r="D69" s="994"/>
      <c r="E69" s="994"/>
      <c r="F69" s="994"/>
      <c r="G69" s="108" t="s">
        <v>222</v>
      </c>
      <c r="H69" s="108" t="s">
        <v>223</v>
      </c>
      <c r="I69" s="313" t="s">
        <v>250</v>
      </c>
      <c r="J69" s="109" t="s">
        <v>251</v>
      </c>
      <c r="K69" s="489"/>
      <c r="L69" s="250"/>
      <c r="M69" s="5"/>
      <c r="N69" s="155"/>
      <c r="O69" s="346"/>
      <c r="P69" s="629"/>
      <c r="Q69" s="629"/>
      <c r="R69" s="629"/>
      <c r="S69" s="264"/>
      <c r="T69" s="65"/>
      <c r="U69" s="267"/>
      <c r="V69" s="266"/>
      <c r="W69" s="287"/>
      <c r="X69" s="969"/>
      <c r="Z69" s="221"/>
      <c r="AA69" s="221"/>
      <c r="AB69" s="221"/>
      <c r="AC69" s="221"/>
      <c r="AD69" s="221"/>
      <c r="AE69" s="2" t="s">
        <v>226</v>
      </c>
      <c r="AF69" s="89" t="s">
        <v>227</v>
      </c>
      <c r="AG69" s="89" t="s">
        <v>228</v>
      </c>
      <c r="AH69" s="92" t="s">
        <v>229</v>
      </c>
      <c r="AI69" s="307"/>
      <c r="AJ69" s="5"/>
      <c r="AK69" s="5"/>
      <c r="AL69" s="5"/>
      <c r="AM69" s="5"/>
      <c r="AN69" s="5"/>
      <c r="AO69" s="5"/>
      <c r="AP69" s="5"/>
      <c r="AQ69" s="5"/>
      <c r="AR69" s="5"/>
      <c r="AS69" s="5"/>
      <c r="AT69" s="5"/>
      <c r="AV69" s="5"/>
      <c r="AW69" s="348" t="s">
        <v>270</v>
      </c>
      <c r="AX69" s="349"/>
      <c r="AY69" s="349"/>
      <c r="AZ69" s="349"/>
      <c r="BA69" s="349"/>
      <c r="BB69" s="350"/>
      <c r="BC69" s="241" t="s">
        <v>271</v>
      </c>
      <c r="BD69" s="241" t="s">
        <v>272</v>
      </c>
      <c r="BE69" s="242" t="s">
        <v>273</v>
      </c>
      <c r="BF69" s="235" t="s">
        <v>274</v>
      </c>
      <c r="BG69" s="250"/>
    </row>
    <row r="70" spans="1:59" ht="18.75">
      <c r="A70" s="5"/>
      <c r="B70" s="994"/>
      <c r="C70" s="994"/>
      <c r="D70" s="994"/>
      <c r="E70" s="994"/>
      <c r="F70" s="994"/>
      <c r="G70" s="2" t="s">
        <v>226</v>
      </c>
      <c r="H70" s="89" t="s">
        <v>227</v>
      </c>
      <c r="I70" s="89" t="s">
        <v>228</v>
      </c>
      <c r="J70" s="92" t="s">
        <v>229</v>
      </c>
      <c r="K70" s="489"/>
      <c r="L70" s="250"/>
      <c r="M70" s="5"/>
      <c r="N70" s="57"/>
      <c r="O70" s="364"/>
      <c r="P70" s="365"/>
      <c r="Q70" s="365"/>
      <c r="R70" s="365"/>
      <c r="S70" s="264"/>
      <c r="T70" s="268"/>
      <c r="U70" s="268"/>
      <c r="V70" s="266"/>
      <c r="W70" s="287"/>
      <c r="X70" s="969"/>
      <c r="Z70" s="1"/>
      <c r="AA70" s="347"/>
      <c r="AB70" s="366"/>
      <c r="AC70" s="366"/>
      <c r="AD70" s="367"/>
      <c r="AE70" s="1"/>
      <c r="AF70" s="1"/>
      <c r="AG70" s="1"/>
      <c r="AH70" s="119"/>
      <c r="AI70" s="307"/>
      <c r="AJ70" s="5"/>
      <c r="AK70" s="5"/>
      <c r="AL70" s="5"/>
      <c r="AM70" s="5"/>
      <c r="AN70" s="5"/>
      <c r="AO70" s="5"/>
      <c r="AP70" s="5"/>
      <c r="AQ70" s="5"/>
      <c r="AR70" s="5"/>
      <c r="AS70" s="5"/>
      <c r="AT70" s="5"/>
      <c r="AV70" s="5"/>
      <c r="AW70" s="536" t="s">
        <v>294</v>
      </c>
      <c r="AX70" s="537"/>
      <c r="AY70" s="537"/>
      <c r="AZ70" s="537"/>
      <c r="BA70" s="537"/>
      <c r="BB70" s="538"/>
      <c r="BC70" s="246" t="s">
        <v>174</v>
      </c>
      <c r="BD70" s="246">
        <v>20</v>
      </c>
      <c r="BE70" s="245" t="s">
        <v>174</v>
      </c>
      <c r="BF70" s="245">
        <f>BE62-BD70</f>
        <v>12</v>
      </c>
      <c r="BG70" s="250"/>
    </row>
    <row r="71" spans="1:59">
      <c r="A71" s="5"/>
      <c r="B71" s="1"/>
      <c r="C71" s="862" t="s">
        <v>294</v>
      </c>
      <c r="D71" s="862"/>
      <c r="E71" s="862"/>
      <c r="F71" s="862"/>
      <c r="G71" s="1">
        <f>5.04*4</f>
        <v>20.16</v>
      </c>
      <c r="H71" s="1">
        <f>Parois!L49</f>
        <v>0.39937430012814151</v>
      </c>
      <c r="I71" s="1">
        <f>(22-10)/(22--8)</f>
        <v>0.4</v>
      </c>
      <c r="J71" s="119">
        <f>G71*H71*I71</f>
        <v>3.2205543562333334</v>
      </c>
      <c r="K71" s="489"/>
      <c r="L71" s="250"/>
      <c r="M71" s="5"/>
      <c r="N71" s="57"/>
      <c r="O71" s="364"/>
      <c r="P71" s="365"/>
      <c r="Q71" s="365"/>
      <c r="R71" s="365"/>
      <c r="S71" s="264"/>
      <c r="T71" s="268"/>
      <c r="U71" s="268"/>
      <c r="V71" s="266"/>
      <c r="W71" s="287"/>
      <c r="X71" s="969"/>
      <c r="Z71" s="1"/>
      <c r="AA71" s="347"/>
      <c r="AB71" s="366"/>
      <c r="AC71" s="366"/>
      <c r="AD71" s="367"/>
      <c r="AE71" s="1"/>
      <c r="AF71" s="1"/>
      <c r="AG71" s="1"/>
      <c r="AH71" s="119">
        <f>AE71*AF71*AG71</f>
        <v>0</v>
      </c>
      <c r="AI71" s="307"/>
      <c r="AJ71" s="5"/>
      <c r="AK71" s="5"/>
      <c r="AL71" s="5"/>
      <c r="AM71" s="5"/>
      <c r="AN71" s="5"/>
      <c r="AO71" s="5"/>
      <c r="AP71" s="5"/>
      <c r="AQ71" s="5"/>
      <c r="AR71" s="5"/>
      <c r="AS71" s="5"/>
      <c r="AT71" s="5"/>
      <c r="AV71" s="5"/>
      <c r="AW71" s="351" t="s">
        <v>345</v>
      </c>
      <c r="AX71" s="351"/>
      <c r="AY71" s="351"/>
      <c r="AZ71" s="351"/>
      <c r="BA71" s="351"/>
      <c r="BB71" s="351"/>
      <c r="BC71" s="245" t="s">
        <v>174</v>
      </c>
      <c r="BD71" s="245">
        <v>25</v>
      </c>
      <c r="BE71" s="245" t="s">
        <v>174</v>
      </c>
      <c r="BF71" s="245">
        <f>BE62-BD71</f>
        <v>7</v>
      </c>
      <c r="BG71" s="250"/>
    </row>
    <row r="72" spans="1:59" ht="18">
      <c r="A72" s="5"/>
      <c r="B72" s="1"/>
      <c r="C72" s="347"/>
      <c r="D72" s="366"/>
      <c r="E72" s="366"/>
      <c r="F72" s="367"/>
      <c r="G72" s="1"/>
      <c r="H72" s="1"/>
      <c r="I72" s="1"/>
      <c r="J72" s="119"/>
      <c r="K72" s="489"/>
      <c r="L72" s="250"/>
      <c r="M72" s="5"/>
      <c r="N72" s="57" t="s">
        <v>255</v>
      </c>
      <c r="O72" s="57"/>
      <c r="P72" s="57"/>
      <c r="Q72" s="57"/>
      <c r="R72" s="58"/>
      <c r="S72" s="1"/>
      <c r="T72" s="1"/>
      <c r="U72" s="1"/>
      <c r="V72" s="91" t="s">
        <v>256</v>
      </c>
      <c r="W72" s="287"/>
      <c r="X72" s="969"/>
      <c r="Z72" s="351" t="s">
        <v>318</v>
      </c>
      <c r="AA72" s="351"/>
      <c r="AB72" s="351"/>
      <c r="AC72" s="351"/>
      <c r="AD72" s="351"/>
      <c r="AE72" s="351"/>
      <c r="AF72" s="351"/>
      <c r="AG72" s="351"/>
      <c r="AH72" s="91">
        <f>AH71+AH70</f>
        <v>0</v>
      </c>
      <c r="AI72" s="307"/>
      <c r="AJ72" s="5"/>
      <c r="AK72" s="5"/>
      <c r="AL72" s="5"/>
      <c r="AM72" s="5"/>
      <c r="AN72" s="5"/>
      <c r="AO72" s="5"/>
      <c r="AP72" s="5"/>
      <c r="AQ72" s="5"/>
      <c r="AR72" s="5"/>
      <c r="AS72" s="5"/>
      <c r="AT72" s="5"/>
      <c r="AV72" s="5"/>
      <c r="AW72" s="352" t="s">
        <v>402</v>
      </c>
      <c r="AX72" s="352"/>
      <c r="AY72" s="352"/>
      <c r="AZ72" s="352"/>
      <c r="BA72" s="352"/>
      <c r="BB72" s="352"/>
      <c r="BC72" s="245" t="s">
        <v>174</v>
      </c>
      <c r="BD72" s="245">
        <v>20</v>
      </c>
      <c r="BE72" s="245" t="s">
        <v>174</v>
      </c>
      <c r="BF72" s="245">
        <f>BE62-BD72</f>
        <v>12</v>
      </c>
      <c r="BG72" s="250"/>
    </row>
    <row r="73" spans="1:59" ht="18" customHeight="1">
      <c r="A73" s="5"/>
      <c r="B73" s="1"/>
      <c r="C73" s="862" t="s">
        <v>246</v>
      </c>
      <c r="D73" s="862"/>
      <c r="E73" s="862"/>
      <c r="F73" s="862"/>
      <c r="G73" s="1">
        <f>0</f>
        <v>0</v>
      </c>
      <c r="H73" s="1">
        <v>0</v>
      </c>
      <c r="I73" s="1">
        <f>0</f>
        <v>0</v>
      </c>
      <c r="J73" s="119">
        <f>G73*H73*I73</f>
        <v>0</v>
      </c>
      <c r="K73" s="489"/>
      <c r="L73" s="250"/>
      <c r="M73" s="5"/>
      <c r="N73" s="83" t="s">
        <v>258</v>
      </c>
      <c r="O73" s="84"/>
      <c r="P73" s="84"/>
      <c r="Q73" s="84"/>
      <c r="R73" s="102"/>
      <c r="S73" s="355" t="s">
        <v>259</v>
      </c>
      <c r="T73" s="355"/>
      <c r="U73" s="355"/>
      <c r="V73" s="119"/>
      <c r="W73" s="663">
        <f>V65+V66+V67</f>
        <v>14.742238277217208</v>
      </c>
      <c r="X73" s="969"/>
      <c r="Z73" s="368" t="s">
        <v>220</v>
      </c>
      <c r="AA73" s="370" t="s">
        <v>302</v>
      </c>
      <c r="AB73" s="371"/>
      <c r="AC73" s="371"/>
      <c r="AD73" s="372"/>
      <c r="AE73" s="86" t="s">
        <v>303</v>
      </c>
      <c r="AF73" s="86" t="s">
        <v>304</v>
      </c>
      <c r="AG73" s="313" t="s">
        <v>250</v>
      </c>
      <c r="AH73" s="90" t="s">
        <v>319</v>
      </c>
      <c r="AI73" s="307"/>
      <c r="AJ73" s="5"/>
      <c r="AK73" s="5"/>
      <c r="AL73" s="5"/>
      <c r="AM73" s="5"/>
      <c r="AN73" s="5"/>
      <c r="AO73" s="5"/>
      <c r="AP73" s="5"/>
      <c r="AQ73" s="5"/>
      <c r="AR73" s="5"/>
      <c r="AS73" s="5"/>
      <c r="AT73" s="5"/>
      <c r="AV73" s="5"/>
      <c r="AW73" s="467"/>
      <c r="AX73" s="468"/>
      <c r="AY73" s="468"/>
      <c r="AZ73" s="468"/>
      <c r="BA73" s="468"/>
      <c r="BB73" s="469"/>
      <c r="BC73" s="247" t="s">
        <v>174</v>
      </c>
      <c r="BD73" s="247">
        <v>0</v>
      </c>
      <c r="BE73" s="245" t="s">
        <v>174</v>
      </c>
      <c r="BF73" s="245">
        <f>BE62-BD73</f>
        <v>32</v>
      </c>
      <c r="BG73" s="251" t="s">
        <v>263</v>
      </c>
    </row>
    <row r="74" spans="1:59" ht="19.5" customHeight="1">
      <c r="A74" s="5"/>
      <c r="B74" s="818" t="s">
        <v>318</v>
      </c>
      <c r="C74" s="818"/>
      <c r="D74" s="818"/>
      <c r="E74" s="818"/>
      <c r="F74" s="818"/>
      <c r="G74" s="818"/>
      <c r="H74" s="818"/>
      <c r="I74" s="818"/>
      <c r="J74" s="91">
        <f>J73+J71</f>
        <v>3.2205543562333334</v>
      </c>
      <c r="K74" s="489"/>
      <c r="L74" s="250"/>
      <c r="M74" s="5"/>
      <c r="N74" s="104" t="s">
        <v>260</v>
      </c>
      <c r="O74" s="103"/>
      <c r="P74" s="103"/>
      <c r="Q74" s="103"/>
      <c r="R74" s="103"/>
      <c r="S74" s="103"/>
      <c r="T74" s="103"/>
      <c r="U74" s="103"/>
      <c r="V74" s="103"/>
      <c r="W74" s="287"/>
      <c r="X74" s="969"/>
      <c r="Z74" s="369"/>
      <c r="AA74" s="373"/>
      <c r="AB74" s="374"/>
      <c r="AC74" s="374"/>
      <c r="AD74" s="375"/>
      <c r="AE74" s="59" t="s">
        <v>307</v>
      </c>
      <c r="AF74" s="59" t="s">
        <v>308</v>
      </c>
      <c r="AG74" s="59" t="s">
        <v>228</v>
      </c>
      <c r="AH74" s="94" t="s">
        <v>229</v>
      </c>
      <c r="AI74" s="307"/>
      <c r="AJ74" s="5"/>
      <c r="AK74" s="5"/>
      <c r="AL74" s="5"/>
      <c r="AM74" s="5"/>
      <c r="AN74" s="5"/>
      <c r="AO74" s="5"/>
      <c r="AP74" s="5"/>
      <c r="AQ74" s="5"/>
      <c r="AR74" s="5"/>
      <c r="AS74" s="5"/>
      <c r="AT74" s="5"/>
      <c r="AV74" s="5"/>
      <c r="AW74" s="353"/>
      <c r="AX74" s="353"/>
      <c r="AY74" s="353"/>
      <c r="AZ74" s="353"/>
      <c r="BA74" s="353"/>
      <c r="BB74" s="353"/>
      <c r="BC74" s="247" t="s">
        <v>174</v>
      </c>
      <c r="BD74" s="247">
        <v>0</v>
      </c>
      <c r="BE74" s="245" t="s">
        <v>174</v>
      </c>
      <c r="BF74" s="245">
        <f>BE62-BD74</f>
        <v>32</v>
      </c>
      <c r="BG74" s="253" t="s">
        <v>263</v>
      </c>
    </row>
    <row r="75" spans="1:59" ht="18" customHeight="1">
      <c r="A75" s="5"/>
      <c r="B75" s="1130" t="s">
        <v>220</v>
      </c>
      <c r="C75" s="1132" t="s">
        <v>302</v>
      </c>
      <c r="D75" s="1132"/>
      <c r="E75" s="1132"/>
      <c r="F75" s="1132"/>
      <c r="G75" s="86" t="s">
        <v>303</v>
      </c>
      <c r="H75" s="86" t="s">
        <v>304</v>
      </c>
      <c r="I75" s="313" t="s">
        <v>250</v>
      </c>
      <c r="J75" s="90" t="s">
        <v>319</v>
      </c>
      <c r="K75" s="489"/>
      <c r="L75" s="250"/>
      <c r="M75" s="5"/>
      <c r="N75" s="351" t="s">
        <v>6</v>
      </c>
      <c r="O75" s="351"/>
      <c r="P75" s="351"/>
      <c r="Q75" s="351"/>
      <c r="R75" s="351"/>
      <c r="S75" s="351"/>
      <c r="T75" s="1" t="s">
        <v>261</v>
      </c>
      <c r="U75" s="1" t="s">
        <v>262</v>
      </c>
      <c r="V75" s="119">
        <f>32</f>
        <v>32</v>
      </c>
      <c r="W75" s="287"/>
      <c r="X75" s="969"/>
      <c r="Z75" s="1"/>
      <c r="AA75" s="62" t="s">
        <v>174</v>
      </c>
      <c r="AB75" s="62"/>
      <c r="AC75" s="62"/>
      <c r="AD75" s="62"/>
      <c r="AE75" s="1"/>
      <c r="AF75" s="1"/>
      <c r="AG75" s="1"/>
      <c r="AH75" s="119"/>
      <c r="AI75" s="307"/>
      <c r="AJ75" s="5"/>
      <c r="AK75" s="5"/>
      <c r="AL75" s="5"/>
      <c r="AM75" s="5"/>
      <c r="AN75" s="5"/>
      <c r="AO75" s="5"/>
      <c r="AP75" s="5"/>
      <c r="AQ75" s="5"/>
      <c r="AR75" s="5"/>
      <c r="AS75" s="5"/>
      <c r="AT75" s="5"/>
      <c r="AV75" s="5"/>
      <c r="AW75" s="354" t="s">
        <v>278</v>
      </c>
      <c r="AX75" s="354"/>
      <c r="AY75" s="354"/>
      <c r="AZ75" s="354"/>
      <c r="BA75" s="354"/>
      <c r="BB75" s="354"/>
      <c r="BC75" s="354"/>
      <c r="BD75" s="354"/>
      <c r="BE75" s="354"/>
      <c r="BF75" s="249"/>
      <c r="BG75" s="5"/>
    </row>
    <row r="76" spans="1:59" ht="18" customHeight="1">
      <c r="A76" s="5"/>
      <c r="B76" s="1130"/>
      <c r="C76" s="1132"/>
      <c r="D76" s="1132"/>
      <c r="E76" s="1132"/>
      <c r="F76" s="1132"/>
      <c r="G76" s="59" t="s">
        <v>307</v>
      </c>
      <c r="H76" s="59" t="s">
        <v>308</v>
      </c>
      <c r="I76" s="59" t="s">
        <v>228</v>
      </c>
      <c r="J76" s="94" t="s">
        <v>229</v>
      </c>
      <c r="K76" s="489"/>
      <c r="L76" s="250"/>
      <c r="M76" s="5"/>
      <c r="N76" s="352" t="s">
        <v>264</v>
      </c>
      <c r="O76" s="352"/>
      <c r="P76" s="352"/>
      <c r="Q76" s="352"/>
      <c r="R76" s="352"/>
      <c r="S76" s="352"/>
      <c r="T76" s="1" t="s">
        <v>265</v>
      </c>
      <c r="U76" s="1" t="s">
        <v>262</v>
      </c>
      <c r="V76" s="119">
        <v>26</v>
      </c>
      <c r="W76" s="287"/>
      <c r="X76" s="969"/>
      <c r="Z76" s="376" t="s">
        <v>254</v>
      </c>
      <c r="AA76" s="376"/>
      <c r="AB76" s="376"/>
      <c r="AC76" s="376"/>
      <c r="AD76" s="376"/>
      <c r="AE76" s="376"/>
      <c r="AF76" s="376"/>
      <c r="AG76" s="376"/>
      <c r="AH76" s="377"/>
      <c r="AI76" s="307"/>
      <c r="AJ76" s="5"/>
      <c r="AK76" s="5"/>
      <c r="AL76" s="5"/>
      <c r="AM76" s="5"/>
      <c r="AN76" s="5"/>
      <c r="AO76" s="5"/>
      <c r="AP76" s="5"/>
      <c r="AQ76" s="5"/>
      <c r="AR76" s="5"/>
      <c r="AS76" s="5"/>
      <c r="AT76" s="5"/>
      <c r="AW76" s="987" t="s">
        <v>279</v>
      </c>
      <c r="AX76" s="987"/>
      <c r="AY76" s="987"/>
      <c r="AZ76" s="987"/>
      <c r="BA76" s="987"/>
      <c r="BB76" s="987"/>
      <c r="BC76" s="987"/>
      <c r="BD76" s="987"/>
      <c r="BE76" s="987"/>
      <c r="BF76" s="271">
        <f>BF60*BE66</f>
        <v>103.04662368361511</v>
      </c>
    </row>
    <row r="77" spans="1:59" ht="18" customHeight="1">
      <c r="A77" s="5"/>
      <c r="B77" s="1"/>
      <c r="C77" s="810" t="s">
        <v>174</v>
      </c>
      <c r="D77" s="810"/>
      <c r="E77" s="810"/>
      <c r="F77" s="810"/>
      <c r="G77" s="1"/>
      <c r="H77" s="1"/>
      <c r="I77" s="1"/>
      <c r="J77" s="119"/>
      <c r="K77" s="489"/>
      <c r="L77" s="250"/>
      <c r="M77" s="5"/>
      <c r="N77" s="618"/>
      <c r="O77" s="618"/>
      <c r="P77" s="618"/>
      <c r="Q77" s="618"/>
      <c r="R77" s="618"/>
      <c r="S77" s="618"/>
      <c r="T77" s="101"/>
      <c r="U77" s="101"/>
      <c r="V77" s="227"/>
      <c r="W77" s="287"/>
      <c r="X77" s="970"/>
      <c r="Z77" s="378" t="s">
        <v>321</v>
      </c>
      <c r="AA77" s="379"/>
      <c r="AB77" s="379"/>
      <c r="AC77" s="379"/>
      <c r="AD77" s="379"/>
      <c r="AE77" s="379"/>
      <c r="AF77" s="379"/>
      <c r="AG77" s="379"/>
      <c r="AH77" s="379"/>
      <c r="AI77" s="307"/>
      <c r="AJ77" s="5"/>
      <c r="AK77" s="5"/>
      <c r="AL77" s="5"/>
      <c r="AM77" s="5"/>
      <c r="AN77" s="5"/>
      <c r="AO77" s="5"/>
      <c r="AP77" s="5"/>
      <c r="AQ77" s="5"/>
      <c r="AR77" s="5"/>
      <c r="AS77" s="5"/>
      <c r="AT77" s="5"/>
    </row>
    <row r="78" spans="1:59" ht="18" customHeight="1">
      <c r="A78" s="5"/>
      <c r="B78" s="1003" t="s">
        <v>254</v>
      </c>
      <c r="C78" s="1003"/>
      <c r="D78" s="1003"/>
      <c r="E78" s="1003"/>
      <c r="F78" s="1003"/>
      <c r="G78" s="1003"/>
      <c r="H78" s="1003"/>
      <c r="I78" s="1003"/>
      <c r="J78" s="1003"/>
      <c r="K78" s="82">
        <f>J74</f>
        <v>3.2205543562333334</v>
      </c>
      <c r="L78" s="250"/>
      <c r="M78" s="5"/>
      <c r="N78" s="618"/>
      <c r="O78" s="618"/>
      <c r="P78" s="618"/>
      <c r="Q78" s="618"/>
      <c r="R78" s="618"/>
      <c r="S78" s="618"/>
      <c r="T78" s="101"/>
      <c r="U78" s="101"/>
      <c r="V78" s="227"/>
      <c r="W78" s="287"/>
      <c r="X78" s="251" t="s">
        <v>263</v>
      </c>
      <c r="Z78" s="221" t="s">
        <v>220</v>
      </c>
      <c r="AA78" s="221" t="s">
        <v>249</v>
      </c>
      <c r="AB78" s="221"/>
      <c r="AC78" s="221"/>
      <c r="AD78" s="221"/>
      <c r="AE78" s="196" t="s">
        <v>222</v>
      </c>
      <c r="AF78" s="196" t="s">
        <v>223</v>
      </c>
      <c r="AG78" s="196" t="s">
        <v>224</v>
      </c>
      <c r="AH78" s="231" t="s">
        <v>225</v>
      </c>
      <c r="AI78" s="307"/>
      <c r="AJ78" s="5"/>
      <c r="AK78" s="5"/>
      <c r="AL78" s="5"/>
      <c r="AM78" s="5"/>
      <c r="AN78" s="5"/>
      <c r="AO78" s="5"/>
      <c r="AP78" s="5"/>
      <c r="AQ78" s="5"/>
      <c r="AR78" s="5"/>
      <c r="AS78" s="5"/>
      <c r="AT78" s="5"/>
    </row>
    <row r="79" spans="1:59" ht="19.5" customHeight="1">
      <c r="A79" s="5"/>
      <c r="B79" s="1002" t="s">
        <v>321</v>
      </c>
      <c r="C79" s="1002"/>
      <c r="D79" s="1002"/>
      <c r="E79" s="1002"/>
      <c r="F79" s="1002"/>
      <c r="G79" s="1002"/>
      <c r="H79" s="1002"/>
      <c r="I79" s="1002"/>
      <c r="J79" s="1002"/>
      <c r="K79" s="489"/>
      <c r="L79" s="250"/>
      <c r="M79" s="5"/>
      <c r="N79" s="353" t="s">
        <v>266</v>
      </c>
      <c r="O79" s="353"/>
      <c r="P79" s="353"/>
      <c r="Q79" s="353"/>
      <c r="R79" s="353"/>
      <c r="S79" s="353"/>
      <c r="T79" s="101" t="s">
        <v>267</v>
      </c>
      <c r="U79" s="101" t="s">
        <v>262</v>
      </c>
      <c r="V79" s="227">
        <f>V75-V76</f>
        <v>6</v>
      </c>
      <c r="W79" s="288"/>
      <c r="X79" s="250"/>
      <c r="Z79" s="221"/>
      <c r="AA79" s="221"/>
      <c r="AB79" s="221"/>
      <c r="AC79" s="221"/>
      <c r="AD79" s="221"/>
      <c r="AE79" s="196"/>
      <c r="AF79" s="196"/>
      <c r="AG79" s="196"/>
      <c r="AH79" s="231"/>
      <c r="AI79" s="307"/>
      <c r="AJ79" s="5"/>
      <c r="AK79" s="5"/>
      <c r="AL79" s="5"/>
      <c r="AM79" s="5"/>
      <c r="AN79" s="5"/>
      <c r="AO79" s="5"/>
      <c r="AP79" s="5"/>
      <c r="AQ79" s="5"/>
      <c r="AR79" s="5"/>
      <c r="AS79" s="5"/>
      <c r="AT79" s="5"/>
    </row>
    <row r="80" spans="1:59" ht="18" customHeight="1">
      <c r="A80" s="5"/>
      <c r="B80" s="994" t="s">
        <v>220</v>
      </c>
      <c r="C80" s="994" t="s">
        <v>249</v>
      </c>
      <c r="D80" s="994"/>
      <c r="E80" s="994"/>
      <c r="F80" s="994"/>
      <c r="G80" s="196" t="s">
        <v>222</v>
      </c>
      <c r="H80" s="196" t="s">
        <v>223</v>
      </c>
      <c r="I80" s="196" t="s">
        <v>224</v>
      </c>
      <c r="J80" s="231" t="s">
        <v>225</v>
      </c>
      <c r="K80" s="489"/>
      <c r="L80" s="250"/>
      <c r="M80" s="5"/>
      <c r="N80" s="356" t="s">
        <v>268</v>
      </c>
      <c r="O80" s="356"/>
      <c r="P80" s="356"/>
      <c r="Q80" s="356"/>
      <c r="R80" s="356"/>
      <c r="S80" s="356"/>
      <c r="T80" s="356"/>
      <c r="U80" s="356"/>
      <c r="V80" s="356"/>
      <c r="W80" s="234" t="e">
        <f>V79*#REF!</f>
        <v>#REF!</v>
      </c>
      <c r="X80" s="250"/>
      <c r="Z80" s="221"/>
      <c r="AA80" s="221"/>
      <c r="AB80" s="221"/>
      <c r="AC80" s="221"/>
      <c r="AD80" s="221"/>
      <c r="AE80" s="196"/>
      <c r="AF80" s="196"/>
      <c r="AG80" s="196"/>
      <c r="AH80" s="231"/>
      <c r="AI80" s="307"/>
      <c r="AJ80" s="5"/>
      <c r="AK80" s="5"/>
      <c r="AL80" s="5"/>
      <c r="AM80" s="5"/>
      <c r="AN80" s="5"/>
      <c r="AO80" s="5"/>
      <c r="AP80" s="5"/>
      <c r="AQ80" s="5"/>
      <c r="AR80" s="5"/>
      <c r="AS80" s="5"/>
      <c r="AT80" s="5"/>
    </row>
    <row r="81" spans="1:61" ht="18" customHeight="1">
      <c r="A81" s="5"/>
      <c r="B81" s="994"/>
      <c r="C81" s="994"/>
      <c r="D81" s="994"/>
      <c r="E81" s="994"/>
      <c r="F81" s="994"/>
      <c r="G81" s="62" t="s">
        <v>226</v>
      </c>
      <c r="H81" s="197" t="s">
        <v>227</v>
      </c>
      <c r="I81" s="197" t="s">
        <v>228</v>
      </c>
      <c r="J81" s="232" t="s">
        <v>229</v>
      </c>
      <c r="K81" s="489"/>
      <c r="L81" s="250"/>
      <c r="M81" s="5"/>
      <c r="N81" s="551" t="s">
        <v>269</v>
      </c>
      <c r="O81" s="551"/>
      <c r="P81" s="551"/>
      <c r="Q81" s="551"/>
      <c r="R81" s="551"/>
      <c r="S81" s="551"/>
      <c r="T81" s="551"/>
      <c r="U81" s="551"/>
      <c r="V81" s="551"/>
      <c r="W81" s="551"/>
      <c r="X81" s="250"/>
      <c r="Z81" s="221"/>
      <c r="AA81" s="221"/>
      <c r="AB81" s="221"/>
      <c r="AC81" s="221"/>
      <c r="AD81" s="221"/>
      <c r="AE81" s="62" t="s">
        <v>226</v>
      </c>
      <c r="AF81" s="197" t="s">
        <v>227</v>
      </c>
      <c r="AG81" s="197" t="s">
        <v>228</v>
      </c>
      <c r="AH81" s="232" t="s">
        <v>229</v>
      </c>
      <c r="AI81" s="307"/>
      <c r="AJ81" s="5"/>
      <c r="AK81" s="5"/>
      <c r="AL81" s="5"/>
      <c r="AM81" s="5"/>
      <c r="AN81" s="5"/>
      <c r="AO81" s="5"/>
      <c r="AP81" s="5"/>
      <c r="AQ81" s="5"/>
      <c r="AR81" s="5"/>
      <c r="AS81" s="5"/>
      <c r="AT81" s="5"/>
    </row>
    <row r="82" spans="1:61">
      <c r="A82" s="5"/>
      <c r="B82" s="1"/>
      <c r="C82" s="862"/>
      <c r="D82" s="862"/>
      <c r="E82" s="862"/>
      <c r="F82" s="862"/>
      <c r="G82" s="1"/>
      <c r="H82" s="1"/>
      <c r="I82" s="1"/>
      <c r="J82" s="119"/>
      <c r="K82" s="489"/>
      <c r="L82" s="250"/>
      <c r="M82" s="5"/>
      <c r="N82" s="348" t="s">
        <v>270</v>
      </c>
      <c r="O82" s="349"/>
      <c r="P82" s="349"/>
      <c r="Q82" s="349"/>
      <c r="R82" s="349"/>
      <c r="S82" s="350"/>
      <c r="T82" s="241" t="s">
        <v>271</v>
      </c>
      <c r="U82" s="241" t="s">
        <v>272</v>
      </c>
      <c r="V82" s="242" t="s">
        <v>273</v>
      </c>
      <c r="W82" s="235" t="s">
        <v>274</v>
      </c>
      <c r="X82" s="250"/>
      <c r="Z82" s="221"/>
      <c r="AA82" s="514"/>
      <c r="AB82" s="515"/>
      <c r="AC82" s="515"/>
      <c r="AD82" s="516"/>
      <c r="AE82" s="62"/>
      <c r="AF82" s="197"/>
      <c r="AG82" s="197"/>
      <c r="AH82" s="232"/>
      <c r="AI82" s="307"/>
      <c r="AJ82" s="5"/>
      <c r="AK82" s="5"/>
      <c r="AL82" s="5"/>
      <c r="AM82" s="5"/>
      <c r="AN82" s="5"/>
      <c r="AO82" s="5"/>
      <c r="AP82" s="5"/>
      <c r="AQ82" s="5"/>
      <c r="AR82" s="5"/>
      <c r="AS82" s="5"/>
      <c r="AT82" s="5"/>
    </row>
    <row r="83" spans="1:61" ht="18.75">
      <c r="A83" s="5"/>
      <c r="B83" s="98" t="s">
        <v>287</v>
      </c>
      <c r="C83" s="98"/>
      <c r="D83" s="98"/>
      <c r="E83" s="98"/>
      <c r="F83" s="98"/>
      <c r="G83" s="98"/>
      <c r="H83" s="1030" t="s">
        <v>288</v>
      </c>
      <c r="I83" s="1030"/>
      <c r="J83" s="1030"/>
      <c r="K83" s="489"/>
      <c r="L83" s="250"/>
      <c r="M83" s="5"/>
      <c r="N83" s="536" t="s">
        <v>294</v>
      </c>
      <c r="O83" s="537"/>
      <c r="P83" s="537"/>
      <c r="Q83" s="537"/>
      <c r="R83" s="537"/>
      <c r="S83" s="538"/>
      <c r="T83" s="246" t="s">
        <v>174</v>
      </c>
      <c r="U83" s="246">
        <v>20</v>
      </c>
      <c r="V83" s="245" t="s">
        <v>174</v>
      </c>
      <c r="W83" s="245">
        <f>V75-U83</f>
        <v>12</v>
      </c>
      <c r="X83" s="250"/>
      <c r="Z83" s="1"/>
      <c r="AA83" s="347"/>
      <c r="AB83" s="366"/>
      <c r="AC83" s="366"/>
      <c r="AD83" s="367"/>
      <c r="AE83" s="98"/>
      <c r="AF83" s="1"/>
      <c r="AG83" s="1"/>
      <c r="AH83" s="119"/>
      <c r="AI83" s="307"/>
      <c r="AJ83" s="5"/>
      <c r="AK83" s="5"/>
      <c r="AL83" s="5"/>
      <c r="AM83" s="5"/>
      <c r="AN83" s="5"/>
      <c r="AO83" s="5"/>
      <c r="AP83" s="5"/>
      <c r="AQ83" s="5"/>
      <c r="AR83" s="5"/>
      <c r="AS83" s="5"/>
      <c r="AT83" s="5"/>
    </row>
    <row r="84" spans="1:61" ht="15.75" customHeight="1">
      <c r="A84" s="5"/>
      <c r="B84" s="118" t="s">
        <v>257</v>
      </c>
      <c r="C84" s="97"/>
      <c r="D84" s="97"/>
      <c r="E84" s="97"/>
      <c r="F84" s="97"/>
      <c r="G84" s="99"/>
      <c r="H84" s="100"/>
      <c r="I84" s="101"/>
      <c r="J84" s="227"/>
      <c r="K84" s="489"/>
      <c r="L84" s="250"/>
      <c r="M84" s="5"/>
      <c r="N84" s="351" t="s">
        <v>345</v>
      </c>
      <c r="O84" s="351"/>
      <c r="P84" s="351"/>
      <c r="Q84" s="351"/>
      <c r="R84" s="351"/>
      <c r="S84" s="351"/>
      <c r="T84" s="245" t="s">
        <v>174</v>
      </c>
      <c r="U84" s="245">
        <v>25</v>
      </c>
      <c r="V84" s="245" t="s">
        <v>174</v>
      </c>
      <c r="W84" s="245">
        <f>V75-U84</f>
        <v>7</v>
      </c>
      <c r="X84" s="250"/>
      <c r="Z84" s="98" t="s">
        <v>287</v>
      </c>
      <c r="AA84" s="98"/>
      <c r="AB84" s="98"/>
      <c r="AC84" s="98"/>
      <c r="AD84" s="98"/>
      <c r="AF84" s="357" t="s">
        <v>288</v>
      </c>
      <c r="AG84" s="358"/>
      <c r="AH84" s="358"/>
      <c r="AI84" s="307"/>
      <c r="AJ84" s="5"/>
      <c r="AK84" s="5"/>
      <c r="AL84" s="5"/>
      <c r="AM84" s="5"/>
      <c r="AN84" s="5"/>
      <c r="AO84" s="5"/>
      <c r="AP84" s="5"/>
      <c r="AQ84" s="5"/>
      <c r="AR84" s="5"/>
      <c r="AS84" s="5"/>
      <c r="AT84" s="5"/>
      <c r="AX84" s="5" t="s">
        <v>398</v>
      </c>
      <c r="AY84" s="656" t="s">
        <v>230</v>
      </c>
      <c r="AZ84" s="657"/>
      <c r="BA84" s="657"/>
      <c r="BB84" s="657"/>
      <c r="BC84" s="657"/>
      <c r="BD84" s="657"/>
      <c r="BE84" s="657"/>
      <c r="BF84" s="655"/>
      <c r="BG84" s="227"/>
      <c r="BH84" s="287"/>
      <c r="BI84" s="250"/>
    </row>
    <row r="85" spans="1:61" ht="18.75" customHeight="1">
      <c r="A85" s="5"/>
      <c r="B85" s="1008" t="s">
        <v>220</v>
      </c>
      <c r="C85" s="1009" t="s">
        <v>221</v>
      </c>
      <c r="D85" s="1009"/>
      <c r="E85" s="1009"/>
      <c r="F85" s="1009"/>
      <c r="G85" s="196" t="s">
        <v>232</v>
      </c>
      <c r="H85" s="196" t="s">
        <v>222</v>
      </c>
      <c r="I85" s="196" t="s">
        <v>223</v>
      </c>
      <c r="J85" s="231" t="s">
        <v>233</v>
      </c>
      <c r="K85" s="489"/>
      <c r="L85" s="250"/>
      <c r="M85" s="5"/>
      <c r="N85" s="352"/>
      <c r="O85" s="352"/>
      <c r="P85" s="352"/>
      <c r="Q85" s="352"/>
      <c r="R85" s="352"/>
      <c r="S85" s="352"/>
      <c r="T85" s="245" t="s">
        <v>174</v>
      </c>
      <c r="U85" s="245">
        <v>0</v>
      </c>
      <c r="V85" s="245" t="s">
        <v>174</v>
      </c>
      <c r="W85" s="245">
        <f>V75-U85</f>
        <v>32</v>
      </c>
      <c r="X85" s="250"/>
      <c r="Z85" s="118" t="s">
        <v>257</v>
      </c>
      <c r="AA85" s="97"/>
      <c r="AB85" s="97"/>
      <c r="AC85" s="97"/>
      <c r="AD85" s="97"/>
      <c r="AE85" s="99"/>
      <c r="AF85" s="100"/>
      <c r="AG85" s="101"/>
      <c r="AH85" s="227"/>
      <c r="AI85" s="307"/>
      <c r="AJ85" s="5"/>
      <c r="AK85" s="5"/>
      <c r="AL85" s="5"/>
      <c r="AM85" s="5"/>
      <c r="AN85" s="5"/>
      <c r="AO85" s="5"/>
      <c r="AP85" s="5"/>
      <c r="AQ85" s="5"/>
      <c r="AR85" s="5"/>
      <c r="AS85" s="5"/>
      <c r="AT85" s="5"/>
      <c r="AX85" s="5"/>
      <c r="AY85" s="975" t="s">
        <v>220</v>
      </c>
      <c r="AZ85" s="977" t="s">
        <v>221</v>
      </c>
      <c r="BA85" s="978"/>
      <c r="BB85" s="978"/>
      <c r="BC85" s="978"/>
      <c r="BD85" s="654" t="s">
        <v>232</v>
      </c>
      <c r="BE85" s="654" t="s">
        <v>222</v>
      </c>
      <c r="BF85" s="196" t="s">
        <v>223</v>
      </c>
      <c r="BG85" s="231" t="s">
        <v>233</v>
      </c>
      <c r="BH85" s="287"/>
      <c r="BI85" s="250"/>
    </row>
    <row r="86" spans="1:61" ht="18.75" customHeight="1">
      <c r="A86" s="5"/>
      <c r="B86" s="1008"/>
      <c r="C86" s="1009"/>
      <c r="D86" s="1009"/>
      <c r="E86" s="1009"/>
      <c r="F86" s="1009"/>
      <c r="G86" s="62" t="s">
        <v>228</v>
      </c>
      <c r="H86" s="62" t="s">
        <v>226</v>
      </c>
      <c r="I86" s="513" t="s">
        <v>227</v>
      </c>
      <c r="J86" s="232" t="s">
        <v>229</v>
      </c>
      <c r="K86" s="489"/>
      <c r="L86" s="250"/>
      <c r="M86" s="5"/>
      <c r="N86" s="467"/>
      <c r="O86" s="468"/>
      <c r="P86" s="468"/>
      <c r="Q86" s="468"/>
      <c r="R86" s="468"/>
      <c r="S86" s="469"/>
      <c r="T86" s="247" t="s">
        <v>174</v>
      </c>
      <c r="U86" s="247">
        <v>0</v>
      </c>
      <c r="V86" s="245" t="s">
        <v>174</v>
      </c>
      <c r="W86" s="245">
        <f>V75-U86</f>
        <v>32</v>
      </c>
      <c r="X86" s="251" t="s">
        <v>263</v>
      </c>
      <c r="Z86" s="359" t="s">
        <v>220</v>
      </c>
      <c r="AA86" s="360" t="s">
        <v>221</v>
      </c>
      <c r="AB86" s="361"/>
      <c r="AC86" s="361"/>
      <c r="AD86" s="361"/>
      <c r="AE86" s="196" t="s">
        <v>232</v>
      </c>
      <c r="AF86" s="196" t="s">
        <v>222</v>
      </c>
      <c r="AG86" s="196" t="s">
        <v>223</v>
      </c>
      <c r="AH86" s="231" t="s">
        <v>233</v>
      </c>
      <c r="AI86" s="307"/>
      <c r="AJ86" s="5"/>
      <c r="AK86" s="5"/>
      <c r="AL86" s="5"/>
      <c r="AM86" s="5"/>
      <c r="AN86" s="5"/>
      <c r="AO86" s="5"/>
      <c r="AP86" s="5"/>
      <c r="AQ86" s="5"/>
      <c r="AR86" s="5"/>
      <c r="AS86" s="5"/>
      <c r="AT86" s="5"/>
      <c r="AX86" s="5"/>
      <c r="AY86" s="976"/>
      <c r="AZ86" s="979"/>
      <c r="BA86" s="980"/>
      <c r="BB86" s="980"/>
      <c r="BC86" s="980"/>
      <c r="BD86" s="62" t="s">
        <v>228</v>
      </c>
      <c r="BE86" s="62" t="s">
        <v>226</v>
      </c>
      <c r="BF86" s="197" t="s">
        <v>227</v>
      </c>
      <c r="BG86" s="232" t="s">
        <v>229</v>
      </c>
      <c r="BH86" s="287"/>
      <c r="BI86" s="250"/>
    </row>
    <row r="87" spans="1:61" ht="18.75" customHeight="1">
      <c r="A87" s="5"/>
      <c r="B87" s="155" t="s">
        <v>295</v>
      </c>
      <c r="C87" s="1141" t="s">
        <v>393</v>
      </c>
      <c r="D87" s="1141"/>
      <c r="E87" s="1141"/>
      <c r="F87" s="1141"/>
      <c r="G87" s="62">
        <f>(22-22)/(22--8)</f>
        <v>0</v>
      </c>
      <c r="H87" s="282">
        <f>5.05*3.94</f>
        <v>19.896999999999998</v>
      </c>
      <c r="I87" s="1">
        <f>Parois!L42</f>
        <v>1.8115853807007718</v>
      </c>
      <c r="J87" s="511">
        <f>H87*G87*I87</f>
        <v>0</v>
      </c>
      <c r="K87" s="489"/>
      <c r="L87" s="250"/>
      <c r="M87" s="5"/>
      <c r="N87" s="353"/>
      <c r="O87" s="353"/>
      <c r="P87" s="353"/>
      <c r="Q87" s="353"/>
      <c r="R87" s="353"/>
      <c r="S87" s="353"/>
      <c r="T87" s="247" t="s">
        <v>174</v>
      </c>
      <c r="U87" s="247">
        <v>0</v>
      </c>
      <c r="V87" s="245" t="s">
        <v>174</v>
      </c>
      <c r="W87" s="245">
        <f>V75-U87</f>
        <v>32</v>
      </c>
      <c r="X87" s="253" t="s">
        <v>263</v>
      </c>
      <c r="Z87" s="155"/>
      <c r="AA87" s="362"/>
      <c r="AB87" s="363"/>
      <c r="AC87" s="363"/>
      <c r="AD87" s="363"/>
      <c r="AE87" s="62" t="s">
        <v>228</v>
      </c>
      <c r="AF87" s="62" t="s">
        <v>226</v>
      </c>
      <c r="AG87" s="197" t="s">
        <v>227</v>
      </c>
      <c r="AH87" s="232" t="s">
        <v>229</v>
      </c>
      <c r="AI87" s="307"/>
      <c r="AJ87" s="5"/>
      <c r="AK87" s="5"/>
      <c r="AL87" s="5"/>
      <c r="AM87" s="5"/>
      <c r="AN87" s="5"/>
      <c r="AO87" s="5"/>
      <c r="AP87" s="5"/>
      <c r="AQ87" s="5"/>
      <c r="AR87" s="5"/>
      <c r="AS87" s="5"/>
      <c r="AT87" s="5"/>
      <c r="AX87" s="5"/>
      <c r="AY87" s="155"/>
      <c r="AZ87" s="981" t="s">
        <v>406</v>
      </c>
      <c r="BA87" s="982"/>
      <c r="BB87" s="982"/>
      <c r="BC87" s="983"/>
      <c r="BD87" s="264">
        <f>(BG$98-BF107)/BG$101</f>
        <v>0.33333333333333331</v>
      </c>
      <c r="BE87" s="65">
        <f>AF88</f>
        <v>19.8828</v>
      </c>
      <c r="BF87" s="265">
        <f>AG88</f>
        <v>1.8115853807007718</v>
      </c>
      <c r="BG87" s="266">
        <f>BD87*BE87*BF87</f>
        <v>12.006463269132434</v>
      </c>
      <c r="BH87" s="287"/>
      <c r="BI87" s="969"/>
    </row>
    <row r="88" spans="1:61" ht="18.75" customHeight="1">
      <c r="A88" s="5"/>
      <c r="B88" s="155" t="s">
        <v>337</v>
      </c>
      <c r="C88" s="1123" t="s">
        <v>345</v>
      </c>
      <c r="D88" s="1123"/>
      <c r="E88" s="1123"/>
      <c r="F88" s="1123"/>
      <c r="G88" s="62">
        <f>(22-18)/(22--8)</f>
        <v>0.13333333333333333</v>
      </c>
      <c r="H88" s="282">
        <f>4*3.94</f>
        <v>15.76</v>
      </c>
      <c r="I88" s="1">
        <f>Parois!L42</f>
        <v>1.8115853807007718</v>
      </c>
      <c r="J88" s="512">
        <f>G88*H88*I88</f>
        <v>3.8067447466458884</v>
      </c>
      <c r="K88" s="489"/>
      <c r="L88" s="250"/>
      <c r="M88" s="5"/>
      <c r="N88" s="354" t="s">
        <v>278</v>
      </c>
      <c r="O88" s="354"/>
      <c r="P88" s="354"/>
      <c r="Q88" s="354"/>
      <c r="R88" s="354"/>
      <c r="S88" s="354"/>
      <c r="T88" s="354"/>
      <c r="U88" s="354"/>
      <c r="V88" s="354"/>
      <c r="W88" s="249"/>
      <c r="X88" s="5"/>
      <c r="Z88" s="155"/>
      <c r="AA88" s="346" t="s">
        <v>407</v>
      </c>
      <c r="AB88" s="400"/>
      <c r="AC88" s="400"/>
      <c r="AD88" s="401"/>
      <c r="AE88" s="62">
        <f>ABS(($AH$95-AF100)/$AH$96)</f>
        <v>6.6666666666666666E-2</v>
      </c>
      <c r="AF88" s="62">
        <f>5.04*3.945</f>
        <v>19.8828</v>
      </c>
      <c r="AG88" s="197">
        <f>Parois!L42</f>
        <v>1.8115853807007718</v>
      </c>
      <c r="AH88" s="92">
        <f>AE88*AF88*AG88</f>
        <v>2.4012926538264869</v>
      </c>
      <c r="AI88" s="307"/>
      <c r="AJ88" s="5"/>
      <c r="AK88" s="5"/>
      <c r="AL88" s="5"/>
      <c r="AM88" s="5"/>
      <c r="AN88" s="5"/>
      <c r="AO88" s="5"/>
      <c r="AP88" s="5"/>
      <c r="AQ88" s="5"/>
      <c r="AR88" s="5"/>
      <c r="AS88" s="5"/>
      <c r="AT88" s="5"/>
      <c r="AX88" s="5"/>
      <c r="AY88" s="155"/>
      <c r="AZ88" s="981" t="s">
        <v>275</v>
      </c>
      <c r="BA88" s="982"/>
      <c r="BB88" s="982"/>
      <c r="BC88" s="983"/>
      <c r="BD88" s="264">
        <f>(BG$98-BF106)/BG$101</f>
        <v>0.16666666666666666</v>
      </c>
      <c r="BE88" s="65">
        <f>AF89</f>
        <v>15.78</v>
      </c>
      <c r="BF88" s="265">
        <f>AG89</f>
        <v>1.8115853807007718</v>
      </c>
      <c r="BG88" s="266">
        <f t="shared" ref="BG88:BG89" si="3">BD88*BE88*BF88</f>
        <v>4.76446955124303</v>
      </c>
      <c r="BH88" s="287"/>
      <c r="BI88" s="969"/>
    </row>
    <row r="89" spans="1:61" ht="18.75" customHeight="1">
      <c r="A89" s="5"/>
      <c r="B89" s="57" t="s">
        <v>342</v>
      </c>
      <c r="C89" s="1123" t="s">
        <v>393</v>
      </c>
      <c r="D89" s="1123"/>
      <c r="E89" s="1123"/>
      <c r="F89" s="1123"/>
      <c r="G89" s="2">
        <f>(22-22)/(22--8)</f>
        <v>0</v>
      </c>
      <c r="H89" s="92">
        <f>5*3.94</f>
        <v>19.7</v>
      </c>
      <c r="I89" s="1">
        <f>Parois!L42</f>
        <v>1.8115853807007718</v>
      </c>
      <c r="J89" s="89">
        <f>G89*H89*I89</f>
        <v>0</v>
      </c>
      <c r="K89" s="489"/>
      <c r="L89" s="250"/>
      <c r="N89" s="345" t="s">
        <v>279</v>
      </c>
      <c r="O89" s="345"/>
      <c r="P89" s="345"/>
      <c r="Q89" s="345"/>
      <c r="R89" s="345"/>
      <c r="S89" s="345"/>
      <c r="T89" s="345"/>
      <c r="U89" s="345"/>
      <c r="V89" s="345"/>
      <c r="W89" s="271">
        <f>W73*V79</f>
        <v>88.45342966330324</v>
      </c>
      <c r="Z89" s="59"/>
      <c r="AA89" s="461" t="s">
        <v>243</v>
      </c>
      <c r="AB89" s="462"/>
      <c r="AC89" s="462"/>
      <c r="AD89" s="462"/>
      <c r="AE89" s="220">
        <f>ABS(($AH$95-AF101)/$AH$96)</f>
        <v>0.13333333333333333</v>
      </c>
      <c r="AF89" s="298">
        <f xml:space="preserve"> 4*3.945</f>
        <v>15.78</v>
      </c>
      <c r="AG89" s="298">
        <f>Parois!L42</f>
        <v>1.8115853807007718</v>
      </c>
      <c r="AH89" s="299">
        <f>AE89*AF89*AG89</f>
        <v>3.8115756409944241</v>
      </c>
      <c r="AI89" s="307"/>
      <c r="AJ89" s="5"/>
      <c r="AK89" s="5"/>
      <c r="AL89" s="5"/>
      <c r="AM89" s="5"/>
      <c r="AN89" s="5"/>
      <c r="AO89" s="5"/>
      <c r="AP89" s="5"/>
      <c r="AQ89" s="5"/>
      <c r="AR89" s="5"/>
      <c r="AS89" s="5"/>
      <c r="AT89" s="5"/>
      <c r="AX89" s="5"/>
      <c r="AY89" s="155"/>
      <c r="AZ89" s="981" t="s">
        <v>246</v>
      </c>
      <c r="BA89" s="982"/>
      <c r="BB89" s="982"/>
      <c r="BC89" s="983"/>
      <c r="BD89" s="264">
        <f>(BG$98-BF106)/BG$101</f>
        <v>0.16666666666666666</v>
      </c>
      <c r="BE89" s="65">
        <f>AF91</f>
        <v>1.6442999999999999</v>
      </c>
      <c r="BF89" s="265">
        <f>AG91</f>
        <v>2.5</v>
      </c>
      <c r="BG89" s="266">
        <f t="shared" si="3"/>
        <v>0.68512499999999987</v>
      </c>
      <c r="BH89" s="287"/>
      <c r="BI89" s="969"/>
    </row>
    <row r="90" spans="1:61" ht="18.75" customHeight="1">
      <c r="A90" s="5"/>
      <c r="B90" s="57"/>
      <c r="C90" s="1123" t="s">
        <v>408</v>
      </c>
      <c r="D90" s="1123"/>
      <c r="E90" s="1123"/>
      <c r="F90" s="1123"/>
      <c r="G90" s="2">
        <f>(22-18)/(22--8)</f>
        <v>0.13333333333333333</v>
      </c>
      <c r="H90" s="92">
        <f>1.64</f>
        <v>1.64</v>
      </c>
      <c r="I90" s="454">
        <f>2.5</f>
        <v>2.5</v>
      </c>
      <c r="J90" s="89">
        <f>G90*H90*I90</f>
        <v>0.54666666666666663</v>
      </c>
      <c r="K90" s="489"/>
      <c r="L90" s="250"/>
      <c r="M90" s="5"/>
      <c r="N90" s="5"/>
      <c r="O90" s="5"/>
      <c r="P90" s="5"/>
      <c r="Q90" s="5"/>
      <c r="R90" s="5"/>
      <c r="S90" s="5"/>
      <c r="T90" s="5"/>
      <c r="U90" s="5"/>
      <c r="V90" s="5"/>
      <c r="W90" s="5"/>
      <c r="X90" s="5"/>
      <c r="Y90" s="5"/>
      <c r="AA90" s="119" t="s">
        <v>409</v>
      </c>
      <c r="AB90" s="439"/>
      <c r="AC90" s="439"/>
      <c r="AD90" s="438"/>
      <c r="AE90" s="1">
        <f>ABS(($AH$95-AF102)/$AH$96)</f>
        <v>6.6666666666666666E-2</v>
      </c>
      <c r="AF90" s="439">
        <f>36.0996</f>
        <v>36.099600000000002</v>
      </c>
      <c r="AG90" s="439">
        <f>Parois!L49</f>
        <v>0.39937430012814151</v>
      </c>
      <c r="AH90" s="438">
        <f>AE90*AF90*AG90</f>
        <v>0.96115016566039058</v>
      </c>
      <c r="AI90" s="307"/>
      <c r="AJ90" s="5"/>
      <c r="AK90" s="5"/>
      <c r="AL90" s="5"/>
      <c r="AM90" s="5"/>
      <c r="AN90" s="5"/>
      <c r="AO90" s="5"/>
      <c r="AP90" s="5"/>
      <c r="AQ90" s="5"/>
      <c r="AR90" s="5"/>
      <c r="AS90" s="5"/>
      <c r="AT90" s="5"/>
      <c r="AX90" s="5"/>
      <c r="AY90" s="155"/>
      <c r="AZ90" s="981" t="s">
        <v>294</v>
      </c>
      <c r="BA90" s="982"/>
      <c r="BB90" s="982"/>
      <c r="BC90" s="983"/>
      <c r="BD90" s="264">
        <f>(BG$98-BF105)/BG$101</f>
        <v>1</v>
      </c>
      <c r="BE90" s="65">
        <f>AF90</f>
        <v>36.099600000000002</v>
      </c>
      <c r="BF90" s="267">
        <f>AG90</f>
        <v>0.39937430012814151</v>
      </c>
      <c r="BG90" s="266">
        <f>BD90*BE90*BF90</f>
        <v>14.417252484905859</v>
      </c>
      <c r="BH90" s="287"/>
      <c r="BI90" s="969"/>
    </row>
    <row r="91" spans="1:61" ht="18" customHeight="1">
      <c r="A91" s="5"/>
      <c r="B91" s="57" t="s">
        <v>255</v>
      </c>
      <c r="C91" s="57"/>
      <c r="D91" s="57"/>
      <c r="E91" s="57"/>
      <c r="F91" s="58"/>
      <c r="G91" s="1"/>
      <c r="H91" s="1"/>
      <c r="I91" s="454"/>
      <c r="J91" s="91">
        <f>+J87+J88+J89+J90</f>
        <v>4.3534114133125552</v>
      </c>
      <c r="K91" s="489"/>
      <c r="L91" s="250"/>
      <c r="M91" s="5"/>
      <c r="N91" s="5"/>
      <c r="O91" s="5"/>
      <c r="P91" s="5"/>
      <c r="Q91" s="5"/>
      <c r="R91" s="5"/>
      <c r="S91" s="5"/>
      <c r="T91" s="5"/>
      <c r="U91" s="5"/>
      <c r="V91" s="5"/>
      <c r="W91" s="5"/>
      <c r="X91" s="5"/>
      <c r="Y91" s="5"/>
      <c r="Z91" s="119"/>
      <c r="AA91" s="167" t="s">
        <v>410</v>
      </c>
      <c r="AB91" s="167"/>
      <c r="AC91" s="167"/>
      <c r="AD91" s="463"/>
      <c r="AE91" s="1">
        <f>ABS(($AH$95-AF103)/$AH$96)</f>
        <v>0.73333333333333328</v>
      </c>
      <c r="AF91" s="454">
        <f>0.81*2.03</f>
        <v>1.6442999999999999</v>
      </c>
      <c r="AG91" s="454">
        <f>2.5</f>
        <v>2.5</v>
      </c>
      <c r="AH91" s="438">
        <f>AE91*AF91*AG91</f>
        <v>3.0145499999999998</v>
      </c>
      <c r="AJ91" s="5"/>
      <c r="AK91" s="5"/>
      <c r="AL91" s="5"/>
      <c r="AM91" s="5"/>
      <c r="AN91" s="5"/>
      <c r="AO91" s="5"/>
      <c r="AP91" s="5"/>
      <c r="AQ91" s="5"/>
      <c r="AR91" s="5"/>
      <c r="AS91" s="5"/>
      <c r="AT91" s="5"/>
      <c r="AX91" s="5"/>
      <c r="AY91" s="155"/>
      <c r="AZ91" s="346"/>
      <c r="BA91" s="629"/>
      <c r="BB91" s="629"/>
      <c r="BC91" s="629"/>
      <c r="BD91" s="264"/>
      <c r="BE91" s="65"/>
      <c r="BF91" s="267"/>
      <c r="BG91" s="266"/>
      <c r="BH91" s="287"/>
      <c r="BI91" s="969"/>
    </row>
    <row r="92" spans="1:61" ht="18" customHeight="1">
      <c r="A92" s="5"/>
      <c r="B92" s="83" t="s">
        <v>258</v>
      </c>
      <c r="C92" s="84"/>
      <c r="D92" s="84"/>
      <c r="E92" s="84"/>
      <c r="F92" s="102"/>
      <c r="G92" s="999" t="s">
        <v>259</v>
      </c>
      <c r="H92" s="999"/>
      <c r="I92" s="999"/>
      <c r="J92" s="119"/>
      <c r="K92" s="489"/>
      <c r="L92" s="250"/>
      <c r="M92" s="5"/>
      <c r="N92" s="5"/>
      <c r="O92" s="5"/>
      <c r="P92" s="5"/>
      <c r="Q92" s="5"/>
      <c r="R92" s="5"/>
      <c r="S92" s="5"/>
      <c r="T92" s="5"/>
      <c r="U92" s="5"/>
      <c r="V92" s="5"/>
      <c r="W92" s="5"/>
      <c r="X92" s="5"/>
      <c r="Y92" s="5"/>
      <c r="Z92" s="167" t="s">
        <v>255</v>
      </c>
      <c r="AA92" s="84"/>
      <c r="AB92" s="84"/>
      <c r="AC92" s="84"/>
      <c r="AD92" s="102"/>
      <c r="AE92" s="355" t="s">
        <v>259</v>
      </c>
      <c r="AF92" s="355"/>
      <c r="AG92" s="355"/>
      <c r="AH92" s="119"/>
      <c r="AI92" s="505">
        <f>AH88+AH89+AH90+AH91</f>
        <v>10.188568460481301</v>
      </c>
      <c r="AJ92" s="5"/>
      <c r="AK92" s="5"/>
      <c r="AL92" s="5"/>
      <c r="AM92" s="5"/>
      <c r="AN92" s="5"/>
      <c r="AO92" s="5"/>
      <c r="AP92" s="5"/>
      <c r="AQ92" s="5"/>
      <c r="AR92" s="5"/>
      <c r="AS92" s="5"/>
      <c r="AT92" s="5"/>
      <c r="AX92" s="5"/>
      <c r="AY92" s="57"/>
      <c r="AZ92" s="984"/>
      <c r="BA92" s="985"/>
      <c r="BB92" s="985"/>
      <c r="BC92" s="985"/>
      <c r="BD92" s="264"/>
      <c r="BE92" s="268"/>
      <c r="BF92" s="268"/>
      <c r="BG92" s="266"/>
      <c r="BH92" s="287"/>
      <c r="BI92" s="969"/>
    </row>
    <row r="93" spans="1:61">
      <c r="A93" s="5"/>
      <c r="B93" s="104" t="s">
        <v>365</v>
      </c>
      <c r="C93" s="103"/>
      <c r="D93" s="103"/>
      <c r="E93" s="103"/>
      <c r="F93" s="103"/>
      <c r="G93" s="103"/>
      <c r="H93" s="103"/>
      <c r="I93" s="103"/>
      <c r="J93" s="103"/>
      <c r="K93" s="489"/>
      <c r="L93" s="250"/>
      <c r="M93" s="5"/>
      <c r="N93" s="5"/>
      <c r="O93" s="5"/>
      <c r="P93" s="5"/>
      <c r="Q93" s="5"/>
      <c r="R93" s="5"/>
      <c r="S93" s="5"/>
      <c r="T93" s="5"/>
      <c r="U93" s="5"/>
      <c r="V93" s="5"/>
      <c r="W93" s="5"/>
      <c r="X93" s="5"/>
      <c r="Y93" s="5"/>
      <c r="Z93" s="83" t="s">
        <v>258</v>
      </c>
      <c r="AA93" s="103"/>
      <c r="AB93" s="103"/>
      <c r="AC93" s="103"/>
      <c r="AD93" s="103"/>
      <c r="AE93" s="103"/>
      <c r="AF93" s="103"/>
      <c r="AG93" s="103"/>
      <c r="AH93" s="103"/>
      <c r="AI93" s="398"/>
      <c r="AJ93" s="5"/>
      <c r="AK93" s="5"/>
      <c r="AL93" s="5"/>
      <c r="AM93" s="5"/>
      <c r="AN93" s="5"/>
      <c r="AO93" s="5"/>
      <c r="AP93" s="5"/>
      <c r="AQ93" s="5"/>
      <c r="AR93" s="5"/>
      <c r="AS93" s="5"/>
      <c r="AT93" s="5"/>
      <c r="AX93" s="5"/>
      <c r="AY93" s="57"/>
      <c r="AZ93" s="364"/>
      <c r="BA93" s="365"/>
      <c r="BB93" s="365"/>
      <c r="BC93" s="365"/>
      <c r="BD93" s="264"/>
      <c r="BE93" s="268"/>
      <c r="BF93" s="268"/>
      <c r="BG93" s="266"/>
      <c r="BH93" s="287"/>
      <c r="BI93" s="969"/>
    </row>
    <row r="94" spans="1:61" ht="16.5" customHeight="1">
      <c r="A94" s="5"/>
      <c r="B94" s="818" t="s">
        <v>6</v>
      </c>
      <c r="C94" s="818"/>
      <c r="D94" s="818"/>
      <c r="E94" s="818"/>
      <c r="F94" s="818"/>
      <c r="G94" s="818"/>
      <c r="H94" s="1" t="s">
        <v>261</v>
      </c>
      <c r="I94" s="1" t="s">
        <v>262</v>
      </c>
      <c r="J94" s="119">
        <v>-8</v>
      </c>
      <c r="K94" s="489"/>
      <c r="L94" s="250"/>
      <c r="M94" s="5"/>
      <c r="N94" s="5"/>
      <c r="O94" s="5"/>
      <c r="P94" s="5"/>
      <c r="Q94" s="5"/>
      <c r="R94" s="5"/>
      <c r="S94" s="5"/>
      <c r="T94" s="5"/>
      <c r="U94" s="5"/>
      <c r="V94" s="5"/>
      <c r="W94" s="5"/>
      <c r="X94" s="5"/>
      <c r="Y94" s="5"/>
      <c r="Z94" s="104" t="s">
        <v>365</v>
      </c>
      <c r="AA94" s="351"/>
      <c r="AB94" s="351"/>
      <c r="AC94" s="351"/>
      <c r="AD94" s="351"/>
      <c r="AE94" s="351"/>
      <c r="AF94" s="1" t="s">
        <v>261</v>
      </c>
      <c r="AG94" s="1" t="s">
        <v>262</v>
      </c>
      <c r="AH94" s="119">
        <v>-8</v>
      </c>
      <c r="AI94" s="398"/>
      <c r="AJ94" s="5"/>
      <c r="AK94" s="5"/>
      <c r="AL94" s="5"/>
      <c r="AM94" s="5"/>
      <c r="AN94" s="5"/>
      <c r="AO94" s="5"/>
      <c r="AP94" s="5"/>
      <c r="AQ94" s="5"/>
      <c r="AR94" s="5"/>
      <c r="AS94" s="5"/>
      <c r="AT94" s="5"/>
      <c r="AX94" s="5"/>
      <c r="AY94" s="57" t="s">
        <v>255</v>
      </c>
      <c r="AZ94" s="57"/>
      <c r="BA94" s="57"/>
      <c r="BB94" s="57"/>
      <c r="BC94" s="58"/>
      <c r="BD94" s="1"/>
      <c r="BE94" s="1"/>
      <c r="BF94" s="1"/>
      <c r="BG94" s="91" t="s">
        <v>256</v>
      </c>
      <c r="BH94" s="287"/>
      <c r="BI94" s="969"/>
    </row>
    <row r="95" spans="1:61" ht="19.5">
      <c r="A95" s="5"/>
      <c r="B95" s="971" t="s">
        <v>264</v>
      </c>
      <c r="C95" s="971"/>
      <c r="D95" s="971"/>
      <c r="E95" s="971"/>
      <c r="F95" s="971"/>
      <c r="G95" s="971"/>
      <c r="H95" s="1" t="s">
        <v>265</v>
      </c>
      <c r="I95" s="1" t="s">
        <v>262</v>
      </c>
      <c r="J95" s="119">
        <v>22</v>
      </c>
      <c r="K95" s="489"/>
      <c r="L95" s="250"/>
      <c r="M95" s="5"/>
      <c r="N95" s="5"/>
      <c r="O95" s="5"/>
      <c r="P95" s="5"/>
      <c r="Q95" s="5"/>
      <c r="R95" s="5"/>
      <c r="S95" s="5"/>
      <c r="T95" s="5"/>
      <c r="U95" s="5"/>
      <c r="V95" s="5"/>
      <c r="W95" s="5"/>
      <c r="X95" s="5"/>
      <c r="Y95" s="5"/>
      <c r="Z95" s="351" t="s">
        <v>6</v>
      </c>
      <c r="AA95" s="352"/>
      <c r="AB95" s="352"/>
      <c r="AC95" s="352"/>
      <c r="AD95" s="352"/>
      <c r="AE95" s="352"/>
      <c r="AF95" s="1" t="s">
        <v>265</v>
      </c>
      <c r="AG95" s="1" t="s">
        <v>262</v>
      </c>
      <c r="AH95" s="119">
        <v>22</v>
      </c>
      <c r="AI95" s="398"/>
      <c r="AJ95" s="5"/>
      <c r="AK95" s="5"/>
      <c r="AL95" s="5"/>
      <c r="AM95" s="5"/>
      <c r="AN95" s="5"/>
      <c r="AO95" s="5"/>
      <c r="AP95" s="5"/>
      <c r="AQ95" s="5"/>
      <c r="AR95" s="5"/>
      <c r="AS95" s="5"/>
      <c r="AT95" s="5"/>
      <c r="AX95" s="5"/>
      <c r="AY95" s="83" t="s">
        <v>258</v>
      </c>
      <c r="AZ95" s="84"/>
      <c r="BA95" s="84"/>
      <c r="BB95" s="84"/>
      <c r="BC95" s="102"/>
      <c r="BD95" s="999" t="s">
        <v>259</v>
      </c>
      <c r="BE95" s="999"/>
      <c r="BF95" s="999"/>
      <c r="BG95" s="119"/>
      <c r="BH95" s="663">
        <f>BG87+BG88+BG89+BG90</f>
        <v>31.873310305281322</v>
      </c>
      <c r="BI95" s="969"/>
    </row>
    <row r="96" spans="1:61" ht="17.25" customHeight="1">
      <c r="A96" s="5"/>
      <c r="B96" s="818" t="s">
        <v>266</v>
      </c>
      <c r="C96" s="818"/>
      <c r="D96" s="818"/>
      <c r="E96" s="818"/>
      <c r="F96" s="818"/>
      <c r="G96" s="818"/>
      <c r="H96" s="1" t="s">
        <v>267</v>
      </c>
      <c r="I96" s="1" t="s">
        <v>262</v>
      </c>
      <c r="J96" s="119">
        <f>J95-J94</f>
        <v>30</v>
      </c>
      <c r="K96" s="454"/>
      <c r="L96" s="250"/>
      <c r="M96" s="5"/>
      <c r="N96" s="5"/>
      <c r="O96" s="5"/>
      <c r="P96" s="5"/>
      <c r="Q96" s="5"/>
      <c r="R96" s="5"/>
      <c r="S96" s="5"/>
      <c r="T96" s="5"/>
      <c r="U96" s="5"/>
      <c r="V96" s="5"/>
      <c r="W96" s="5"/>
      <c r="X96" s="5"/>
      <c r="Y96" s="5"/>
      <c r="Z96" s="352" t="s">
        <v>264</v>
      </c>
      <c r="AA96" s="351"/>
      <c r="AB96" s="351"/>
      <c r="AC96" s="351"/>
      <c r="AD96" s="351"/>
      <c r="AE96" s="351"/>
      <c r="AF96" s="1" t="s">
        <v>267</v>
      </c>
      <c r="AG96" s="1" t="s">
        <v>262</v>
      </c>
      <c r="AH96" s="119">
        <f>AH95-AH94</f>
        <v>30</v>
      </c>
      <c r="AI96" s="398"/>
      <c r="AJ96" s="5"/>
      <c r="AK96" s="5"/>
      <c r="AL96" s="5"/>
      <c r="AM96" s="5"/>
      <c r="AN96" s="5"/>
      <c r="AO96" s="5"/>
      <c r="AP96" s="5"/>
      <c r="AQ96" s="5"/>
      <c r="AR96" s="5"/>
      <c r="AS96" s="5"/>
      <c r="AT96" s="5"/>
      <c r="AX96" s="5"/>
      <c r="AY96" s="104" t="s">
        <v>260</v>
      </c>
      <c r="AZ96" s="103"/>
      <c r="BA96" s="103"/>
      <c r="BB96" s="103"/>
      <c r="BC96" s="103"/>
      <c r="BD96" s="103"/>
      <c r="BE96" s="103"/>
      <c r="BF96" s="103"/>
      <c r="BG96" s="103"/>
      <c r="BH96" s="287"/>
      <c r="BI96" s="969"/>
    </row>
    <row r="97" spans="1:61" ht="26.25" customHeight="1">
      <c r="A97" s="5"/>
      <c r="B97" s="988" t="s">
        <v>411</v>
      </c>
      <c r="C97" s="988"/>
      <c r="D97" s="988"/>
      <c r="E97" s="988"/>
      <c r="F97" s="988"/>
      <c r="G97" s="988"/>
      <c r="H97" s="988"/>
      <c r="I97" s="988"/>
      <c r="J97" s="988"/>
      <c r="K97" s="195">
        <f>(K67+K78+J91)*J96</f>
        <v>582.27359499023362</v>
      </c>
      <c r="L97" s="251" t="s">
        <v>263</v>
      </c>
      <c r="M97" s="5"/>
      <c r="N97" s="5"/>
      <c r="O97" s="5"/>
      <c r="P97" s="5"/>
      <c r="Q97" s="5"/>
      <c r="R97" s="5"/>
      <c r="S97" s="5"/>
      <c r="T97" s="5"/>
      <c r="U97" s="5"/>
      <c r="V97" s="5"/>
      <c r="W97" s="5"/>
      <c r="X97" s="5"/>
      <c r="Y97" s="5"/>
      <c r="Z97" s="351" t="s">
        <v>266</v>
      </c>
      <c r="AA97" s="356"/>
      <c r="AB97" s="356"/>
      <c r="AC97" s="356"/>
      <c r="AD97" s="356"/>
      <c r="AE97" s="356"/>
      <c r="AF97" s="356"/>
      <c r="AG97" s="356"/>
      <c r="AH97" s="356"/>
      <c r="AI97" s="399"/>
      <c r="AJ97" s="5"/>
      <c r="AK97" s="5"/>
      <c r="AL97" s="5"/>
      <c r="AM97" s="5"/>
      <c r="AN97" s="5"/>
      <c r="AO97" s="5"/>
      <c r="AP97" s="5"/>
      <c r="AQ97" s="5"/>
      <c r="AR97" s="5"/>
      <c r="AS97" s="5"/>
      <c r="AT97" s="5"/>
      <c r="AX97" s="5"/>
      <c r="AY97" s="818" t="s">
        <v>6</v>
      </c>
      <c r="AZ97" s="818"/>
      <c r="BA97" s="818"/>
      <c r="BB97" s="818"/>
      <c r="BC97" s="818"/>
      <c r="BD97" s="818"/>
      <c r="BE97" s="1" t="s">
        <v>261</v>
      </c>
      <c r="BF97" s="1" t="s">
        <v>262</v>
      </c>
      <c r="BG97" s="119">
        <f>32</f>
        <v>32</v>
      </c>
      <c r="BH97" s="287"/>
      <c r="BI97" s="969"/>
    </row>
    <row r="98" spans="1:61" ht="18" customHeight="1">
      <c r="A98" s="5"/>
      <c r="B98" s="1158" t="s">
        <v>269</v>
      </c>
      <c r="C98" s="1158"/>
      <c r="D98" s="1158"/>
      <c r="E98" s="1158"/>
      <c r="F98" s="1158"/>
      <c r="G98" s="1158"/>
      <c r="H98" s="1158"/>
      <c r="I98" s="1158"/>
      <c r="J98" s="1158"/>
      <c r="K98" s="1158"/>
      <c r="L98" s="250"/>
      <c r="M98" s="5"/>
      <c r="N98" s="5"/>
      <c r="O98" s="5"/>
      <c r="P98" s="5"/>
      <c r="Q98" s="5"/>
      <c r="R98" s="5"/>
      <c r="S98" s="5"/>
      <c r="T98" s="5"/>
      <c r="U98" s="5"/>
      <c r="V98" s="5"/>
      <c r="W98" s="5"/>
      <c r="X98" s="5"/>
      <c r="Z98" s="356" t="s">
        <v>412</v>
      </c>
      <c r="AA98" s="235"/>
      <c r="AB98" s="235"/>
      <c r="AC98" s="235"/>
      <c r="AD98" s="235"/>
      <c r="AE98" s="235"/>
      <c r="AF98" s="235"/>
      <c r="AG98" s="235"/>
      <c r="AH98" s="235"/>
      <c r="AI98" s="274">
        <f>AJ100*AH96</f>
        <v>607.00326551320916</v>
      </c>
      <c r="AL98" s="5"/>
      <c r="AM98" s="5"/>
      <c r="AN98" s="5"/>
      <c r="AO98" s="5"/>
      <c r="AP98" s="5"/>
      <c r="AQ98" s="5"/>
      <c r="AR98" s="5"/>
      <c r="AS98" s="5"/>
      <c r="AT98" s="5"/>
      <c r="AX98" s="5"/>
      <c r="AY98" s="971" t="s">
        <v>264</v>
      </c>
      <c r="AZ98" s="971"/>
      <c r="BA98" s="971"/>
      <c r="BB98" s="971"/>
      <c r="BC98" s="971"/>
      <c r="BD98" s="971"/>
      <c r="BE98" s="1" t="s">
        <v>265</v>
      </c>
      <c r="BF98" s="1" t="s">
        <v>262</v>
      </c>
      <c r="BG98" s="119">
        <v>26</v>
      </c>
      <c r="BH98" s="287"/>
      <c r="BI98" s="969"/>
    </row>
    <row r="99" spans="1:61" ht="18" customHeight="1">
      <c r="A99" s="5"/>
      <c r="B99" s="990" t="s">
        <v>270</v>
      </c>
      <c r="C99" s="990"/>
      <c r="D99" s="990"/>
      <c r="E99" s="990"/>
      <c r="F99" s="990"/>
      <c r="G99" s="990"/>
      <c r="H99" s="241" t="s">
        <v>271</v>
      </c>
      <c r="I99" s="241" t="s">
        <v>272</v>
      </c>
      <c r="J99" s="242" t="s">
        <v>273</v>
      </c>
      <c r="K99" s="235" t="s">
        <v>274</v>
      </c>
      <c r="L99" s="250"/>
      <c r="M99" s="5"/>
      <c r="N99" s="5"/>
      <c r="O99" s="5"/>
      <c r="P99" s="5"/>
      <c r="Q99" s="5"/>
      <c r="R99" s="5"/>
      <c r="S99" s="5"/>
      <c r="T99" s="5"/>
      <c r="U99" s="5"/>
      <c r="V99" s="5"/>
      <c r="W99" s="5"/>
      <c r="X99" s="5"/>
      <c r="Y99" s="5"/>
      <c r="Z99" s="235" t="s">
        <v>269</v>
      </c>
      <c r="AA99" s="349"/>
      <c r="AB99" s="349"/>
      <c r="AC99" s="349"/>
      <c r="AD99" s="349"/>
      <c r="AE99" s="350"/>
      <c r="AF99" s="241" t="s">
        <v>271</v>
      </c>
      <c r="AG99" s="241" t="s">
        <v>272</v>
      </c>
      <c r="AH99" s="242" t="s">
        <v>273</v>
      </c>
      <c r="AI99" s="235"/>
      <c r="AJ99" s="5"/>
      <c r="AK99" s="5"/>
      <c r="AL99" s="5"/>
      <c r="AM99" s="5"/>
      <c r="AN99" s="5"/>
      <c r="AO99" s="5"/>
      <c r="AP99" s="5"/>
      <c r="AQ99" s="5"/>
      <c r="AR99" s="5"/>
      <c r="AS99" s="5"/>
      <c r="AT99" s="5"/>
      <c r="AX99" s="5"/>
      <c r="AY99" s="618"/>
      <c r="AZ99" s="618"/>
      <c r="BA99" s="618"/>
      <c r="BB99" s="618"/>
      <c r="BC99" s="618"/>
      <c r="BD99" s="618"/>
      <c r="BE99" s="101"/>
      <c r="BF99" s="101"/>
      <c r="BG99" s="227"/>
      <c r="BH99" s="287"/>
      <c r="BI99" s="970"/>
    </row>
    <row r="100" spans="1:61" ht="18" customHeight="1">
      <c r="A100" s="5"/>
      <c r="B100" s="971" t="s">
        <v>275</v>
      </c>
      <c r="C100" s="971"/>
      <c r="D100" s="971"/>
      <c r="E100" s="971"/>
      <c r="F100" s="971"/>
      <c r="G100" s="971"/>
      <c r="H100" s="245">
        <f>Données!E33</f>
        <v>18</v>
      </c>
      <c r="I100" s="245" t="s">
        <v>174</v>
      </c>
      <c r="J100" s="245">
        <f>$J$95-H100</f>
        <v>4</v>
      </c>
      <c r="K100" s="245" t="e">
        <f>$J$95-I100</f>
        <v>#VALUE!</v>
      </c>
      <c r="L100" s="250"/>
      <c r="M100" s="5"/>
      <c r="N100" s="5"/>
      <c r="O100" s="5"/>
      <c r="P100" s="5"/>
      <c r="Q100" s="5"/>
      <c r="R100" s="5"/>
      <c r="S100" s="5"/>
      <c r="T100" s="5"/>
      <c r="U100" s="5"/>
      <c r="V100" s="5"/>
      <c r="W100" s="5"/>
      <c r="X100" s="5"/>
      <c r="Y100" s="5"/>
      <c r="Z100" s="348" t="s">
        <v>270</v>
      </c>
      <c r="AA100" s="351"/>
      <c r="AB100" s="351"/>
      <c r="AC100" s="351"/>
      <c r="AD100" s="351"/>
      <c r="AE100" s="351"/>
      <c r="AF100" s="245">
        <f>Données!E30</f>
        <v>20</v>
      </c>
      <c r="AG100" s="245">
        <f>Données!F30</f>
        <v>24</v>
      </c>
      <c r="AH100" s="245">
        <f>$AH$95-AF100</f>
        <v>2</v>
      </c>
      <c r="AI100" s="235" t="s">
        <v>274</v>
      </c>
      <c r="AJ100" s="504">
        <f>AI67+AI92</f>
        <v>20.23344218377364</v>
      </c>
      <c r="AK100" s="5"/>
      <c r="AL100" s="5"/>
      <c r="AM100" s="5"/>
      <c r="AN100" s="5"/>
      <c r="AO100" s="5"/>
      <c r="AP100" s="5"/>
      <c r="AQ100" s="5"/>
      <c r="AR100" s="5"/>
      <c r="AS100" s="5"/>
      <c r="AT100" s="5"/>
      <c r="AX100" s="5"/>
      <c r="AY100" s="618"/>
      <c r="AZ100" s="618"/>
      <c r="BA100" s="618"/>
      <c r="BB100" s="618"/>
      <c r="BC100" s="618"/>
      <c r="BD100" s="618"/>
      <c r="BE100" s="101"/>
      <c r="BF100" s="101"/>
      <c r="BG100" s="227"/>
      <c r="BH100" s="287"/>
      <c r="BI100" s="251" t="s">
        <v>263</v>
      </c>
    </row>
    <row r="101" spans="1:61" ht="19.5">
      <c r="A101" s="5"/>
      <c r="B101" s="997" t="s">
        <v>199</v>
      </c>
      <c r="C101" s="997"/>
      <c r="D101" s="997"/>
      <c r="E101" s="997"/>
      <c r="F101" s="997"/>
      <c r="G101" s="997"/>
      <c r="H101" s="247">
        <f>Données!G58</f>
        <v>10</v>
      </c>
      <c r="I101" s="247">
        <f>Données!F31</f>
        <v>20</v>
      </c>
      <c r="J101" s="247">
        <f>$J$95-H101</f>
        <v>12</v>
      </c>
      <c r="K101" s="247">
        <f>$J$95-I101</f>
        <v>2</v>
      </c>
      <c r="L101" s="250"/>
      <c r="M101" s="5"/>
      <c r="N101" s="5"/>
      <c r="O101" s="5"/>
      <c r="P101" s="5"/>
      <c r="Q101" s="5"/>
      <c r="R101" s="5"/>
      <c r="S101" s="5"/>
      <c r="T101" s="5"/>
      <c r="U101" s="5"/>
      <c r="V101" s="5"/>
      <c r="W101" s="5"/>
      <c r="X101" s="5"/>
      <c r="Y101" s="5"/>
      <c r="Z101" s="351" t="s">
        <v>155</v>
      </c>
      <c r="AA101" s="352"/>
      <c r="AB101" s="352"/>
      <c r="AC101" s="352"/>
      <c r="AD101" s="352"/>
      <c r="AE101" s="352"/>
      <c r="AF101" s="245">
        <f>Données!E33</f>
        <v>18</v>
      </c>
      <c r="AG101" s="245">
        <f>Données!F33</f>
        <v>25</v>
      </c>
      <c r="AH101" s="245">
        <f>$AH$95-AF101</f>
        <v>4</v>
      </c>
      <c r="AI101" s="245">
        <f>$AH$95-AG100</f>
        <v>-2</v>
      </c>
      <c r="AJ101" s="5"/>
      <c r="AK101" s="5"/>
      <c r="AL101" s="5"/>
      <c r="AM101" s="5"/>
      <c r="AN101" s="5"/>
      <c r="AO101" s="5"/>
      <c r="AP101" s="5"/>
      <c r="AQ101" s="5"/>
      <c r="AR101" s="5"/>
      <c r="AS101" s="5"/>
      <c r="AT101" s="5"/>
      <c r="AX101" s="5"/>
      <c r="AY101" s="997" t="s">
        <v>266</v>
      </c>
      <c r="AZ101" s="997"/>
      <c r="BA101" s="997"/>
      <c r="BB101" s="997"/>
      <c r="BC101" s="997"/>
      <c r="BD101" s="997"/>
      <c r="BE101" s="101" t="s">
        <v>267</v>
      </c>
      <c r="BF101" s="101" t="s">
        <v>262</v>
      </c>
      <c r="BG101" s="227">
        <f>BG97-BG98</f>
        <v>6</v>
      </c>
      <c r="BH101" s="288"/>
      <c r="BI101" s="250"/>
    </row>
    <row r="102" spans="1:61">
      <c r="A102" s="5"/>
      <c r="B102" s="993"/>
      <c r="C102" s="993"/>
      <c r="D102" s="993"/>
      <c r="E102" s="993"/>
      <c r="F102" s="993"/>
      <c r="G102" s="993"/>
      <c r="H102" s="993"/>
      <c r="I102" s="993"/>
      <c r="J102" s="993"/>
      <c r="K102" s="243"/>
      <c r="L102" s="251" t="s">
        <v>263</v>
      </c>
      <c r="M102" s="5"/>
      <c r="N102" s="5"/>
      <c r="O102" s="5"/>
      <c r="P102" s="5"/>
      <c r="Q102" s="5"/>
      <c r="R102" s="5"/>
      <c r="S102" s="5"/>
      <c r="T102" s="5"/>
      <c r="U102" s="5"/>
      <c r="V102" s="5"/>
      <c r="W102" s="5"/>
      <c r="X102" s="5"/>
      <c r="Y102" s="5"/>
      <c r="Z102" s="352" t="s">
        <v>275</v>
      </c>
      <c r="AA102" s="353"/>
      <c r="AB102" s="353"/>
      <c r="AC102" s="353"/>
      <c r="AD102" s="353"/>
      <c r="AE102" s="353"/>
      <c r="AF102" s="247">
        <f>Données!E31</f>
        <v>20</v>
      </c>
      <c r="AG102" s="247">
        <f>Données!F31</f>
        <v>20</v>
      </c>
      <c r="AH102" s="247">
        <f>$AH$95-AF102</f>
        <v>2</v>
      </c>
      <c r="AI102" s="245">
        <f>$AH$95-AG101</f>
        <v>-3</v>
      </c>
      <c r="AJ102" s="5"/>
      <c r="AK102" s="5"/>
      <c r="AL102" s="5"/>
      <c r="AM102" s="5"/>
      <c r="AN102" s="5"/>
      <c r="AO102" s="5"/>
      <c r="AP102" s="5"/>
      <c r="AQ102" s="5"/>
      <c r="AR102" s="5"/>
      <c r="AS102" s="5"/>
      <c r="AT102" s="5"/>
      <c r="AX102" s="5"/>
      <c r="AY102" s="988" t="s">
        <v>268</v>
      </c>
      <c r="AZ102" s="988"/>
      <c r="BA102" s="988"/>
      <c r="BB102" s="988"/>
      <c r="BC102" s="988"/>
      <c r="BD102" s="988"/>
      <c r="BE102" s="988"/>
      <c r="BF102" s="988"/>
      <c r="BG102" s="988"/>
      <c r="BH102" s="234" t="e">
        <f>BG101*#REF!</f>
        <v>#REF!</v>
      </c>
      <c r="BI102" s="250"/>
    </row>
    <row r="103" spans="1:61" ht="18" customHeight="1">
      <c r="A103" s="5"/>
      <c r="B103" s="987"/>
      <c r="C103" s="987"/>
      <c r="D103" s="987"/>
      <c r="E103" s="987"/>
      <c r="F103" s="987"/>
      <c r="G103" s="987"/>
      <c r="H103" s="987"/>
      <c r="I103" s="987"/>
      <c r="J103" s="987"/>
      <c r="K103" s="271">
        <f>K97</f>
        <v>582.27359499023362</v>
      </c>
      <c r="L103" s="253" t="s">
        <v>263</v>
      </c>
      <c r="M103" s="5"/>
      <c r="N103" s="5"/>
      <c r="O103" s="5"/>
      <c r="P103" s="5"/>
      <c r="Q103" s="5"/>
      <c r="R103" s="5"/>
      <c r="S103" s="5"/>
      <c r="T103" s="5"/>
      <c r="U103" s="5"/>
      <c r="V103" s="5"/>
      <c r="W103" s="5"/>
      <c r="X103" s="5"/>
      <c r="Y103" s="5"/>
      <c r="Z103" s="353" t="s">
        <v>199</v>
      </c>
      <c r="AA103" s="354"/>
      <c r="AB103" s="354"/>
      <c r="AC103" s="354"/>
      <c r="AD103" s="354"/>
      <c r="AE103" s="354"/>
      <c r="AF103" s="354"/>
      <c r="AG103" s="354"/>
      <c r="AH103" s="354"/>
      <c r="AI103" s="247">
        <f>$AH$95-AG102</f>
        <v>2</v>
      </c>
      <c r="AJ103" s="5"/>
      <c r="AK103" s="5"/>
      <c r="AL103" s="5"/>
      <c r="AM103" s="5"/>
      <c r="AN103" s="5"/>
      <c r="AO103" s="5"/>
      <c r="AP103" s="5"/>
      <c r="AQ103" s="5"/>
      <c r="AR103" s="5"/>
      <c r="AS103" s="5"/>
      <c r="AT103" s="5"/>
      <c r="AX103" s="5"/>
      <c r="AY103" s="989" t="s">
        <v>269</v>
      </c>
      <c r="AZ103" s="989"/>
      <c r="BA103" s="989"/>
      <c r="BB103" s="989"/>
      <c r="BC103" s="989"/>
      <c r="BD103" s="989"/>
      <c r="BE103" s="989"/>
      <c r="BF103" s="989"/>
      <c r="BG103" s="989"/>
      <c r="BH103" s="989"/>
      <c r="BI103" s="250"/>
    </row>
    <row r="104" spans="1:61" ht="18" customHeight="1">
      <c r="A104" s="5"/>
      <c r="B104" s="5"/>
      <c r="C104" s="5"/>
      <c r="D104" s="5"/>
      <c r="E104" s="5"/>
      <c r="F104" s="5"/>
      <c r="G104" s="5"/>
      <c r="H104" s="5"/>
      <c r="I104" s="5"/>
      <c r="J104" s="5"/>
      <c r="K104" s="5"/>
      <c r="L104" s="250"/>
      <c r="M104" s="5"/>
      <c r="N104" s="5"/>
      <c r="O104" s="5"/>
      <c r="P104" s="5"/>
      <c r="Q104" s="5"/>
      <c r="R104" s="5"/>
      <c r="S104" s="5"/>
      <c r="T104" s="5"/>
      <c r="U104" s="5"/>
      <c r="V104" s="5"/>
      <c r="W104" s="5"/>
      <c r="X104" s="5"/>
      <c r="Y104" s="5"/>
      <c r="Z104" s="354" t="s">
        <v>278</v>
      </c>
      <c r="AA104" s="345"/>
      <c r="AB104" s="345"/>
      <c r="AC104" s="345"/>
      <c r="AD104" s="345"/>
      <c r="AE104" s="345"/>
      <c r="AF104" s="345"/>
      <c r="AG104" s="345"/>
      <c r="AH104" s="345"/>
      <c r="AI104" s="82"/>
      <c r="AJ104" s="5"/>
      <c r="AK104" s="5"/>
      <c r="AL104" s="5"/>
      <c r="AM104" s="5"/>
      <c r="AN104" s="5"/>
      <c r="AO104" s="5"/>
      <c r="AP104" s="5"/>
      <c r="AQ104" s="5"/>
      <c r="AR104" s="5"/>
      <c r="AS104" s="5"/>
      <c r="AT104" s="5"/>
      <c r="AX104" s="5"/>
      <c r="AY104" s="990" t="s">
        <v>270</v>
      </c>
      <c r="AZ104" s="991"/>
      <c r="BA104" s="991"/>
      <c r="BB104" s="991"/>
      <c r="BC104" s="991"/>
      <c r="BD104" s="992"/>
      <c r="BE104" s="241" t="s">
        <v>271</v>
      </c>
      <c r="BF104" s="241" t="s">
        <v>272</v>
      </c>
      <c r="BG104" s="242" t="s">
        <v>273</v>
      </c>
      <c r="BH104" s="235" t="s">
        <v>274</v>
      </c>
      <c r="BI104" s="250"/>
    </row>
    <row r="105" spans="1:61" ht="19.5" thickBot="1">
      <c r="A105" s="5"/>
      <c r="B105" s="5"/>
      <c r="C105" s="5"/>
      <c r="D105" s="5"/>
      <c r="E105" s="5"/>
      <c r="F105" s="5"/>
      <c r="G105" s="5"/>
      <c r="H105" s="5"/>
      <c r="I105" s="5"/>
      <c r="J105" s="5"/>
      <c r="K105" s="159"/>
      <c r="L105" s="250"/>
      <c r="M105" s="5"/>
      <c r="N105" s="5"/>
      <c r="O105" s="5"/>
      <c r="P105" s="5"/>
      <c r="Q105" s="5"/>
      <c r="R105" s="5"/>
      <c r="S105" s="5"/>
      <c r="T105" s="5"/>
      <c r="U105" s="5"/>
      <c r="V105" s="5"/>
      <c r="W105" s="5"/>
      <c r="X105" s="5"/>
      <c r="Y105" s="5"/>
      <c r="Z105" s="345" t="s">
        <v>279</v>
      </c>
      <c r="AA105" s="5"/>
      <c r="AB105" s="5"/>
      <c r="AC105" s="5"/>
      <c r="AD105" s="5"/>
      <c r="AE105" s="5"/>
      <c r="AF105" s="5"/>
      <c r="AG105" s="5"/>
      <c r="AH105" s="5"/>
      <c r="AI105" s="271">
        <f>AI98</f>
        <v>607.00326551320916</v>
      </c>
      <c r="AJ105" s="14" t="s">
        <v>263</v>
      </c>
      <c r="AK105" s="5"/>
      <c r="AL105" s="5"/>
      <c r="AM105" s="5"/>
      <c r="AN105" s="5"/>
      <c r="AO105" s="5"/>
      <c r="AP105" s="5"/>
      <c r="AQ105" s="5"/>
      <c r="AR105" s="5"/>
      <c r="AS105" s="5"/>
      <c r="AT105" s="5"/>
      <c r="AX105" s="5"/>
      <c r="AY105" s="844" t="s">
        <v>294</v>
      </c>
      <c r="AZ105" s="845"/>
      <c r="BA105" s="845"/>
      <c r="BB105" s="845"/>
      <c r="BC105" s="845"/>
      <c r="BD105" s="846"/>
      <c r="BE105" s="246" t="s">
        <v>174</v>
      </c>
      <c r="BF105" s="246">
        <v>20</v>
      </c>
      <c r="BG105" s="245" t="s">
        <v>174</v>
      </c>
      <c r="BH105" s="245">
        <f>BG97-BF105</f>
        <v>12</v>
      </c>
      <c r="BI105" s="250"/>
    </row>
    <row r="106" spans="1:61" ht="18" customHeight="1" thickBot="1">
      <c r="A106" s="153" t="s">
        <v>238</v>
      </c>
      <c r="B106" s="1001" t="s">
        <v>219</v>
      </c>
      <c r="C106" s="1001"/>
      <c r="D106" s="1001"/>
      <c r="E106" s="1001"/>
      <c r="F106" s="1001"/>
      <c r="G106" s="1001"/>
      <c r="H106" s="1001"/>
      <c r="I106" s="1001"/>
      <c r="J106" s="1001"/>
      <c r="K106" s="101"/>
      <c r="L106" s="250"/>
      <c r="M106" s="5"/>
      <c r="N106" s="5"/>
      <c r="O106" s="5"/>
      <c r="P106" s="5"/>
      <c r="Q106" s="5"/>
      <c r="R106" s="5"/>
      <c r="S106" s="5"/>
      <c r="T106" s="5"/>
      <c r="U106" s="5"/>
      <c r="V106" s="5"/>
      <c r="W106" s="5"/>
      <c r="X106" s="5"/>
      <c r="Y106" s="5"/>
      <c r="Z106" s="5"/>
      <c r="AA106" s="5"/>
      <c r="AB106" s="5"/>
      <c r="AC106" s="5"/>
      <c r="AD106" s="5"/>
      <c r="AE106" s="5"/>
      <c r="AF106" s="5"/>
      <c r="AG106" s="5"/>
      <c r="AH106" s="5"/>
      <c r="AI106" s="5"/>
      <c r="AJ106" s="5"/>
      <c r="AK106" s="5"/>
      <c r="AL106" s="5"/>
      <c r="AM106" s="5"/>
      <c r="AN106" s="5"/>
      <c r="AO106" s="5"/>
      <c r="AP106" s="5"/>
      <c r="AQ106" s="5"/>
      <c r="AR106" s="5"/>
      <c r="AS106" s="5"/>
      <c r="AT106" s="5"/>
      <c r="AX106" s="5"/>
      <c r="AY106" s="818" t="s">
        <v>345</v>
      </c>
      <c r="AZ106" s="818"/>
      <c r="BA106" s="818"/>
      <c r="BB106" s="818"/>
      <c r="BC106" s="818"/>
      <c r="BD106" s="818"/>
      <c r="BE106" s="245" t="s">
        <v>174</v>
      </c>
      <c r="BF106" s="245">
        <v>25</v>
      </c>
      <c r="BG106" s="245" t="s">
        <v>174</v>
      </c>
      <c r="BH106" s="245">
        <f>BG97-BF106</f>
        <v>7</v>
      </c>
      <c r="BI106" s="250"/>
    </row>
    <row r="107" spans="1:61" ht="18" customHeight="1">
      <c r="A107" s="5"/>
      <c r="B107" s="994" t="s">
        <v>220</v>
      </c>
      <c r="C107" s="994" t="s">
        <v>221</v>
      </c>
      <c r="D107" s="994"/>
      <c r="E107" s="994"/>
      <c r="F107" s="994"/>
      <c r="G107" s="108" t="s">
        <v>222</v>
      </c>
      <c r="H107" s="108" t="s">
        <v>223</v>
      </c>
      <c r="I107" s="108" t="s">
        <v>224</v>
      </c>
      <c r="J107" s="91" t="s">
        <v>225</v>
      </c>
      <c r="K107" s="489"/>
      <c r="L107" s="250"/>
      <c r="M107" s="5"/>
      <c r="N107" s="5"/>
      <c r="O107" s="5"/>
      <c r="P107" s="5"/>
      <c r="Q107" s="5"/>
      <c r="R107" s="5"/>
      <c r="S107" s="5"/>
      <c r="T107" s="5"/>
      <c r="U107" s="5"/>
      <c r="V107" s="5"/>
      <c r="W107" s="5"/>
      <c r="X107" s="5"/>
      <c r="Y107" s="5"/>
      <c r="Z107" s="5"/>
      <c r="AA107" s="5"/>
      <c r="AB107" s="5"/>
      <c r="AC107" s="5"/>
      <c r="AD107" s="5"/>
      <c r="AE107" s="5"/>
      <c r="AF107" s="5"/>
      <c r="AG107" s="5"/>
      <c r="AH107" s="5"/>
      <c r="AI107" s="5"/>
      <c r="AJ107" s="5"/>
      <c r="AK107" s="5"/>
      <c r="AL107" s="5"/>
      <c r="AM107" s="5"/>
      <c r="AN107" s="5"/>
      <c r="AO107" s="5"/>
      <c r="AP107" s="5"/>
      <c r="AQ107" s="5"/>
      <c r="AR107" s="5"/>
      <c r="AS107" s="5"/>
      <c r="AT107" s="5"/>
      <c r="AX107" s="5"/>
      <c r="AY107" s="971" t="s">
        <v>378</v>
      </c>
      <c r="AZ107" s="971"/>
      <c r="BA107" s="971"/>
      <c r="BB107" s="971"/>
      <c r="BC107" s="971"/>
      <c r="BD107" s="971"/>
      <c r="BE107" s="245" t="s">
        <v>174</v>
      </c>
      <c r="BF107" s="245">
        <v>24</v>
      </c>
      <c r="BG107" s="245" t="s">
        <v>174</v>
      </c>
      <c r="BH107" s="245">
        <f>BG97-BF107</f>
        <v>8</v>
      </c>
      <c r="BI107" s="250"/>
    </row>
    <row r="108" spans="1:61" ht="18" customHeight="1">
      <c r="A108" s="5"/>
      <c r="B108" s="994"/>
      <c r="C108" s="994"/>
      <c r="D108" s="994"/>
      <c r="E108" s="994"/>
      <c r="F108" s="994"/>
      <c r="G108" s="2" t="s">
        <v>226</v>
      </c>
      <c r="H108" s="89" t="s">
        <v>227</v>
      </c>
      <c r="I108" s="89" t="s">
        <v>228</v>
      </c>
      <c r="J108" s="92" t="s">
        <v>229</v>
      </c>
      <c r="K108" s="489"/>
      <c r="L108" s="250"/>
      <c r="M108" s="5"/>
      <c r="N108" s="5"/>
      <c r="O108" s="5"/>
      <c r="P108" s="5"/>
      <c r="Q108" s="5"/>
      <c r="R108" s="5"/>
      <c r="S108" s="5"/>
      <c r="T108" s="5"/>
      <c r="U108" s="5"/>
      <c r="V108" s="5"/>
      <c r="W108" s="5"/>
      <c r="X108" s="5"/>
      <c r="Y108" s="5"/>
      <c r="Z108" s="5"/>
      <c r="AA108" s="5"/>
      <c r="AB108" s="5"/>
      <c r="AC108" s="5"/>
      <c r="AD108" s="5"/>
      <c r="AE108" s="5"/>
      <c r="AF108" s="5"/>
      <c r="AG108" s="5"/>
      <c r="AH108" s="5"/>
      <c r="AI108" s="5"/>
      <c r="AJ108" s="5"/>
      <c r="AK108" s="5"/>
      <c r="AL108" s="5"/>
      <c r="AM108" s="5"/>
      <c r="AN108" s="5"/>
      <c r="AO108" s="5"/>
      <c r="AP108" s="5"/>
      <c r="AQ108" s="5"/>
      <c r="AR108" s="5"/>
      <c r="AS108" s="5"/>
      <c r="AT108" s="5"/>
      <c r="AX108" s="5"/>
      <c r="AY108" s="972"/>
      <c r="AZ108" s="973"/>
      <c r="BA108" s="973"/>
      <c r="BB108" s="973"/>
      <c r="BC108" s="973"/>
      <c r="BD108" s="974"/>
      <c r="BE108" s="247" t="s">
        <v>174</v>
      </c>
      <c r="BF108" s="247">
        <v>0</v>
      </c>
      <c r="BG108" s="245" t="s">
        <v>174</v>
      </c>
      <c r="BH108" s="245">
        <f>BG97-BF108</f>
        <v>32</v>
      </c>
      <c r="BI108" s="251" t="s">
        <v>263</v>
      </c>
    </row>
    <row r="109" spans="1:61" ht="18" customHeight="1">
      <c r="A109" s="5"/>
      <c r="B109" s="2"/>
      <c r="C109" s="818"/>
      <c r="D109" s="818"/>
      <c r="E109" s="818"/>
      <c r="F109" s="818"/>
      <c r="G109" s="1"/>
      <c r="H109" s="1"/>
      <c r="I109" s="1"/>
      <c r="J109" s="230"/>
      <c r="K109" s="489"/>
      <c r="L109" s="250"/>
      <c r="M109" s="5"/>
      <c r="N109" s="5"/>
      <c r="O109" s="5"/>
      <c r="P109" s="5"/>
      <c r="Q109" s="5"/>
      <c r="R109" s="5"/>
      <c r="S109" s="5"/>
      <c r="T109" s="5"/>
      <c r="U109" s="5"/>
      <c r="V109" s="5"/>
      <c r="W109" s="5"/>
      <c r="X109" s="5"/>
      <c r="Y109" s="5"/>
      <c r="Z109" s="5"/>
      <c r="AA109" s="5"/>
      <c r="AB109" s="5"/>
      <c r="AC109" s="5"/>
      <c r="AD109" s="5"/>
      <c r="AE109" s="5"/>
      <c r="AF109" s="5"/>
      <c r="AG109" s="5"/>
      <c r="AH109" s="5"/>
      <c r="AI109" s="5"/>
      <c r="AJ109" s="5"/>
      <c r="AK109" s="5"/>
      <c r="AL109" s="5"/>
      <c r="AM109" s="5"/>
      <c r="AN109" s="5"/>
      <c r="AO109" s="5"/>
      <c r="AP109" s="5"/>
      <c r="AQ109" s="5"/>
      <c r="AR109" s="5"/>
      <c r="AS109" s="5"/>
      <c r="AT109" s="5"/>
      <c r="AX109" s="5"/>
      <c r="AY109" s="997"/>
      <c r="AZ109" s="997"/>
      <c r="BA109" s="997"/>
      <c r="BB109" s="997"/>
      <c r="BC109" s="997"/>
      <c r="BD109" s="997"/>
      <c r="BE109" s="247" t="s">
        <v>174</v>
      </c>
      <c r="BF109" s="247">
        <v>0</v>
      </c>
      <c r="BG109" s="245" t="s">
        <v>174</v>
      </c>
      <c r="BH109" s="245">
        <f>BG97-BF109</f>
        <v>32</v>
      </c>
      <c r="BI109" s="253" t="s">
        <v>263</v>
      </c>
    </row>
    <row r="110" spans="1:61" ht="18" customHeight="1">
      <c r="A110" s="5"/>
      <c r="B110" s="2"/>
      <c r="C110" s="818" t="s">
        <v>384</v>
      </c>
      <c r="D110" s="818"/>
      <c r="E110" s="818"/>
      <c r="F110" s="818"/>
      <c r="G110" s="1">
        <f>2*SUM(Parois!AB21:AC21)</f>
        <v>10.8</v>
      </c>
      <c r="H110" s="1">
        <f>Parois!AG24</f>
        <v>1.3480910418602208</v>
      </c>
      <c r="I110" s="1">
        <v>1</v>
      </c>
      <c r="J110" s="230">
        <f>G110*H110*I110</f>
        <v>14.559383252090385</v>
      </c>
      <c r="K110" s="489"/>
      <c r="L110" s="250"/>
      <c r="M110" s="5"/>
      <c r="N110" s="5"/>
      <c r="O110" s="5"/>
      <c r="P110" s="5"/>
      <c r="Q110" s="5"/>
      <c r="R110" s="5"/>
      <c r="S110" s="5"/>
      <c r="T110" s="5"/>
      <c r="U110" s="5"/>
      <c r="V110" s="5"/>
      <c r="W110" s="5"/>
      <c r="X110" s="5"/>
      <c r="Y110" s="5"/>
      <c r="Z110" s="5"/>
      <c r="AA110" s="5"/>
      <c r="AB110" s="5"/>
      <c r="AC110" s="5"/>
      <c r="AD110" s="5"/>
      <c r="AE110" s="5"/>
      <c r="AF110" s="5"/>
      <c r="AG110" s="5"/>
      <c r="AH110" s="5"/>
      <c r="AI110" s="5"/>
      <c r="AJ110" s="5"/>
      <c r="AK110" s="5"/>
      <c r="AL110" s="5"/>
      <c r="AM110" s="5"/>
      <c r="AN110" s="5"/>
      <c r="AO110" s="5"/>
      <c r="AP110" s="5"/>
      <c r="AQ110" s="5"/>
      <c r="AR110" s="5"/>
      <c r="AS110" s="5"/>
      <c r="AT110" s="5"/>
      <c r="AX110" s="5"/>
      <c r="AY110" s="993" t="s">
        <v>278</v>
      </c>
      <c r="AZ110" s="993"/>
      <c r="BA110" s="993"/>
      <c r="BB110" s="993"/>
      <c r="BC110" s="993"/>
      <c r="BD110" s="993"/>
      <c r="BE110" s="993"/>
      <c r="BF110" s="993"/>
      <c r="BG110" s="993"/>
      <c r="BH110" s="249"/>
      <c r="BI110" s="5"/>
    </row>
    <row r="111" spans="1:61" ht="18" customHeight="1">
      <c r="A111" s="5"/>
      <c r="B111" s="2"/>
      <c r="C111" s="818" t="s">
        <v>413</v>
      </c>
      <c r="D111" s="818"/>
      <c r="E111" s="818"/>
      <c r="F111" s="818"/>
      <c r="G111" s="1">
        <f>2*SUM(Parois!AB24:AC24)</f>
        <v>10.728</v>
      </c>
      <c r="H111" s="1">
        <f>Parois!AG24</f>
        <v>1.3480910418602208</v>
      </c>
      <c r="I111" s="1">
        <v>1</v>
      </c>
      <c r="J111" s="230">
        <f>G111*H111*I111</f>
        <v>14.462320697076448</v>
      </c>
      <c r="K111" s="489"/>
      <c r="L111" s="250"/>
      <c r="M111" s="5"/>
      <c r="N111" s="5"/>
      <c r="O111" s="5"/>
      <c r="P111" s="5"/>
      <c r="Q111" s="5"/>
      <c r="R111" s="5"/>
      <c r="S111" s="5"/>
      <c r="T111" s="5"/>
      <c r="U111" s="5"/>
      <c r="V111" s="5"/>
      <c r="W111" s="5"/>
      <c r="X111" s="5"/>
      <c r="Y111" s="5"/>
      <c r="Z111" s="5"/>
      <c r="AA111" s="5"/>
      <c r="AB111" s="5"/>
      <c r="AC111" s="5"/>
      <c r="AD111" s="5"/>
      <c r="AE111" s="5"/>
      <c r="AF111" s="5"/>
      <c r="AG111" s="5"/>
      <c r="AH111" s="5"/>
      <c r="AI111" s="5"/>
      <c r="AJ111" s="14" t="s">
        <v>263</v>
      </c>
      <c r="AK111" s="5"/>
      <c r="AL111" s="5"/>
      <c r="AM111" s="5"/>
      <c r="AN111" s="5"/>
      <c r="AO111" s="5"/>
      <c r="AP111" s="5"/>
      <c r="AQ111" s="5"/>
      <c r="AR111" s="5"/>
      <c r="AS111" s="5"/>
      <c r="AT111" s="5"/>
      <c r="AY111" s="987" t="s">
        <v>279</v>
      </c>
      <c r="AZ111" s="987"/>
      <c r="BA111" s="987"/>
      <c r="BB111" s="987"/>
      <c r="BC111" s="987"/>
      <c r="BD111" s="987"/>
      <c r="BE111" s="987"/>
      <c r="BF111" s="987"/>
      <c r="BG111" s="987"/>
      <c r="BH111" s="271">
        <f>BH95*BG101</f>
        <v>191.23986183168793</v>
      </c>
    </row>
    <row r="112" spans="1:61">
      <c r="A112" s="5"/>
      <c r="B112" s="2" t="s">
        <v>387</v>
      </c>
      <c r="C112" s="818" t="s">
        <v>381</v>
      </c>
      <c r="D112" s="818"/>
      <c r="E112" s="818"/>
      <c r="F112" s="818"/>
      <c r="G112" s="1">
        <f>(1.16+0.435)*3.945</f>
        <v>6.2922750000000001</v>
      </c>
      <c r="H112" s="1">
        <f>Parois!L21</f>
        <v>3.4668654833252091</v>
      </c>
      <c r="I112" s="1">
        <v>1</v>
      </c>
      <c r="J112" s="230">
        <f>G112*H112*I112</f>
        <v>21.814471009090131</v>
      </c>
      <c r="K112" s="489"/>
      <c r="L112" s="250"/>
      <c r="M112" s="5"/>
      <c r="N112" s="5"/>
      <c r="O112" s="5"/>
      <c r="P112" s="5"/>
      <c r="Q112" s="5"/>
      <c r="R112" s="5"/>
      <c r="S112" s="5"/>
      <c r="T112" s="5"/>
      <c r="U112" s="5"/>
      <c r="V112" s="5"/>
      <c r="W112" s="5"/>
      <c r="X112" s="5"/>
      <c r="Y112" s="5"/>
      <c r="Z112" s="5"/>
      <c r="AA112" s="5"/>
      <c r="AB112" s="5"/>
      <c r="AC112" s="5"/>
      <c r="AD112" s="5"/>
      <c r="AE112" s="5"/>
      <c r="AF112" s="5"/>
      <c r="AG112" s="5"/>
      <c r="AH112" s="5"/>
      <c r="AI112" s="5"/>
      <c r="AJ112" s="253" t="s">
        <v>263</v>
      </c>
      <c r="AK112" s="5"/>
      <c r="AL112" s="5"/>
      <c r="AM112" s="5"/>
      <c r="AN112" s="5"/>
      <c r="AO112" s="5"/>
      <c r="AP112" s="5"/>
      <c r="AQ112" s="5"/>
      <c r="AR112" s="5"/>
      <c r="AS112" s="5"/>
      <c r="AT112" s="5"/>
    </row>
    <row r="113" spans="1:46">
      <c r="A113" s="5"/>
      <c r="B113" s="1005"/>
      <c r="C113" s="1005"/>
      <c r="D113" s="1005"/>
      <c r="E113" s="1005"/>
      <c r="F113" s="1005"/>
      <c r="G113" s="1005"/>
      <c r="H113" s="1005"/>
      <c r="I113" s="1005"/>
      <c r="J113" s="105">
        <f>J111+J112</f>
        <v>36.276791706166577</v>
      </c>
      <c r="K113" s="489"/>
      <c r="L113" s="250"/>
      <c r="M113" s="5"/>
      <c r="N113" s="5"/>
      <c r="O113" s="5"/>
      <c r="P113" s="5"/>
      <c r="Q113" s="5"/>
      <c r="R113" s="5"/>
      <c r="S113" s="5"/>
      <c r="T113" s="5"/>
      <c r="U113" s="5"/>
      <c r="V113" s="5"/>
      <c r="W113" s="5"/>
      <c r="X113" s="5"/>
      <c r="Y113" s="5"/>
      <c r="Z113" s="5"/>
      <c r="AA113" s="5"/>
      <c r="AB113" s="5"/>
      <c r="AC113" s="5"/>
      <c r="AD113" s="5"/>
      <c r="AE113" s="5"/>
      <c r="AF113" s="5"/>
      <c r="AG113" s="5"/>
      <c r="AH113" s="5"/>
      <c r="AI113" s="5"/>
      <c r="AJ113" s="5"/>
      <c r="AK113" s="5"/>
      <c r="AL113" s="5"/>
      <c r="AM113" s="5"/>
      <c r="AN113" s="5"/>
      <c r="AO113" s="5"/>
      <c r="AP113" s="5"/>
      <c r="AQ113" s="5"/>
      <c r="AR113" s="5"/>
      <c r="AS113" s="5"/>
      <c r="AT113" s="5"/>
    </row>
    <row r="114" spans="1:46" ht="18">
      <c r="A114" s="5"/>
      <c r="B114" s="1008" t="s">
        <v>220</v>
      </c>
      <c r="C114" s="1009" t="s">
        <v>302</v>
      </c>
      <c r="D114" s="1009"/>
      <c r="E114" s="1009"/>
      <c r="F114" s="1009"/>
      <c r="G114" s="114" t="s">
        <v>303</v>
      </c>
      <c r="H114" s="114" t="s">
        <v>304</v>
      </c>
      <c r="I114" s="114" t="s">
        <v>224</v>
      </c>
      <c r="J114" s="90" t="s">
        <v>414</v>
      </c>
      <c r="K114" s="489"/>
      <c r="L114" s="250"/>
      <c r="M114" s="5"/>
      <c r="N114" s="5"/>
      <c r="O114" s="5"/>
      <c r="P114" s="5"/>
      <c r="Q114" s="5"/>
      <c r="R114" s="5"/>
      <c r="S114" s="5"/>
      <c r="T114" s="5"/>
      <c r="U114" s="5"/>
      <c r="V114" s="5"/>
      <c r="W114" s="5"/>
      <c r="X114" s="5"/>
      <c r="Y114" s="5"/>
      <c r="Z114" s="5"/>
      <c r="AA114" s="5"/>
      <c r="AB114" s="5"/>
      <c r="AC114" s="5"/>
      <c r="AD114" s="5"/>
      <c r="AE114" s="5"/>
      <c r="AF114" s="5"/>
      <c r="AG114" s="5"/>
      <c r="AH114" s="5"/>
      <c r="AI114" s="5"/>
      <c r="AJ114" s="5"/>
      <c r="AK114" s="5"/>
      <c r="AL114" s="5"/>
      <c r="AM114" s="5"/>
      <c r="AN114" s="5"/>
      <c r="AO114" s="5"/>
      <c r="AP114" s="5"/>
      <c r="AQ114" s="5"/>
      <c r="AR114" s="5"/>
      <c r="AS114" s="5"/>
      <c r="AT114" s="5"/>
    </row>
    <row r="115" spans="1:46" ht="18" customHeight="1">
      <c r="A115" s="5"/>
      <c r="B115" s="1008"/>
      <c r="C115" s="1009"/>
      <c r="D115" s="1009"/>
      <c r="E115" s="1009"/>
      <c r="F115" s="1009"/>
      <c r="G115" s="57" t="s">
        <v>307</v>
      </c>
      <c r="H115" s="57" t="s">
        <v>308</v>
      </c>
      <c r="I115" s="57" t="s">
        <v>228</v>
      </c>
      <c r="J115" s="58" t="s">
        <v>229</v>
      </c>
      <c r="K115" s="489"/>
      <c r="L115" s="250"/>
      <c r="M115" s="5"/>
      <c r="N115" s="5"/>
      <c r="O115" s="5"/>
      <c r="P115" s="5"/>
      <c r="Q115" s="5"/>
      <c r="R115" s="5"/>
      <c r="S115" s="5"/>
      <c r="T115" s="5"/>
      <c r="U115" s="5"/>
      <c r="V115" s="5"/>
      <c r="W115" s="5"/>
      <c r="X115" s="5"/>
      <c r="Y115" s="5"/>
      <c r="Z115" s="5"/>
      <c r="AA115" s="5"/>
      <c r="AB115" s="5"/>
      <c r="AC115" s="5"/>
      <c r="AD115" s="5"/>
      <c r="AE115" s="5"/>
      <c r="AF115" s="5"/>
      <c r="AG115" s="5"/>
      <c r="AH115" s="5"/>
      <c r="AI115" s="5"/>
      <c r="AJ115" s="5"/>
      <c r="AK115" s="5"/>
      <c r="AL115" s="5"/>
      <c r="AM115" s="5"/>
      <c r="AN115" s="5"/>
      <c r="AO115" s="5"/>
      <c r="AP115" s="5"/>
      <c r="AQ115" s="5"/>
      <c r="AR115" s="5"/>
      <c r="AS115" s="5"/>
      <c r="AT115" s="5"/>
    </row>
    <row r="116" spans="1:46">
      <c r="A116" s="5"/>
      <c r="B116" s="57"/>
      <c r="C116" s="1159"/>
      <c r="D116" s="1159"/>
      <c r="E116" s="1159"/>
      <c r="F116" s="1159"/>
      <c r="G116" s="59"/>
      <c r="H116" s="59"/>
      <c r="I116" s="59"/>
      <c r="J116" s="94"/>
      <c r="K116" s="489"/>
      <c r="L116" s="250"/>
      <c r="M116" s="5"/>
      <c r="N116" s="5"/>
      <c r="O116" s="5"/>
      <c r="P116" s="5"/>
      <c r="Q116" s="5"/>
      <c r="R116" s="5"/>
      <c r="S116" s="5"/>
      <c r="T116" s="5"/>
      <c r="U116" s="5"/>
      <c r="V116" s="5"/>
      <c r="W116" s="5"/>
      <c r="X116" s="5"/>
      <c r="Y116" s="5"/>
      <c r="Z116" s="5"/>
      <c r="AA116" s="5"/>
      <c r="AB116" s="5"/>
      <c r="AC116" s="5"/>
      <c r="AD116" s="5"/>
      <c r="AE116" s="5"/>
      <c r="AF116" s="5"/>
      <c r="AG116" s="5"/>
      <c r="AH116" s="5"/>
      <c r="AI116" s="5"/>
      <c r="AJ116" s="5"/>
      <c r="AK116" s="5"/>
      <c r="AL116" s="5"/>
      <c r="AM116" s="5"/>
      <c r="AN116" s="5"/>
      <c r="AO116" s="5"/>
      <c r="AP116" s="5"/>
      <c r="AQ116" s="5"/>
      <c r="AR116" s="5"/>
      <c r="AS116" s="5"/>
      <c r="AT116" s="5"/>
    </row>
    <row r="117" spans="1:46">
      <c r="A117" s="5"/>
      <c r="B117" s="58"/>
      <c r="C117" s="807"/>
      <c r="D117" s="807"/>
      <c r="E117" s="807"/>
      <c r="F117" s="807"/>
      <c r="G117" s="119"/>
      <c r="H117" s="1"/>
      <c r="I117" s="495"/>
      <c r="J117" s="94"/>
      <c r="K117" s="489"/>
      <c r="L117" s="250"/>
      <c r="M117" s="5"/>
      <c r="N117" s="5"/>
      <c r="O117" s="5"/>
      <c r="P117" s="5"/>
      <c r="Q117" s="5"/>
      <c r="R117" s="5"/>
      <c r="S117" s="5"/>
      <c r="T117" s="5"/>
      <c r="U117" s="5"/>
      <c r="V117" s="5"/>
      <c r="W117" s="5"/>
      <c r="X117" s="5"/>
      <c r="Y117" s="5"/>
      <c r="Z117" s="5"/>
      <c r="AA117" s="5"/>
      <c r="AB117" s="5"/>
      <c r="AC117" s="5"/>
      <c r="AD117" s="5"/>
      <c r="AE117" s="5"/>
      <c r="AF117" s="5"/>
      <c r="AG117" s="5"/>
      <c r="AH117" s="5"/>
      <c r="AI117" s="5"/>
      <c r="AJ117" s="5"/>
      <c r="AK117" s="5"/>
      <c r="AL117" s="5"/>
      <c r="AM117" s="5"/>
      <c r="AN117" s="5"/>
      <c r="AO117" s="5"/>
      <c r="AP117" s="5"/>
      <c r="AQ117" s="5"/>
      <c r="AR117" s="5"/>
      <c r="AS117" s="5"/>
      <c r="AT117" s="5"/>
    </row>
    <row r="118" spans="1:46" ht="18.75">
      <c r="A118" s="5"/>
      <c r="B118" s="1029" t="s">
        <v>282</v>
      </c>
      <c r="C118" s="1029"/>
      <c r="D118" s="1029"/>
      <c r="E118" s="1029"/>
      <c r="F118" s="1029"/>
      <c r="G118" s="1029"/>
      <c r="H118" s="1029"/>
      <c r="I118" s="1029"/>
      <c r="J118" s="95">
        <f>J116+J117</f>
        <v>0</v>
      </c>
      <c r="K118" s="489"/>
      <c r="L118" s="250"/>
      <c r="M118" s="5"/>
      <c r="N118" s="5"/>
      <c r="O118" s="5"/>
      <c r="P118" s="5"/>
      <c r="Q118" s="5"/>
      <c r="R118" s="5"/>
      <c r="S118" s="5"/>
      <c r="T118" s="5"/>
      <c r="U118" s="5"/>
      <c r="V118" s="5"/>
      <c r="W118" s="5"/>
      <c r="X118" s="5"/>
      <c r="Y118" s="5"/>
      <c r="Z118" s="5"/>
      <c r="AA118" s="5"/>
      <c r="AB118" s="5"/>
      <c r="AC118" s="5"/>
      <c r="AD118" s="5"/>
      <c r="AE118" s="5"/>
      <c r="AF118" s="5"/>
      <c r="AG118" s="5"/>
      <c r="AH118" s="5"/>
      <c r="AI118" s="5"/>
      <c r="AJ118" s="5"/>
      <c r="AK118" s="5"/>
      <c r="AL118" s="5"/>
      <c r="AM118" s="5"/>
      <c r="AN118" s="5"/>
      <c r="AO118" s="5"/>
      <c r="AP118" s="5"/>
      <c r="AQ118" s="5"/>
      <c r="AR118" s="5"/>
      <c r="AS118" s="5"/>
      <c r="AT118" s="5"/>
    </row>
    <row r="119" spans="1:46" ht="18">
      <c r="A119" s="5"/>
      <c r="B119" s="995" t="s">
        <v>244</v>
      </c>
      <c r="C119" s="995"/>
      <c r="D119" s="995"/>
      <c r="E119" s="995"/>
      <c r="F119" s="995"/>
      <c r="G119" s="995"/>
      <c r="H119" s="1028" t="s">
        <v>245</v>
      </c>
      <c r="I119" s="1028"/>
      <c r="J119" s="1028"/>
      <c r="K119" s="82">
        <f>J113+J118</f>
        <v>36.276791706166577</v>
      </c>
      <c r="L119" s="250"/>
      <c r="M119" s="5"/>
      <c r="N119" s="5"/>
      <c r="O119" s="5"/>
      <c r="P119" s="5"/>
      <c r="Q119" s="5"/>
      <c r="R119" s="5"/>
      <c r="S119" s="5"/>
      <c r="T119" s="5"/>
      <c r="U119" s="5"/>
      <c r="V119" s="5"/>
      <c r="W119" s="5"/>
      <c r="X119" s="5"/>
      <c r="Y119" s="5"/>
      <c r="Z119" s="5"/>
      <c r="AA119" s="5"/>
      <c r="AB119" s="5"/>
      <c r="AC119" s="5"/>
      <c r="AD119" s="5"/>
      <c r="AE119" s="5"/>
      <c r="AF119" s="5"/>
      <c r="AG119" s="5"/>
      <c r="AH119" s="5"/>
      <c r="AI119" s="5"/>
      <c r="AJ119" s="5"/>
      <c r="AK119" s="5"/>
      <c r="AL119" s="5"/>
      <c r="AM119" s="5"/>
      <c r="AN119" s="5"/>
      <c r="AO119" s="5"/>
      <c r="AP119" s="5"/>
      <c r="AQ119" s="5"/>
      <c r="AR119" s="5"/>
      <c r="AS119" s="5"/>
      <c r="AT119" s="5"/>
    </row>
    <row r="120" spans="1:46">
      <c r="A120" s="5"/>
      <c r="B120" s="1001" t="s">
        <v>247</v>
      </c>
      <c r="C120" s="1001"/>
      <c r="D120" s="1001"/>
      <c r="E120" s="1001"/>
      <c r="F120" s="1001"/>
      <c r="G120" s="1001"/>
      <c r="H120" s="1001"/>
      <c r="I120" s="1001"/>
      <c r="J120" s="1001"/>
      <c r="K120" s="489"/>
      <c r="L120" s="250"/>
      <c r="M120" s="5"/>
      <c r="N120" s="5"/>
      <c r="O120" s="5"/>
      <c r="P120" s="5"/>
      <c r="Q120" s="5"/>
      <c r="R120" s="5"/>
      <c r="S120" s="5"/>
      <c r="T120" s="5"/>
      <c r="U120" s="5"/>
      <c r="V120" s="5"/>
      <c r="W120" s="5"/>
      <c r="X120" s="5"/>
      <c r="Y120" s="5"/>
      <c r="Z120" s="5"/>
      <c r="AA120" s="656" t="s">
        <v>230</v>
      </c>
      <c r="AB120" s="657"/>
      <c r="AC120" s="657"/>
      <c r="AD120" s="657"/>
      <c r="AE120" s="657"/>
      <c r="AF120" s="657"/>
      <c r="AG120" s="657"/>
      <c r="AH120" s="655"/>
      <c r="AI120" s="227"/>
      <c r="AJ120" s="287"/>
      <c r="AK120" s="250"/>
      <c r="AL120" s="5"/>
      <c r="AM120" s="5"/>
      <c r="AN120" s="5"/>
      <c r="AO120" s="5"/>
      <c r="AP120" s="5"/>
      <c r="AQ120" s="5"/>
      <c r="AR120" s="5"/>
      <c r="AS120" s="5"/>
      <c r="AT120" s="5"/>
    </row>
    <row r="121" spans="1:46" ht="18" customHeight="1">
      <c r="A121" s="5"/>
      <c r="B121" s="994" t="s">
        <v>220</v>
      </c>
      <c r="C121" s="994" t="s">
        <v>249</v>
      </c>
      <c r="D121" s="994"/>
      <c r="E121" s="994"/>
      <c r="F121" s="994"/>
      <c r="G121" s="108" t="s">
        <v>222</v>
      </c>
      <c r="H121" s="108" t="s">
        <v>223</v>
      </c>
      <c r="I121" s="313" t="s">
        <v>250</v>
      </c>
      <c r="J121" s="109" t="s">
        <v>251</v>
      </c>
      <c r="K121" s="489"/>
      <c r="L121" s="250"/>
      <c r="M121" s="5"/>
      <c r="N121" s="5"/>
      <c r="O121" s="5"/>
      <c r="P121" s="5"/>
      <c r="Q121" s="5"/>
      <c r="R121" s="5"/>
      <c r="S121" s="5"/>
      <c r="T121" s="5"/>
      <c r="U121" s="5"/>
      <c r="V121" s="5"/>
      <c r="W121" s="5"/>
      <c r="X121" s="5"/>
      <c r="Y121" s="5"/>
      <c r="Z121" s="5" t="s">
        <v>415</v>
      </c>
      <c r="AA121" s="604" t="s">
        <v>220</v>
      </c>
      <c r="AB121" s="633" t="s">
        <v>221</v>
      </c>
      <c r="AC121" s="640"/>
      <c r="AD121" s="640"/>
      <c r="AE121" s="640"/>
      <c r="AF121" s="654" t="s">
        <v>232</v>
      </c>
      <c r="AG121" s="654" t="s">
        <v>222</v>
      </c>
      <c r="AH121" s="196" t="s">
        <v>223</v>
      </c>
      <c r="AI121" s="231" t="s">
        <v>233</v>
      </c>
      <c r="AJ121" s="287"/>
      <c r="AK121" s="250"/>
      <c r="AL121" s="5"/>
      <c r="AM121" s="5"/>
      <c r="AN121" s="5"/>
      <c r="AO121" s="5"/>
      <c r="AP121" s="5"/>
      <c r="AQ121" s="5"/>
      <c r="AR121" s="5"/>
      <c r="AS121" s="5"/>
      <c r="AT121" s="5"/>
    </row>
    <row r="122" spans="1:46" ht="18" customHeight="1">
      <c r="A122" s="5"/>
      <c r="B122" s="994"/>
      <c r="C122" s="994"/>
      <c r="D122" s="994"/>
      <c r="E122" s="994"/>
      <c r="F122" s="994"/>
      <c r="G122" s="2" t="s">
        <v>226</v>
      </c>
      <c r="H122" s="89" t="s">
        <v>227</v>
      </c>
      <c r="I122" s="89" t="s">
        <v>228</v>
      </c>
      <c r="J122" s="92" t="s">
        <v>229</v>
      </c>
      <c r="K122" s="489"/>
      <c r="L122" s="250"/>
      <c r="M122" s="5"/>
      <c r="N122" s="5"/>
      <c r="O122" s="5"/>
      <c r="P122" s="5"/>
      <c r="Q122" s="5"/>
      <c r="R122" s="5"/>
      <c r="S122" s="5"/>
      <c r="T122" s="5"/>
      <c r="U122" s="5"/>
      <c r="V122" s="5"/>
      <c r="W122" s="5"/>
      <c r="X122" s="5"/>
      <c r="Y122" s="5"/>
      <c r="Z122" s="5"/>
      <c r="AA122" s="155"/>
      <c r="AB122" s="362"/>
      <c r="AC122" s="363"/>
      <c r="AD122" s="363"/>
      <c r="AE122" s="363"/>
      <c r="AF122" s="62" t="s">
        <v>228</v>
      </c>
      <c r="AG122" s="62" t="s">
        <v>226</v>
      </c>
      <c r="AH122" s="197" t="s">
        <v>227</v>
      </c>
      <c r="AI122" s="232" t="s">
        <v>229</v>
      </c>
      <c r="AJ122" s="287"/>
      <c r="AK122" s="250"/>
      <c r="AL122" s="5"/>
      <c r="AM122" s="5"/>
      <c r="AN122" s="5"/>
      <c r="AO122" s="5"/>
      <c r="AP122" s="5"/>
      <c r="AQ122" s="5"/>
      <c r="AR122" s="5"/>
      <c r="AS122" s="5"/>
      <c r="AT122" s="5"/>
    </row>
    <row r="123" spans="1:46">
      <c r="A123" s="5"/>
      <c r="B123" s="1"/>
      <c r="C123" s="862"/>
      <c r="D123" s="862"/>
      <c r="E123" s="862"/>
      <c r="F123" s="862"/>
      <c r="G123" s="1"/>
      <c r="H123" s="1"/>
      <c r="I123" s="1"/>
      <c r="J123" s="119"/>
      <c r="K123" s="489"/>
      <c r="L123" s="250"/>
      <c r="M123" s="5"/>
      <c r="N123" s="5"/>
      <c r="O123" s="5"/>
      <c r="P123" s="5"/>
      <c r="Q123" s="5"/>
      <c r="R123" s="5"/>
      <c r="S123" s="5"/>
      <c r="T123" s="5"/>
      <c r="U123" s="5"/>
      <c r="V123" s="5"/>
      <c r="W123" s="5"/>
      <c r="X123" s="5"/>
      <c r="Y123" s="5"/>
      <c r="Z123" s="5"/>
      <c r="AA123" s="155"/>
      <c r="AB123" s="346" t="s">
        <v>416</v>
      </c>
      <c r="AC123" s="629"/>
      <c r="AD123" s="629"/>
      <c r="AE123" s="630"/>
      <c r="AF123" s="264">
        <f>(AI$134-AH142)/AI$137</f>
        <v>0.33333333333333331</v>
      </c>
      <c r="AG123" s="65">
        <f t="shared" ref="AG123:AH129" si="4">H138</f>
        <v>24.4665</v>
      </c>
      <c r="AH123" s="265">
        <f t="shared" si="4"/>
        <v>1.8115853807007718</v>
      </c>
      <c r="AI123" s="266">
        <f>AF123*AG123*AH123</f>
        <v>14.774384572305145</v>
      </c>
      <c r="AJ123" s="287"/>
      <c r="AK123" s="969"/>
      <c r="AL123" s="5"/>
      <c r="AM123" s="5"/>
      <c r="AN123" s="5"/>
      <c r="AO123" s="5"/>
      <c r="AP123" s="5"/>
      <c r="AQ123" s="5"/>
      <c r="AR123" s="5"/>
      <c r="AS123" s="5"/>
      <c r="AT123" s="5"/>
    </row>
    <row r="124" spans="1:46" ht="18" customHeight="1">
      <c r="A124" s="5"/>
      <c r="B124" s="1"/>
      <c r="C124" s="862"/>
      <c r="D124" s="862"/>
      <c r="E124" s="862"/>
      <c r="F124" s="862"/>
      <c r="G124" s="1"/>
      <c r="H124" s="1"/>
      <c r="I124" s="1"/>
      <c r="J124" s="119"/>
      <c r="K124" s="489"/>
      <c r="L124" s="250"/>
      <c r="M124" s="5"/>
      <c r="N124" s="5"/>
      <c r="O124" s="5"/>
      <c r="P124" s="5"/>
      <c r="Q124" s="5"/>
      <c r="R124" s="5"/>
      <c r="S124" s="5"/>
      <c r="T124" s="5"/>
      <c r="U124" s="5"/>
      <c r="V124" s="5"/>
      <c r="W124" s="5"/>
      <c r="X124" s="5"/>
      <c r="Y124" s="5"/>
      <c r="Z124" s="5"/>
      <c r="AA124" s="155"/>
      <c r="AB124" s="346" t="s">
        <v>417</v>
      </c>
      <c r="AC124" s="629"/>
      <c r="AD124" s="629"/>
      <c r="AE124" s="630"/>
      <c r="AF124" s="264">
        <f>(AI$134-AH143)/AI$137</f>
        <v>0</v>
      </c>
      <c r="AG124" s="65">
        <f t="shared" si="4"/>
        <v>5.1209999999999996</v>
      </c>
      <c r="AH124" s="265">
        <f t="shared" si="4"/>
        <v>1.3800056499332807</v>
      </c>
      <c r="AI124" s="266">
        <f>AF124*AG124*AH124</f>
        <v>0</v>
      </c>
      <c r="AJ124" s="287"/>
      <c r="AK124" s="969"/>
      <c r="AL124" s="5"/>
      <c r="AM124" s="5"/>
      <c r="AN124" s="5"/>
      <c r="AO124" s="5"/>
      <c r="AP124" s="5"/>
      <c r="AQ124" s="5"/>
      <c r="AR124" s="5"/>
      <c r="AS124" s="5"/>
      <c r="AT124" s="5"/>
    </row>
    <row r="125" spans="1:46">
      <c r="A125" s="5"/>
      <c r="B125" s="818" t="s">
        <v>318</v>
      </c>
      <c r="C125" s="818"/>
      <c r="D125" s="818"/>
      <c r="E125" s="818"/>
      <c r="F125" s="818"/>
      <c r="G125" s="818"/>
      <c r="H125" s="818"/>
      <c r="I125" s="818"/>
      <c r="J125" s="91">
        <f>J124+J123</f>
        <v>0</v>
      </c>
      <c r="K125" s="489"/>
      <c r="L125" s="250"/>
      <c r="M125" s="5"/>
      <c r="N125" s="5"/>
      <c r="O125" s="5"/>
      <c r="P125" s="5"/>
      <c r="Q125" s="5"/>
      <c r="R125" s="5"/>
      <c r="S125" s="5"/>
      <c r="T125" s="5"/>
      <c r="U125" s="5"/>
      <c r="V125" s="5"/>
      <c r="W125" s="5"/>
      <c r="X125" s="5"/>
      <c r="Y125" s="5"/>
      <c r="Z125" s="5"/>
      <c r="AA125" s="155"/>
      <c r="AB125" s="346" t="s">
        <v>418</v>
      </c>
      <c r="AC125" s="629"/>
      <c r="AD125" s="629"/>
      <c r="AE125" s="630"/>
      <c r="AF125" s="264">
        <f>(AI$134-AH145)/AI$137</f>
        <v>0.16666666666666666</v>
      </c>
      <c r="AG125" s="65">
        <f t="shared" si="4"/>
        <v>7.0615499999999995</v>
      </c>
      <c r="AH125" s="265">
        <f t="shared" si="4"/>
        <v>2.642391922017747</v>
      </c>
      <c r="AI125" s="266">
        <f>AF125*AG125*AH125</f>
        <v>3.1098971128207364</v>
      </c>
      <c r="AJ125" s="287"/>
      <c r="AK125" s="969"/>
      <c r="AL125" s="5"/>
      <c r="AM125" s="5"/>
      <c r="AN125" s="5"/>
      <c r="AO125" s="5"/>
      <c r="AP125" s="5"/>
      <c r="AQ125" s="5"/>
      <c r="AR125" s="5"/>
      <c r="AS125" s="5"/>
      <c r="AT125" s="5"/>
    </row>
    <row r="126" spans="1:46" ht="18" customHeight="1">
      <c r="A126" s="5"/>
      <c r="B126" s="1130" t="s">
        <v>220</v>
      </c>
      <c r="C126" s="1132" t="s">
        <v>302</v>
      </c>
      <c r="D126" s="1132"/>
      <c r="E126" s="1132"/>
      <c r="F126" s="1132"/>
      <c r="G126" s="86" t="s">
        <v>303</v>
      </c>
      <c r="H126" s="86" t="s">
        <v>304</v>
      </c>
      <c r="I126" s="313" t="s">
        <v>250</v>
      </c>
      <c r="J126" s="90" t="s">
        <v>319</v>
      </c>
      <c r="K126" s="489"/>
      <c r="L126" s="250"/>
      <c r="M126" s="5"/>
      <c r="N126" s="5"/>
      <c r="O126" s="5"/>
      <c r="P126" s="5"/>
      <c r="Q126" s="5"/>
      <c r="R126" s="5"/>
      <c r="S126" s="5"/>
      <c r="T126" s="5"/>
      <c r="U126" s="5"/>
      <c r="V126" s="5"/>
      <c r="W126" s="5"/>
      <c r="X126" s="5"/>
      <c r="Y126" s="5"/>
      <c r="Z126" s="5"/>
      <c r="AA126" s="155"/>
      <c r="AB126" s="346" t="s">
        <v>419</v>
      </c>
      <c r="AC126" s="629"/>
      <c r="AD126" s="629"/>
      <c r="AE126" s="630"/>
      <c r="AF126" s="264">
        <f>(AI$134-AH145)/AI$137</f>
        <v>0.16666666666666666</v>
      </c>
      <c r="AG126" s="65">
        <f t="shared" si="4"/>
        <v>1.6442999999999999</v>
      </c>
      <c r="AH126" s="267">
        <f t="shared" si="4"/>
        <v>2.5</v>
      </c>
      <c r="AI126" s="266">
        <f t="shared" ref="AI126:AI129" si="5">AF126*AG126*AH126</f>
        <v>0.68512499999999987</v>
      </c>
      <c r="AJ126" s="287"/>
      <c r="AK126" s="969"/>
      <c r="AL126" s="5"/>
      <c r="AM126" s="5"/>
      <c r="AN126" s="5"/>
      <c r="AO126" s="5"/>
      <c r="AP126" s="5"/>
      <c r="AQ126" s="5"/>
      <c r="AR126" s="5"/>
      <c r="AS126" s="5"/>
      <c r="AT126" s="5"/>
    </row>
    <row r="127" spans="1:46" ht="18" customHeight="1">
      <c r="A127" s="5"/>
      <c r="B127" s="1130"/>
      <c r="C127" s="1132"/>
      <c r="D127" s="1132"/>
      <c r="E127" s="1132"/>
      <c r="F127" s="1132"/>
      <c r="G127" s="59" t="s">
        <v>307</v>
      </c>
      <c r="H127" s="59" t="s">
        <v>308</v>
      </c>
      <c r="I127" s="59" t="s">
        <v>228</v>
      </c>
      <c r="J127" s="94" t="s">
        <v>229</v>
      </c>
      <c r="K127" s="489"/>
      <c r="L127" s="250"/>
      <c r="M127" s="5"/>
      <c r="N127" s="5"/>
      <c r="O127" s="5"/>
      <c r="P127" s="5"/>
      <c r="Q127" s="5"/>
      <c r="R127" s="5"/>
      <c r="S127" s="5"/>
      <c r="T127" s="5"/>
      <c r="U127" s="5"/>
      <c r="V127" s="5"/>
      <c r="W127" s="5"/>
      <c r="X127" s="5"/>
      <c r="Y127" s="5"/>
      <c r="Z127" s="5"/>
      <c r="AA127" s="155"/>
      <c r="AB127" s="346" t="s">
        <v>199</v>
      </c>
      <c r="AC127" s="629"/>
      <c r="AD127" s="629"/>
      <c r="AE127" s="629"/>
      <c r="AF127" s="264">
        <f>(AI$134-AH144)/AI$137</f>
        <v>1</v>
      </c>
      <c r="AG127" s="65">
        <f t="shared" si="4"/>
        <v>24.806249999999999</v>
      </c>
      <c r="AH127" s="267">
        <f>I142</f>
        <v>0.39937430012814151</v>
      </c>
      <c r="AI127" s="266">
        <f t="shared" si="5"/>
        <v>9.9069787325537106</v>
      </c>
      <c r="AJ127" s="287"/>
      <c r="AK127" s="969"/>
      <c r="AL127" s="5"/>
      <c r="AM127" s="5"/>
      <c r="AN127" s="5"/>
      <c r="AO127" s="5"/>
      <c r="AP127" s="5"/>
      <c r="AQ127" s="5"/>
      <c r="AR127" s="5"/>
      <c r="AS127" s="5"/>
      <c r="AT127" s="5"/>
    </row>
    <row r="128" spans="1:46">
      <c r="A128" s="5"/>
      <c r="B128" s="1"/>
      <c r="C128" s="810" t="s">
        <v>174</v>
      </c>
      <c r="D128" s="810"/>
      <c r="E128" s="810"/>
      <c r="F128" s="810"/>
      <c r="G128" s="1"/>
      <c r="H128" s="1"/>
      <c r="I128" s="1"/>
      <c r="J128" s="119"/>
      <c r="K128" s="489"/>
      <c r="L128" s="250"/>
      <c r="M128" s="5"/>
      <c r="N128" s="5"/>
      <c r="O128" s="5"/>
      <c r="P128" s="5"/>
      <c r="Q128" s="5"/>
      <c r="R128" s="5"/>
      <c r="S128" s="5"/>
      <c r="T128" s="5"/>
      <c r="U128" s="5"/>
      <c r="V128" s="5"/>
      <c r="W128" s="5"/>
      <c r="X128" s="5"/>
      <c r="Y128" s="5"/>
      <c r="Z128" s="5"/>
      <c r="AA128" s="57"/>
      <c r="AB128" s="364" t="s">
        <v>420</v>
      </c>
      <c r="AC128" s="365"/>
      <c r="AD128" s="365"/>
      <c r="AE128" s="365"/>
      <c r="AF128" s="264">
        <v>0</v>
      </c>
      <c r="AG128" s="268">
        <f t="shared" si="4"/>
        <v>5.9963999999999995</v>
      </c>
      <c r="AH128" s="268">
        <f t="shared" si="4"/>
        <v>0.31196948579298983</v>
      </c>
      <c r="AI128" s="266">
        <f t="shared" si="5"/>
        <v>0</v>
      </c>
      <c r="AJ128" s="287"/>
      <c r="AK128" s="969"/>
      <c r="AL128" s="5"/>
      <c r="AM128" s="5"/>
      <c r="AN128" s="5"/>
      <c r="AO128" s="5"/>
      <c r="AP128" s="5"/>
      <c r="AQ128" s="5"/>
      <c r="AR128" s="5"/>
      <c r="AS128" s="5"/>
      <c r="AT128" s="5"/>
    </row>
    <row r="129" spans="1:46" ht="15.75" customHeight="1">
      <c r="A129" s="5"/>
      <c r="B129" s="1003" t="s">
        <v>254</v>
      </c>
      <c r="C129" s="1003"/>
      <c r="D129" s="1003"/>
      <c r="E129" s="1003"/>
      <c r="F129" s="1003"/>
      <c r="G129" s="1003"/>
      <c r="H129" s="1003"/>
      <c r="I129" s="1003"/>
      <c r="J129" s="1003"/>
      <c r="K129" s="489"/>
      <c r="L129" s="250"/>
      <c r="M129" s="5"/>
      <c r="N129" s="5"/>
      <c r="O129" s="5"/>
      <c r="P129" s="5"/>
      <c r="Q129" s="5"/>
      <c r="R129" s="5"/>
      <c r="S129" s="5"/>
      <c r="T129" s="5"/>
      <c r="U129" s="5"/>
      <c r="V129" s="5"/>
      <c r="W129" s="5"/>
      <c r="X129" s="5"/>
      <c r="Y129" s="5"/>
      <c r="Z129" s="5"/>
      <c r="AA129" s="57"/>
      <c r="AB129" s="364" t="s">
        <v>421</v>
      </c>
      <c r="AC129" s="365"/>
      <c r="AD129" s="365"/>
      <c r="AE129" s="365"/>
      <c r="AF129" s="264">
        <f>(AI$134-AH141)/AI$137</f>
        <v>0.16666666666666666</v>
      </c>
      <c r="AG129" s="268">
        <f t="shared" si="4"/>
        <v>17.042400000000001</v>
      </c>
      <c r="AH129" s="268">
        <f t="shared" si="4"/>
        <v>2.642391922017747</v>
      </c>
      <c r="AI129" s="266">
        <f t="shared" si="5"/>
        <v>7.5054500152992079</v>
      </c>
      <c r="AJ129" s="287"/>
      <c r="AK129" s="969"/>
      <c r="AL129" s="5"/>
      <c r="AM129" s="5"/>
      <c r="AN129" s="5"/>
      <c r="AO129" s="5"/>
      <c r="AP129" s="5"/>
      <c r="AQ129" s="5"/>
      <c r="AR129" s="5"/>
      <c r="AS129" s="5"/>
      <c r="AT129" s="5"/>
    </row>
    <row r="130" spans="1:46" ht="18">
      <c r="A130" s="5"/>
      <c r="B130" s="1002" t="s">
        <v>321</v>
      </c>
      <c r="C130" s="1002"/>
      <c r="D130" s="1002"/>
      <c r="E130" s="1002"/>
      <c r="F130" s="1002"/>
      <c r="G130" s="1002"/>
      <c r="H130" s="1002"/>
      <c r="I130" s="1002"/>
      <c r="J130" s="1002"/>
      <c r="K130" s="489"/>
      <c r="L130" s="250"/>
      <c r="M130" s="5"/>
      <c r="N130" s="5"/>
      <c r="O130" s="5"/>
      <c r="P130" s="5"/>
      <c r="Q130" s="5"/>
      <c r="R130" s="5"/>
      <c r="S130" s="5"/>
      <c r="T130" s="5"/>
      <c r="U130" s="5"/>
      <c r="V130" s="5"/>
      <c r="W130" s="5"/>
      <c r="X130" s="5"/>
      <c r="Y130" s="5"/>
      <c r="Z130" s="5"/>
      <c r="AA130" s="57" t="s">
        <v>255</v>
      </c>
      <c r="AB130" s="57"/>
      <c r="AC130" s="57"/>
      <c r="AD130" s="57"/>
      <c r="AE130" s="58"/>
      <c r="AF130" s="1"/>
      <c r="AG130" s="1"/>
      <c r="AH130" s="1"/>
      <c r="AI130" s="91" t="s">
        <v>256</v>
      </c>
      <c r="AJ130" s="287"/>
      <c r="AK130" s="969"/>
      <c r="AL130" s="5"/>
      <c r="AM130" s="5"/>
      <c r="AN130" s="5"/>
      <c r="AO130" s="5"/>
      <c r="AP130" s="5"/>
      <c r="AQ130" s="5"/>
      <c r="AR130" s="5"/>
      <c r="AS130" s="5"/>
      <c r="AT130" s="5"/>
    </row>
    <row r="131" spans="1:46" ht="15.75" customHeight="1">
      <c r="A131" s="5"/>
      <c r="B131" s="994" t="s">
        <v>220</v>
      </c>
      <c r="C131" s="994" t="s">
        <v>249</v>
      </c>
      <c r="D131" s="994"/>
      <c r="E131" s="994"/>
      <c r="F131" s="994"/>
      <c r="G131" s="196" t="s">
        <v>222</v>
      </c>
      <c r="H131" s="196" t="s">
        <v>223</v>
      </c>
      <c r="I131" s="196" t="s">
        <v>224</v>
      </c>
      <c r="J131" s="231" t="s">
        <v>225</v>
      </c>
      <c r="K131" s="489"/>
      <c r="L131" s="250"/>
      <c r="M131" s="5"/>
      <c r="N131" s="5"/>
      <c r="O131" s="5"/>
      <c r="P131" s="5"/>
      <c r="Q131" s="5"/>
      <c r="R131" s="5"/>
      <c r="S131" s="5"/>
      <c r="T131" s="5"/>
      <c r="U131" s="5"/>
      <c r="V131" s="5"/>
      <c r="W131" s="5"/>
      <c r="X131" s="5"/>
      <c r="Y131" s="5"/>
      <c r="Z131" s="5"/>
      <c r="AA131" s="83" t="s">
        <v>258</v>
      </c>
      <c r="AB131" s="84"/>
      <c r="AC131" s="84"/>
      <c r="AD131" s="84"/>
      <c r="AE131" s="102"/>
      <c r="AF131" s="355" t="s">
        <v>259</v>
      </c>
      <c r="AG131" s="355"/>
      <c r="AH131" s="355"/>
      <c r="AI131" s="119"/>
      <c r="AJ131" s="663">
        <f>SUM(AI123:AI129)</f>
        <v>35.981835432978798</v>
      </c>
      <c r="AK131" s="969"/>
      <c r="AL131" s="5"/>
      <c r="AM131" s="5"/>
      <c r="AN131" s="5"/>
      <c r="AO131" s="5"/>
      <c r="AP131" s="5"/>
      <c r="AQ131" s="5"/>
      <c r="AR131" s="5"/>
      <c r="AS131" s="5"/>
      <c r="AT131" s="5"/>
    </row>
    <row r="132" spans="1:46" ht="18.75" customHeight="1">
      <c r="A132" s="5"/>
      <c r="B132" s="994"/>
      <c r="C132" s="994"/>
      <c r="D132" s="994"/>
      <c r="E132" s="994"/>
      <c r="F132" s="994"/>
      <c r="G132" s="62" t="s">
        <v>226</v>
      </c>
      <c r="H132" s="197" t="s">
        <v>227</v>
      </c>
      <c r="I132" s="197" t="s">
        <v>228</v>
      </c>
      <c r="J132" s="232" t="s">
        <v>229</v>
      </c>
      <c r="K132" s="489"/>
      <c r="L132" s="250"/>
      <c r="M132" s="5"/>
      <c r="N132" s="5"/>
      <c r="O132" s="5"/>
      <c r="P132" s="5"/>
      <c r="Q132" s="5"/>
      <c r="R132" s="5"/>
      <c r="S132" s="5"/>
      <c r="T132" s="5"/>
      <c r="U132" s="5"/>
      <c r="V132" s="5"/>
      <c r="W132" s="5"/>
      <c r="X132" s="5"/>
      <c r="Y132" s="5"/>
      <c r="Z132" s="5"/>
      <c r="AA132" s="104" t="s">
        <v>260</v>
      </c>
      <c r="AB132" s="103"/>
      <c r="AC132" s="103"/>
      <c r="AD132" s="103"/>
      <c r="AE132" s="103"/>
      <c r="AF132" s="103"/>
      <c r="AG132" s="103"/>
      <c r="AH132" s="103"/>
      <c r="AI132" s="103"/>
      <c r="AJ132" s="287"/>
      <c r="AK132" s="969"/>
      <c r="AL132" s="5"/>
      <c r="AM132" s="5"/>
      <c r="AN132" s="5"/>
      <c r="AO132" s="5"/>
      <c r="AP132" s="5"/>
      <c r="AQ132" s="5"/>
      <c r="AR132" s="5"/>
      <c r="AS132" s="5"/>
      <c r="AT132" s="5"/>
    </row>
    <row r="133" spans="1:46" ht="18.75" customHeight="1">
      <c r="A133" s="5"/>
      <c r="B133" s="1"/>
      <c r="C133" s="862"/>
      <c r="D133" s="862"/>
      <c r="E133" s="862"/>
      <c r="F133" s="862"/>
      <c r="G133" s="1"/>
      <c r="H133" s="1"/>
      <c r="I133" s="1"/>
      <c r="J133" s="119"/>
      <c r="K133" s="489"/>
      <c r="L133" s="250"/>
      <c r="M133" s="5"/>
      <c r="N133" s="5"/>
      <c r="O133" s="5"/>
      <c r="P133" s="5"/>
      <c r="Q133" s="5"/>
      <c r="R133" s="5"/>
      <c r="S133" s="5"/>
      <c r="T133" s="5"/>
      <c r="U133" s="5"/>
      <c r="V133" s="5"/>
      <c r="W133" s="5"/>
      <c r="X133" s="5"/>
      <c r="Y133" s="5"/>
      <c r="Z133" s="5"/>
      <c r="AA133" s="351" t="s">
        <v>6</v>
      </c>
      <c r="AB133" s="351"/>
      <c r="AC133" s="351"/>
      <c r="AD133" s="351"/>
      <c r="AE133" s="351"/>
      <c r="AF133" s="351"/>
      <c r="AG133" s="1" t="s">
        <v>261</v>
      </c>
      <c r="AH133" s="1" t="s">
        <v>262</v>
      </c>
      <c r="AI133" s="119">
        <f>32</f>
        <v>32</v>
      </c>
      <c r="AJ133" s="287"/>
      <c r="AK133" s="969"/>
      <c r="AL133" s="5"/>
      <c r="AM133" s="5"/>
      <c r="AN133" s="5"/>
      <c r="AO133" s="5"/>
      <c r="AP133" s="5"/>
      <c r="AQ133" s="5"/>
      <c r="AR133" s="5"/>
      <c r="AS133" s="5"/>
      <c r="AT133" s="5"/>
    </row>
    <row r="134" spans="1:46" ht="18.75" customHeight="1">
      <c r="A134" s="5"/>
      <c r="B134" s="98" t="s">
        <v>287</v>
      </c>
      <c r="C134" s="98"/>
      <c r="D134" s="98"/>
      <c r="E134" s="98"/>
      <c r="F134" s="98"/>
      <c r="G134" s="98"/>
      <c r="H134" s="1030" t="s">
        <v>288</v>
      </c>
      <c r="I134" s="1030"/>
      <c r="J134" s="1030"/>
      <c r="K134" s="489"/>
      <c r="L134" s="250"/>
      <c r="M134" s="5"/>
      <c r="N134" s="5"/>
      <c r="O134" s="5"/>
      <c r="P134" s="5"/>
      <c r="Q134" s="5"/>
      <c r="R134" s="5"/>
      <c r="S134" s="5"/>
      <c r="T134" s="5"/>
      <c r="U134" s="5"/>
      <c r="V134" s="5"/>
      <c r="W134" s="5"/>
      <c r="X134" s="5"/>
      <c r="Y134" s="5"/>
      <c r="Z134" s="5"/>
      <c r="AA134" s="352" t="s">
        <v>264</v>
      </c>
      <c r="AB134" s="352"/>
      <c r="AC134" s="352"/>
      <c r="AD134" s="352"/>
      <c r="AE134" s="352"/>
      <c r="AF134" s="352"/>
      <c r="AG134" s="1" t="s">
        <v>265</v>
      </c>
      <c r="AH134" s="1" t="s">
        <v>262</v>
      </c>
      <c r="AI134" s="119">
        <v>26</v>
      </c>
      <c r="AJ134" s="287"/>
      <c r="AK134" s="969"/>
      <c r="AL134" s="5"/>
      <c r="AM134" s="5"/>
      <c r="AN134" s="5"/>
      <c r="AO134" s="5"/>
      <c r="AP134" s="5"/>
      <c r="AQ134" s="5"/>
      <c r="AR134" s="5"/>
      <c r="AS134" s="5"/>
      <c r="AT134" s="5"/>
    </row>
    <row r="135" spans="1:46" ht="18" customHeight="1">
      <c r="A135" s="5"/>
      <c r="B135" s="118" t="s">
        <v>257</v>
      </c>
      <c r="C135" s="97"/>
      <c r="D135" s="97"/>
      <c r="E135" s="97"/>
      <c r="F135" s="97"/>
      <c r="G135" s="99"/>
      <c r="H135" s="100"/>
      <c r="I135" s="101"/>
      <c r="J135" s="227"/>
      <c r="K135" s="489"/>
      <c r="L135" s="250"/>
      <c r="M135" s="5"/>
      <c r="N135" s="5"/>
      <c r="O135" s="5"/>
      <c r="P135" s="5"/>
      <c r="Q135" s="5"/>
      <c r="R135" s="5"/>
      <c r="S135" s="5"/>
      <c r="T135" s="5"/>
      <c r="U135" s="5"/>
      <c r="V135" s="5"/>
      <c r="W135" s="5"/>
      <c r="X135" s="5"/>
      <c r="Y135" s="5"/>
      <c r="Z135" s="5"/>
      <c r="AA135" s="618"/>
      <c r="AB135" s="618"/>
      <c r="AC135" s="618"/>
      <c r="AD135" s="618"/>
      <c r="AE135" s="618"/>
      <c r="AF135" s="618"/>
      <c r="AG135" s="101"/>
      <c r="AH135" s="101"/>
      <c r="AI135" s="227"/>
      <c r="AJ135" s="287"/>
      <c r="AK135" s="970"/>
      <c r="AL135" s="5"/>
      <c r="AM135" s="5"/>
      <c r="AN135" s="5"/>
      <c r="AO135" s="5"/>
      <c r="AP135" s="5"/>
      <c r="AQ135" s="5"/>
      <c r="AR135" s="5"/>
      <c r="AS135" s="5"/>
      <c r="AT135" s="5"/>
    </row>
    <row r="136" spans="1:46" ht="18">
      <c r="A136" s="5"/>
      <c r="B136" s="1008" t="s">
        <v>220</v>
      </c>
      <c r="C136" s="1009" t="s">
        <v>221</v>
      </c>
      <c r="D136" s="1009"/>
      <c r="E136" s="1009"/>
      <c r="F136" s="1009"/>
      <c r="G136" s="196" t="s">
        <v>232</v>
      </c>
      <c r="H136" s="196" t="s">
        <v>222</v>
      </c>
      <c r="I136" s="196" t="s">
        <v>223</v>
      </c>
      <c r="J136" s="231" t="s">
        <v>233</v>
      </c>
      <c r="K136" s="489"/>
      <c r="L136" s="250"/>
      <c r="M136" s="5"/>
      <c r="N136" s="5"/>
      <c r="O136" s="5"/>
      <c r="P136" s="5"/>
      <c r="Q136" s="5"/>
      <c r="R136" s="5"/>
      <c r="S136" s="5"/>
      <c r="T136" s="5"/>
      <c r="U136" s="5"/>
      <c r="V136" s="5"/>
      <c r="W136" s="5"/>
      <c r="X136" s="5"/>
      <c r="Y136" s="5"/>
      <c r="Z136" s="5"/>
      <c r="AA136" s="618"/>
      <c r="AB136" s="618"/>
      <c r="AC136" s="618"/>
      <c r="AD136" s="618"/>
      <c r="AE136" s="618"/>
      <c r="AF136" s="618"/>
      <c r="AG136" s="101"/>
      <c r="AH136" s="101"/>
      <c r="AI136" s="227"/>
      <c r="AJ136" s="287"/>
      <c r="AK136" s="251" t="s">
        <v>263</v>
      </c>
      <c r="AL136" s="5"/>
      <c r="AM136" s="5"/>
      <c r="AN136" s="5"/>
      <c r="AO136" s="5"/>
      <c r="AP136" s="5"/>
      <c r="AQ136" s="5"/>
      <c r="AR136" s="5"/>
      <c r="AS136" s="5"/>
      <c r="AT136" s="5"/>
    </row>
    <row r="137" spans="1:46" ht="18" customHeight="1">
      <c r="A137" s="5"/>
      <c r="B137" s="1008"/>
      <c r="C137" s="1009"/>
      <c r="D137" s="1009"/>
      <c r="E137" s="1009"/>
      <c r="F137" s="1009"/>
      <c r="G137" s="62" t="s">
        <v>228</v>
      </c>
      <c r="H137" s="62" t="s">
        <v>226</v>
      </c>
      <c r="I137" s="197" t="s">
        <v>227</v>
      </c>
      <c r="J137" s="232" t="s">
        <v>229</v>
      </c>
      <c r="K137" s="489"/>
      <c r="L137" s="250"/>
      <c r="M137" s="5"/>
      <c r="N137" s="5"/>
      <c r="O137" s="5"/>
      <c r="P137" s="5"/>
      <c r="Q137" s="5"/>
      <c r="R137" s="5"/>
      <c r="S137" s="5"/>
      <c r="T137" s="5"/>
      <c r="U137" s="5"/>
      <c r="V137" s="5"/>
      <c r="W137" s="5"/>
      <c r="X137" s="5"/>
      <c r="Y137" s="5"/>
      <c r="Z137" s="5"/>
      <c r="AA137" s="353" t="s">
        <v>266</v>
      </c>
      <c r="AB137" s="353"/>
      <c r="AC137" s="353"/>
      <c r="AD137" s="353"/>
      <c r="AE137" s="353"/>
      <c r="AF137" s="353"/>
      <c r="AG137" s="101" t="s">
        <v>267</v>
      </c>
      <c r="AH137" s="101" t="s">
        <v>262</v>
      </c>
      <c r="AI137" s="227">
        <f>AI133-AI134</f>
        <v>6</v>
      </c>
      <c r="AJ137" s="288"/>
      <c r="AK137" s="250"/>
      <c r="AL137" s="5"/>
      <c r="AM137" s="5"/>
      <c r="AN137" s="5"/>
      <c r="AO137" s="5"/>
      <c r="AP137" s="5"/>
      <c r="AQ137" s="5"/>
      <c r="AR137" s="5"/>
      <c r="AS137" s="5"/>
      <c r="AT137" s="5"/>
    </row>
    <row r="138" spans="1:46">
      <c r="A138" s="5"/>
      <c r="B138" s="155"/>
      <c r="C138" s="981" t="s">
        <v>416</v>
      </c>
      <c r="D138" s="981"/>
      <c r="E138" s="981"/>
      <c r="F138" s="981"/>
      <c r="G138" s="2">
        <f>((J$149-H155)/J$150)</f>
        <v>6.6666666666666666E-2</v>
      </c>
      <c r="H138" s="62">
        <f>(7.35+0.15)*3.945-H139</f>
        <v>24.4665</v>
      </c>
      <c r="I138" s="197">
        <f>Parois!L42</f>
        <v>1.8115853807007718</v>
      </c>
      <c r="J138" s="92">
        <f t="shared" ref="J138" si="6">G138*H138*I138</f>
        <v>2.9548769144610287</v>
      </c>
      <c r="K138" s="489"/>
      <c r="L138" s="250"/>
      <c r="M138" s="5"/>
      <c r="N138" s="5"/>
      <c r="O138" s="5"/>
      <c r="P138" s="5"/>
      <c r="Q138" s="5"/>
      <c r="R138" s="5"/>
      <c r="S138" s="5"/>
      <c r="T138" s="5"/>
      <c r="U138" s="5"/>
      <c r="V138" s="5"/>
      <c r="W138" s="5"/>
      <c r="X138" s="5"/>
      <c r="Y138" s="5"/>
      <c r="Z138" s="5"/>
      <c r="AA138" s="356" t="s">
        <v>268</v>
      </c>
      <c r="AB138" s="356"/>
      <c r="AC138" s="356"/>
      <c r="AD138" s="356"/>
      <c r="AE138" s="356"/>
      <c r="AF138" s="356"/>
      <c r="AG138" s="356"/>
      <c r="AH138" s="356"/>
      <c r="AI138" s="356"/>
      <c r="AJ138" s="234" t="e">
        <f>AI137*#REF!</f>
        <v>#REF!</v>
      </c>
      <c r="AK138" s="250"/>
      <c r="AL138" s="5"/>
      <c r="AM138" s="5"/>
      <c r="AN138" s="5"/>
      <c r="AO138" s="5"/>
      <c r="AP138" s="5"/>
      <c r="AQ138" s="5"/>
      <c r="AR138" s="5"/>
      <c r="AS138" s="5"/>
      <c r="AT138" s="5"/>
    </row>
    <row r="139" spans="1:46" ht="16.5" customHeight="1">
      <c r="A139" s="5"/>
      <c r="B139" s="155"/>
      <c r="C139" s="981" t="s">
        <v>417</v>
      </c>
      <c r="D139" s="981"/>
      <c r="E139" s="981"/>
      <c r="F139" s="981"/>
      <c r="G139" s="2">
        <f>((J$149-H156)/J$150)</f>
        <v>6.6666666666666666E-2</v>
      </c>
      <c r="H139" s="62">
        <f>4*SUM(Parois!AB25:AC25)</f>
        <v>5.1209999999999996</v>
      </c>
      <c r="I139" s="259">
        <f>Parois!AG25</f>
        <v>1.3800056499332807</v>
      </c>
      <c r="J139" s="92">
        <f>G139*H139*I139</f>
        <v>0.471133928887222</v>
      </c>
      <c r="K139" s="489"/>
      <c r="L139" s="250"/>
      <c r="M139" s="5"/>
      <c r="N139" s="5"/>
      <c r="O139" s="5"/>
      <c r="P139" s="5"/>
      <c r="Q139" s="5"/>
      <c r="R139" s="5"/>
      <c r="S139" s="5"/>
      <c r="T139" s="5"/>
      <c r="U139" s="5"/>
      <c r="V139" s="5"/>
      <c r="W139" s="5"/>
      <c r="X139" s="5"/>
      <c r="Y139" s="5"/>
      <c r="Z139" s="5"/>
      <c r="AA139" s="551" t="s">
        <v>269</v>
      </c>
      <c r="AB139" s="551"/>
      <c r="AC139" s="551"/>
      <c r="AD139" s="551"/>
      <c r="AE139" s="551"/>
      <c r="AF139" s="551"/>
      <c r="AG139" s="551"/>
      <c r="AH139" s="551"/>
      <c r="AI139" s="551"/>
      <c r="AJ139" s="551"/>
      <c r="AK139" s="250"/>
      <c r="AL139" s="5"/>
      <c r="AM139" s="5"/>
      <c r="AN139" s="5"/>
      <c r="AO139" s="5"/>
      <c r="AP139" s="5"/>
      <c r="AQ139" s="5"/>
      <c r="AR139" s="5"/>
      <c r="AS139" s="5"/>
      <c r="AT139" s="5"/>
    </row>
    <row r="140" spans="1:46" ht="16.5" customHeight="1">
      <c r="A140" s="5"/>
      <c r="B140" s="155"/>
      <c r="C140" s="1160" t="s">
        <v>418</v>
      </c>
      <c r="D140" s="1160"/>
      <c r="E140" s="1160"/>
      <c r="F140" s="1160"/>
      <c r="G140" s="2">
        <f>((J$149-H158)/J$150)</f>
        <v>0.13333333333333333</v>
      </c>
      <c r="H140" s="62">
        <f>1.79*3.945</f>
        <v>7.0615499999999995</v>
      </c>
      <c r="I140" s="259">
        <f>Parois!L28</f>
        <v>2.642391922017747</v>
      </c>
      <c r="J140" s="92">
        <f>G140*H140*I140</f>
        <v>2.4879176902565892</v>
      </c>
      <c r="K140" s="489"/>
      <c r="L140" s="250"/>
      <c r="M140" s="5"/>
      <c r="N140" s="5"/>
      <c r="O140" s="5"/>
      <c r="P140" s="5"/>
      <c r="Q140" s="5"/>
      <c r="R140" s="5"/>
      <c r="S140" s="5"/>
      <c r="T140" s="5"/>
      <c r="U140" s="5"/>
      <c r="V140" s="5"/>
      <c r="W140" s="5"/>
      <c r="X140" s="5"/>
      <c r="Y140" s="5"/>
      <c r="Z140" s="5"/>
      <c r="AA140" s="348" t="s">
        <v>270</v>
      </c>
      <c r="AB140" s="349"/>
      <c r="AC140" s="349"/>
      <c r="AD140" s="349"/>
      <c r="AE140" s="349"/>
      <c r="AF140" s="350"/>
      <c r="AG140" s="241" t="s">
        <v>271</v>
      </c>
      <c r="AH140" s="241" t="s">
        <v>272</v>
      </c>
      <c r="AI140" s="242" t="s">
        <v>273</v>
      </c>
      <c r="AJ140" s="235" t="s">
        <v>274</v>
      </c>
      <c r="AK140" s="250"/>
      <c r="AL140" s="5"/>
      <c r="AM140" s="5"/>
      <c r="AN140" s="5"/>
      <c r="AO140" s="5"/>
      <c r="AP140" s="5"/>
      <c r="AQ140" s="5"/>
      <c r="AR140" s="5"/>
      <c r="AS140" s="5"/>
      <c r="AT140" s="5"/>
    </row>
    <row r="141" spans="1:46" ht="16.5" customHeight="1">
      <c r="A141" s="5"/>
      <c r="B141" s="155"/>
      <c r="C141" s="1160" t="s">
        <v>419</v>
      </c>
      <c r="D141" s="1160"/>
      <c r="E141" s="1160"/>
      <c r="F141" s="1160"/>
      <c r="G141" s="2">
        <f>((J$149-H158)/J$150)</f>
        <v>0.13333333333333333</v>
      </c>
      <c r="H141" s="194">
        <f>2.03*0.81</f>
        <v>1.6442999999999999</v>
      </c>
      <c r="I141" s="2">
        <v>2.5</v>
      </c>
      <c r="J141" s="92">
        <f t="shared" ref="J141" si="7">G141*H141*I141</f>
        <v>0.54810000000000003</v>
      </c>
      <c r="K141" s="489"/>
      <c r="L141" s="250"/>
      <c r="M141" s="5"/>
      <c r="N141" s="5"/>
      <c r="O141" s="5"/>
      <c r="P141" s="5"/>
      <c r="Q141" s="5"/>
      <c r="R141" s="5"/>
      <c r="S141" s="5"/>
      <c r="T141" s="5"/>
      <c r="U141" s="5"/>
      <c r="V141" s="5"/>
      <c r="W141" s="5"/>
      <c r="X141" s="5"/>
      <c r="Y141" s="5"/>
      <c r="Z141" s="5"/>
      <c r="AA141" s="536" t="s">
        <v>422</v>
      </c>
      <c r="AB141" s="537"/>
      <c r="AC141" s="537"/>
      <c r="AD141" s="537"/>
      <c r="AE141" s="537"/>
      <c r="AF141" s="538"/>
      <c r="AG141" s="246" t="s">
        <v>174</v>
      </c>
      <c r="AH141" s="246">
        <v>25</v>
      </c>
      <c r="AI141" s="245" t="s">
        <v>174</v>
      </c>
      <c r="AJ141" s="245">
        <f>AI133-AH141</f>
        <v>7</v>
      </c>
      <c r="AK141" s="250"/>
      <c r="AL141" s="5"/>
      <c r="AM141" s="5"/>
      <c r="AN141" s="5"/>
      <c r="AO141" s="5"/>
      <c r="AP141" s="5"/>
      <c r="AQ141" s="5"/>
      <c r="AR141" s="5"/>
      <c r="AS141" s="5"/>
      <c r="AT141" s="5"/>
    </row>
    <row r="142" spans="1:46">
      <c r="A142" s="5"/>
      <c r="B142" s="57"/>
      <c r="C142" s="984" t="s">
        <v>199</v>
      </c>
      <c r="D142" s="984"/>
      <c r="E142" s="984"/>
      <c r="F142" s="984"/>
      <c r="G142" s="2">
        <f>((J$149-H157)/J$150)</f>
        <v>0.4</v>
      </c>
      <c r="H142" s="741">
        <f>Données!G29-1.875*3.93</f>
        <v>24.806249999999999</v>
      </c>
      <c r="I142" s="89">
        <f>Parois!L49</f>
        <v>0.39937430012814151</v>
      </c>
      <c r="J142" s="92">
        <f>G142*H142*I142</f>
        <v>3.9627914930214838</v>
      </c>
      <c r="K142" s="489"/>
      <c r="L142" s="250"/>
      <c r="M142" s="5"/>
      <c r="N142" s="5"/>
      <c r="O142" s="5"/>
      <c r="P142" s="5"/>
      <c r="Q142" s="5"/>
      <c r="R142" s="5"/>
      <c r="S142" s="5"/>
      <c r="T142" s="5"/>
      <c r="U142" s="5"/>
      <c r="V142" s="5"/>
      <c r="W142" s="5"/>
      <c r="X142" s="5"/>
      <c r="Y142" s="5"/>
      <c r="Z142" s="5"/>
      <c r="AA142" s="351" t="s">
        <v>423</v>
      </c>
      <c r="AB142" s="351"/>
      <c r="AC142" s="351"/>
      <c r="AD142" s="351"/>
      <c r="AE142" s="351"/>
      <c r="AF142" s="351"/>
      <c r="AG142" s="245" t="s">
        <v>174</v>
      </c>
      <c r="AH142" s="245">
        <v>24</v>
      </c>
      <c r="AI142" s="245" t="s">
        <v>174</v>
      </c>
      <c r="AJ142" s="245">
        <f>AI133-AH142</f>
        <v>8</v>
      </c>
      <c r="AK142" s="250"/>
      <c r="AL142" s="5"/>
      <c r="AM142" s="5"/>
      <c r="AN142" s="5"/>
      <c r="AO142" s="5"/>
      <c r="AP142" s="5"/>
      <c r="AQ142" s="5"/>
      <c r="AR142" s="5"/>
      <c r="AS142" s="5"/>
      <c r="AT142" s="5"/>
    </row>
    <row r="143" spans="1:46">
      <c r="A143" s="5"/>
      <c r="B143" s="57"/>
      <c r="C143" s="984" t="s">
        <v>420</v>
      </c>
      <c r="D143" s="984"/>
      <c r="E143" s="984"/>
      <c r="F143" s="984"/>
      <c r="G143" s="2">
        <v>0</v>
      </c>
      <c r="H143" s="1">
        <f>(1.085+0.285+0.1+0.05)*3.945</f>
        <v>5.9963999999999995</v>
      </c>
      <c r="I143" s="1">
        <f>Parois!L13</f>
        <v>0.31196948579298983</v>
      </c>
      <c r="J143" s="92">
        <f>G143*H143*I143</f>
        <v>0</v>
      </c>
      <c r="K143" s="489"/>
      <c r="L143" s="250"/>
      <c r="M143" s="5"/>
      <c r="N143" s="5"/>
      <c r="O143" s="5"/>
      <c r="P143" s="5"/>
      <c r="Q143" s="5"/>
      <c r="R143" s="5"/>
      <c r="S143" s="5"/>
      <c r="T143" s="5"/>
      <c r="U143" s="5"/>
      <c r="V143" s="5"/>
      <c r="W143" s="5"/>
      <c r="X143" s="5"/>
      <c r="Y143" s="5"/>
      <c r="Z143" s="5"/>
      <c r="AA143" s="352" t="s">
        <v>424</v>
      </c>
      <c r="AB143" s="352"/>
      <c r="AC143" s="352"/>
      <c r="AD143" s="352"/>
      <c r="AE143" s="352"/>
      <c r="AF143" s="352"/>
      <c r="AG143" s="245" t="s">
        <v>174</v>
      </c>
      <c r="AH143" s="245">
        <v>26</v>
      </c>
      <c r="AI143" s="245" t="s">
        <v>174</v>
      </c>
      <c r="AJ143" s="245">
        <f>AI133-AH143</f>
        <v>6</v>
      </c>
      <c r="AK143" s="250"/>
      <c r="AL143" s="5"/>
      <c r="AM143" s="5"/>
      <c r="AN143" s="5"/>
      <c r="AO143" s="5"/>
      <c r="AP143" s="5"/>
      <c r="AQ143" s="5"/>
      <c r="AR143" s="5"/>
      <c r="AS143" s="5"/>
      <c r="AT143" s="5"/>
    </row>
    <row r="144" spans="1:46">
      <c r="A144" s="5"/>
      <c r="B144" s="57"/>
      <c r="C144" s="862" t="s">
        <v>421</v>
      </c>
      <c r="D144" s="862"/>
      <c r="E144" s="862"/>
      <c r="F144" s="862"/>
      <c r="G144" s="2">
        <f>(Données!E29-Données!G53)/(Données!E29-Données!G11)</f>
        <v>0.13333333333333333</v>
      </c>
      <c r="H144" s="1">
        <f>((3.97+0.3+0.05)*3.945)</f>
        <v>17.042400000000001</v>
      </c>
      <c r="I144" s="1">
        <f>Parois!L28</f>
        <v>2.642391922017747</v>
      </c>
      <c r="J144" s="92">
        <f>G144*H144*I144</f>
        <v>6.004360012239367</v>
      </c>
      <c r="K144" s="489"/>
      <c r="L144" s="250"/>
      <c r="M144" s="5"/>
      <c r="N144" s="5"/>
      <c r="O144" s="5"/>
      <c r="P144" s="5"/>
      <c r="Q144" s="5"/>
      <c r="R144" s="5"/>
      <c r="S144" s="5"/>
      <c r="T144" s="5"/>
      <c r="U144" s="5"/>
      <c r="V144" s="5"/>
      <c r="W144" s="5"/>
      <c r="X144" s="5"/>
      <c r="Y144" s="5"/>
      <c r="Z144" s="5"/>
      <c r="AA144" s="467" t="s">
        <v>294</v>
      </c>
      <c r="AB144" s="468"/>
      <c r="AC144" s="468"/>
      <c r="AD144" s="468"/>
      <c r="AE144" s="468"/>
      <c r="AF144" s="469"/>
      <c r="AG144" s="247" t="s">
        <v>174</v>
      </c>
      <c r="AH144" s="247">
        <v>20</v>
      </c>
      <c r="AI144" s="245" t="s">
        <v>174</v>
      </c>
      <c r="AJ144" s="245">
        <f>AI133-AH144</f>
        <v>12</v>
      </c>
      <c r="AK144" s="251" t="s">
        <v>263</v>
      </c>
      <c r="AL144" s="5"/>
      <c r="AM144" s="5"/>
      <c r="AN144" s="5"/>
      <c r="AO144" s="5"/>
      <c r="AP144" s="5"/>
      <c r="AQ144" s="5"/>
      <c r="AR144" s="5"/>
      <c r="AS144" s="5"/>
      <c r="AT144" s="5"/>
    </row>
    <row r="145" spans="1:46" ht="16.5" customHeight="1">
      <c r="A145" s="5"/>
      <c r="B145" s="57" t="s">
        <v>255</v>
      </c>
      <c r="C145" s="57"/>
      <c r="D145" s="57"/>
      <c r="E145" s="57"/>
      <c r="F145" s="58"/>
      <c r="G145" s="1"/>
      <c r="H145" s="1"/>
      <c r="I145" s="1"/>
      <c r="J145" s="91" t="s">
        <v>256</v>
      </c>
      <c r="K145" s="1">
        <f>SUM(J138:J143)</f>
        <v>10.424820026626323</v>
      </c>
      <c r="L145" s="250"/>
      <c r="M145" s="5"/>
      <c r="N145" s="5"/>
      <c r="O145" s="5"/>
      <c r="P145" s="5"/>
      <c r="Q145" s="5"/>
      <c r="R145" s="5"/>
      <c r="S145" s="5"/>
      <c r="T145" s="5"/>
      <c r="U145" s="5"/>
      <c r="V145" s="5"/>
      <c r="W145" s="5"/>
      <c r="X145" s="5"/>
      <c r="Y145" s="5"/>
      <c r="Z145" s="5"/>
      <c r="AA145" s="634" t="s">
        <v>425</v>
      </c>
      <c r="AB145" s="353"/>
      <c r="AC145" s="353"/>
      <c r="AD145" s="353"/>
      <c r="AE145" s="353"/>
      <c r="AF145" s="353"/>
      <c r="AG145" s="247" t="s">
        <v>174</v>
      </c>
      <c r="AH145" s="247">
        <v>25</v>
      </c>
      <c r="AI145" s="245" t="s">
        <v>174</v>
      </c>
      <c r="AJ145" s="245">
        <f>AI133-AH145</f>
        <v>7</v>
      </c>
      <c r="AK145" s="253" t="s">
        <v>263</v>
      </c>
      <c r="AL145" s="5"/>
      <c r="AM145" s="5"/>
      <c r="AN145" s="5"/>
      <c r="AO145" s="5"/>
      <c r="AP145" s="5"/>
      <c r="AQ145" s="5"/>
      <c r="AR145" s="5"/>
      <c r="AS145" s="5"/>
      <c r="AT145" s="5"/>
    </row>
    <row r="146" spans="1:46" ht="18">
      <c r="A146" s="5"/>
      <c r="B146" s="83" t="s">
        <v>258</v>
      </c>
      <c r="C146" s="84"/>
      <c r="D146" s="84"/>
      <c r="E146" s="84"/>
      <c r="F146" s="102"/>
      <c r="G146" s="999" t="s">
        <v>259</v>
      </c>
      <c r="H146" s="999"/>
      <c r="I146" s="999"/>
      <c r="J146" s="119"/>
      <c r="K146" s="489"/>
      <c r="L146" s="250"/>
      <c r="M146" s="5"/>
      <c r="N146" s="5"/>
      <c r="O146" s="5"/>
      <c r="P146" s="5"/>
      <c r="Q146" s="5"/>
      <c r="R146" s="5"/>
      <c r="S146" s="5"/>
      <c r="T146" s="5"/>
      <c r="U146" s="5"/>
      <c r="V146" s="5"/>
      <c r="W146" s="5"/>
      <c r="X146" s="5"/>
      <c r="Y146" s="5"/>
      <c r="Z146" s="5"/>
      <c r="AA146" s="634"/>
      <c r="AB146" s="353"/>
      <c r="AC146" s="353"/>
      <c r="AD146" s="353"/>
      <c r="AE146" s="353"/>
      <c r="AF146" s="353"/>
      <c r="AG146" s="247"/>
      <c r="AH146" s="247"/>
      <c r="AI146" s="245"/>
      <c r="AJ146" s="249"/>
      <c r="AK146" s="5"/>
      <c r="AL146" s="5"/>
      <c r="AM146" s="5"/>
      <c r="AN146" s="5"/>
      <c r="AO146" s="5"/>
      <c r="AP146" s="5"/>
      <c r="AQ146" s="5"/>
      <c r="AR146" s="5"/>
      <c r="AS146" s="5"/>
      <c r="AT146" s="5"/>
    </row>
    <row r="147" spans="1:46" ht="18.75">
      <c r="A147" s="5"/>
      <c r="B147" s="104" t="s">
        <v>260</v>
      </c>
      <c r="C147" s="103"/>
      <c r="D147" s="103"/>
      <c r="E147" s="103"/>
      <c r="F147" s="103"/>
      <c r="G147" s="103"/>
      <c r="H147" s="103"/>
      <c r="I147" s="103"/>
      <c r="J147" s="103"/>
      <c r="K147" s="489"/>
      <c r="L147" s="250"/>
      <c r="M147" s="5"/>
      <c r="N147" s="5"/>
      <c r="O147" s="5"/>
      <c r="P147" s="5"/>
      <c r="Q147" s="5"/>
      <c r="R147" s="5"/>
      <c r="S147" s="5"/>
      <c r="T147" s="5"/>
      <c r="U147" s="5"/>
      <c r="V147" s="5"/>
      <c r="W147" s="5"/>
      <c r="X147" s="5"/>
      <c r="Y147" s="5"/>
      <c r="Z147" s="5"/>
      <c r="AA147" s="353"/>
      <c r="AB147" s="354"/>
      <c r="AC147" s="354"/>
      <c r="AD147" s="354"/>
      <c r="AE147" s="354"/>
      <c r="AF147" s="354"/>
      <c r="AG147" s="354"/>
      <c r="AH147" s="354"/>
      <c r="AI147" s="354"/>
      <c r="AJ147" s="271">
        <f>AJ131*AI137</f>
        <v>215.89101259787279</v>
      </c>
      <c r="AL147" s="5"/>
      <c r="AM147" s="5"/>
      <c r="AN147" s="5"/>
      <c r="AO147" s="5"/>
      <c r="AP147" s="5"/>
      <c r="AQ147" s="5"/>
      <c r="AR147" s="5"/>
      <c r="AS147" s="5"/>
      <c r="AT147" s="5"/>
    </row>
    <row r="148" spans="1:46" ht="19.5">
      <c r="A148" s="5"/>
      <c r="B148" s="818" t="s">
        <v>6</v>
      </c>
      <c r="C148" s="818"/>
      <c r="D148" s="818"/>
      <c r="E148" s="818"/>
      <c r="F148" s="818"/>
      <c r="G148" s="818"/>
      <c r="H148" s="1" t="s">
        <v>261</v>
      </c>
      <c r="I148" s="1" t="s">
        <v>262</v>
      </c>
      <c r="J148" s="119">
        <v>-8</v>
      </c>
      <c r="K148" s="489"/>
      <c r="L148" s="250"/>
      <c r="M148" s="5"/>
      <c r="N148" s="5"/>
      <c r="O148" s="5"/>
      <c r="P148" s="5"/>
      <c r="Q148" s="5"/>
      <c r="R148" s="5"/>
      <c r="S148" s="5"/>
      <c r="T148" s="5"/>
      <c r="U148" s="5"/>
      <c r="V148" s="5"/>
      <c r="W148" s="5"/>
      <c r="X148" s="5"/>
      <c r="Y148" s="5"/>
      <c r="AA148" s="354" t="s">
        <v>278</v>
      </c>
      <c r="AB148" s="345"/>
      <c r="AC148" s="345"/>
      <c r="AD148" s="345"/>
      <c r="AE148" s="345"/>
      <c r="AF148" s="345"/>
      <c r="AG148" s="345"/>
      <c r="AH148" s="345"/>
      <c r="AI148" s="345"/>
      <c r="AJ148" s="5"/>
      <c r="AK148" s="5"/>
      <c r="AL148" s="5"/>
      <c r="AM148" s="5"/>
      <c r="AN148" s="5"/>
      <c r="AO148" s="5"/>
      <c r="AP148" s="5"/>
      <c r="AQ148" s="5"/>
      <c r="AR148" s="5"/>
      <c r="AS148" s="5"/>
      <c r="AT148" s="5"/>
    </row>
    <row r="149" spans="1:46" ht="19.5">
      <c r="A149" s="5"/>
      <c r="B149" s="971" t="s">
        <v>264</v>
      </c>
      <c r="C149" s="971"/>
      <c r="D149" s="971"/>
      <c r="E149" s="971"/>
      <c r="F149" s="971"/>
      <c r="G149" s="971"/>
      <c r="H149" s="1" t="s">
        <v>265</v>
      </c>
      <c r="I149" s="1" t="s">
        <v>262</v>
      </c>
      <c r="J149" s="119">
        <v>22</v>
      </c>
      <c r="K149" s="489"/>
      <c r="L149" s="250"/>
      <c r="M149" s="5"/>
      <c r="N149" s="5"/>
      <c r="O149" s="5"/>
      <c r="P149" s="5"/>
      <c r="Q149" s="5"/>
      <c r="R149" s="5"/>
      <c r="S149" s="5"/>
      <c r="T149" s="5"/>
      <c r="U149" s="5"/>
      <c r="V149" s="5"/>
      <c r="W149" s="5"/>
      <c r="X149" s="5"/>
      <c r="Y149" s="5"/>
      <c r="Z149" s="5"/>
      <c r="AA149" s="345" t="s">
        <v>279</v>
      </c>
      <c r="AB149" s="5"/>
      <c r="AC149" s="5"/>
      <c r="AD149" s="5"/>
      <c r="AE149" s="5"/>
      <c r="AF149" s="5"/>
      <c r="AG149" s="5"/>
      <c r="AH149" s="5"/>
      <c r="AI149" s="5"/>
      <c r="AJ149" s="5"/>
      <c r="AK149" s="5"/>
      <c r="AL149" s="5"/>
      <c r="AM149" s="5"/>
      <c r="AN149" s="5"/>
      <c r="AO149" s="5"/>
      <c r="AP149" s="5"/>
      <c r="AQ149" s="5"/>
      <c r="AR149" s="5"/>
      <c r="AS149" s="5"/>
      <c r="AT149" s="5"/>
    </row>
    <row r="150" spans="1:46" ht="19.5">
      <c r="A150" s="5"/>
      <c r="B150" s="997" t="s">
        <v>266</v>
      </c>
      <c r="C150" s="997"/>
      <c r="D150" s="997"/>
      <c r="E150" s="997"/>
      <c r="F150" s="997"/>
      <c r="G150" s="997"/>
      <c r="H150" s="101" t="s">
        <v>267</v>
      </c>
      <c r="I150" s="101" t="s">
        <v>262</v>
      </c>
      <c r="J150" s="227">
        <f>J149-J148</f>
        <v>30</v>
      </c>
      <c r="K150" s="454"/>
      <c r="L150" s="250"/>
      <c r="M150" s="5"/>
      <c r="N150" s="5"/>
      <c r="O150" s="5"/>
      <c r="P150" s="5"/>
      <c r="Q150" s="5"/>
      <c r="R150" s="5"/>
      <c r="S150" s="5"/>
      <c r="T150" s="5"/>
      <c r="U150" s="5"/>
      <c r="V150" s="5"/>
      <c r="W150" s="5"/>
      <c r="X150" s="5"/>
      <c r="Y150" s="5"/>
      <c r="Z150" s="5"/>
      <c r="AA150" s="5"/>
      <c r="AB150" s="5"/>
      <c r="AC150" s="5"/>
      <c r="AD150" s="5"/>
      <c r="AE150" s="5"/>
      <c r="AF150" s="5"/>
      <c r="AG150" s="5"/>
      <c r="AH150" s="5"/>
      <c r="AI150" s="5"/>
      <c r="AJ150" s="5"/>
      <c r="AK150" s="5"/>
      <c r="AL150" s="5"/>
      <c r="AM150" s="5"/>
      <c r="AN150" s="5"/>
      <c r="AO150" s="5"/>
      <c r="AP150" s="5"/>
      <c r="AQ150" s="5"/>
      <c r="AR150" s="5"/>
      <c r="AS150" s="5"/>
      <c r="AT150" s="5"/>
    </row>
    <row r="151" spans="1:46">
      <c r="A151" s="5"/>
      <c r="B151" s="988" t="s">
        <v>426</v>
      </c>
      <c r="C151" s="988"/>
      <c r="D151" s="988"/>
      <c r="E151" s="988"/>
      <c r="F151" s="988"/>
      <c r="G151" s="988"/>
      <c r="H151" s="988"/>
      <c r="I151" s="988"/>
      <c r="J151" s="988"/>
      <c r="K151" s="518">
        <f>(K119+J125+K145)*J150</f>
        <v>1401.0483519837869</v>
      </c>
      <c r="L151" s="251" t="s">
        <v>263</v>
      </c>
      <c r="M151" s="5"/>
      <c r="N151" s="5"/>
      <c r="O151" s="5"/>
      <c r="P151" s="5"/>
      <c r="Q151" s="5"/>
      <c r="R151" s="5"/>
      <c r="S151" s="5"/>
      <c r="T151" s="5"/>
      <c r="U151" s="5"/>
      <c r="V151" s="5"/>
      <c r="W151" s="5"/>
      <c r="X151" s="5"/>
      <c r="Y151" s="5"/>
      <c r="Z151" s="5"/>
      <c r="AA151" s="5"/>
      <c r="AB151" s="5"/>
      <c r="AC151" s="5"/>
      <c r="AD151" s="5"/>
      <c r="AE151" s="5"/>
      <c r="AF151" s="5"/>
      <c r="AG151" s="5"/>
      <c r="AH151" s="5"/>
      <c r="AI151" s="5"/>
      <c r="AJ151" s="5"/>
      <c r="AK151" s="5"/>
      <c r="AL151" s="5"/>
      <c r="AM151" s="5"/>
      <c r="AN151" s="5"/>
      <c r="AO151" s="5"/>
      <c r="AP151" s="5"/>
      <c r="AQ151" s="5"/>
      <c r="AR151" s="5"/>
      <c r="AS151" s="5"/>
      <c r="AT151" s="5"/>
    </row>
    <row r="152" spans="1:46">
      <c r="A152" s="5"/>
      <c r="B152" s="1140" t="s">
        <v>269</v>
      </c>
      <c r="C152" s="1140"/>
      <c r="D152" s="1140"/>
      <c r="E152" s="1140"/>
      <c r="F152" s="1140"/>
      <c r="G152" s="1140"/>
      <c r="H152" s="1140"/>
      <c r="I152" s="1140"/>
      <c r="J152" s="1140"/>
      <c r="K152" s="1140"/>
      <c r="L152" s="250"/>
      <c r="M152" s="5"/>
      <c r="N152" s="5"/>
      <c r="O152" s="5"/>
      <c r="P152" s="5"/>
      <c r="Q152" s="5"/>
      <c r="R152" s="5"/>
      <c r="S152" s="5"/>
      <c r="T152" s="5"/>
      <c r="U152" s="5"/>
      <c r="V152" s="5"/>
      <c r="W152" s="5"/>
      <c r="X152" s="5"/>
      <c r="Y152" s="5"/>
      <c r="Z152" s="5"/>
      <c r="AA152" s="5"/>
      <c r="AB152" s="5"/>
      <c r="AC152" s="5"/>
      <c r="AD152" s="5"/>
      <c r="AE152" s="5"/>
      <c r="AF152" s="5"/>
      <c r="AG152" s="5"/>
      <c r="AH152" s="5"/>
      <c r="AI152" s="5"/>
      <c r="AJ152" s="5"/>
      <c r="AK152" s="5"/>
      <c r="AL152" s="5"/>
      <c r="AM152" s="5"/>
      <c r="AN152" s="5"/>
      <c r="AO152" s="5"/>
      <c r="AP152" s="5"/>
      <c r="AQ152" s="5"/>
      <c r="AR152" s="5"/>
      <c r="AS152" s="5"/>
      <c r="AT152" s="5"/>
    </row>
    <row r="153" spans="1:46">
      <c r="A153" s="5"/>
      <c r="B153" s="990" t="s">
        <v>270</v>
      </c>
      <c r="C153" s="990"/>
      <c r="D153" s="990"/>
      <c r="E153" s="990"/>
      <c r="F153" s="990"/>
      <c r="G153" s="990"/>
      <c r="H153" s="241" t="s">
        <v>271</v>
      </c>
      <c r="I153" s="241" t="s">
        <v>272</v>
      </c>
      <c r="J153" s="242" t="s">
        <v>273</v>
      </c>
      <c r="K153" s="235" t="s">
        <v>274</v>
      </c>
      <c r="L153" s="250"/>
      <c r="M153" s="5"/>
      <c r="N153" s="5"/>
      <c r="O153" s="5"/>
      <c r="P153" s="5"/>
      <c r="Q153" s="5"/>
      <c r="R153" s="5"/>
      <c r="S153" s="5"/>
      <c r="T153" s="5"/>
      <c r="U153" s="5"/>
      <c r="V153" s="5"/>
      <c r="W153" s="5"/>
      <c r="X153" s="5"/>
      <c r="Y153" s="5"/>
      <c r="Z153" s="5"/>
      <c r="AA153" s="5"/>
      <c r="AI153" s="5"/>
      <c r="AJ153" s="5"/>
      <c r="AK153" s="5"/>
      <c r="AL153" s="5"/>
      <c r="AM153" s="5"/>
      <c r="AN153" s="5"/>
      <c r="AO153" s="5"/>
      <c r="AP153" s="5"/>
      <c r="AQ153" s="5"/>
      <c r="AR153" s="5"/>
      <c r="AS153" s="5"/>
      <c r="AT153" s="5"/>
    </row>
    <row r="154" spans="1:46">
      <c r="A154" s="5"/>
      <c r="B154" s="844" t="s">
        <v>290</v>
      </c>
      <c r="C154" s="844"/>
      <c r="D154" s="844"/>
      <c r="E154" s="844"/>
      <c r="F154" s="844"/>
      <c r="G154" s="844"/>
      <c r="H154" s="246">
        <f>Données!G53</f>
        <v>18</v>
      </c>
      <c r="I154" s="246" t="s">
        <v>174</v>
      </c>
      <c r="J154" s="245">
        <f t="shared" ref="J154:K157" si="8">$J$149-H154</f>
        <v>4</v>
      </c>
      <c r="K154" s="245" t="e">
        <f t="shared" si="8"/>
        <v>#VALUE!</v>
      </c>
      <c r="L154" s="250"/>
      <c r="M154" s="5"/>
      <c r="N154" s="5"/>
      <c r="O154" s="5"/>
      <c r="P154" s="5"/>
      <c r="Q154" s="5"/>
      <c r="R154" s="5"/>
      <c r="S154" s="5"/>
      <c r="T154" s="5"/>
      <c r="U154" s="5"/>
      <c r="V154" s="5"/>
      <c r="W154" s="5"/>
      <c r="X154" s="5"/>
      <c r="Y154" s="5"/>
      <c r="Z154" s="5"/>
      <c r="AA154" s="5"/>
      <c r="AJ154" s="5"/>
      <c r="AK154" s="5"/>
      <c r="AL154" s="5"/>
      <c r="AM154" s="5"/>
      <c r="AN154" s="5"/>
      <c r="AO154" s="5"/>
      <c r="AP154" s="5"/>
      <c r="AQ154" s="5"/>
      <c r="AR154" s="5"/>
      <c r="AS154" s="5"/>
      <c r="AT154" s="5"/>
    </row>
    <row r="155" spans="1:46">
      <c r="A155" s="5"/>
      <c r="B155" s="818" t="s">
        <v>241</v>
      </c>
      <c r="C155" s="818"/>
      <c r="D155" s="818"/>
      <c r="E155" s="818"/>
      <c r="F155" s="818"/>
      <c r="G155" s="818"/>
      <c r="H155" s="245">
        <f>Données!E28</f>
        <v>20</v>
      </c>
      <c r="I155" s="245">
        <f>Données!F28</f>
        <v>24</v>
      </c>
      <c r="J155" s="245">
        <f>$J$149-H155</f>
        <v>2</v>
      </c>
      <c r="K155" s="245">
        <f t="shared" si="8"/>
        <v>-2</v>
      </c>
      <c r="L155" s="250"/>
      <c r="M155" s="5"/>
      <c r="N155" s="5"/>
      <c r="O155" s="5"/>
      <c r="P155" s="5"/>
      <c r="Q155" s="5"/>
      <c r="R155" s="5"/>
      <c r="S155" s="5"/>
      <c r="T155" s="5"/>
      <c r="U155" s="5"/>
      <c r="V155" s="5"/>
      <c r="W155" s="5"/>
      <c r="X155" s="5"/>
      <c r="Y155" s="5"/>
      <c r="Z155" s="5"/>
      <c r="AA155" s="5"/>
      <c r="AJ155" s="5"/>
      <c r="AK155" s="5"/>
      <c r="AL155" s="5"/>
      <c r="AM155" s="5"/>
      <c r="AN155" s="5"/>
      <c r="AO155" s="5"/>
      <c r="AP155" s="5"/>
      <c r="AQ155" s="5"/>
      <c r="AR155" s="5"/>
      <c r="AS155" s="5"/>
      <c r="AT155" s="5"/>
    </row>
    <row r="156" spans="1:46">
      <c r="A156" s="5"/>
      <c r="B156" s="971" t="s">
        <v>236</v>
      </c>
      <c r="C156" s="971"/>
      <c r="D156" s="971"/>
      <c r="E156" s="971"/>
      <c r="F156" s="971"/>
      <c r="G156" s="971"/>
      <c r="H156" s="245">
        <f>Données!E25</f>
        <v>20</v>
      </c>
      <c r="I156" s="245">
        <f>Données!F25</f>
        <v>26</v>
      </c>
      <c r="J156" s="245">
        <f>$J$149-H156</f>
        <v>2</v>
      </c>
      <c r="K156" s="245">
        <f t="shared" si="8"/>
        <v>-4</v>
      </c>
      <c r="L156" s="250"/>
      <c r="M156" s="5"/>
      <c r="N156" s="5"/>
      <c r="O156" s="5"/>
      <c r="P156" s="5"/>
      <c r="Q156" s="5"/>
      <c r="R156" s="5"/>
      <c r="S156" s="5"/>
      <c r="T156" s="5"/>
      <c r="U156" s="5"/>
      <c r="V156" s="5"/>
      <c r="W156" s="5"/>
      <c r="X156" s="5"/>
      <c r="Y156" s="5"/>
      <c r="Z156" s="5"/>
      <c r="AA156" s="5"/>
      <c r="AJ156" s="5"/>
      <c r="AK156" s="5"/>
      <c r="AL156" s="5"/>
      <c r="AM156" s="5"/>
      <c r="AN156" s="5"/>
      <c r="AO156" s="5"/>
      <c r="AP156" s="5"/>
      <c r="AQ156" s="5"/>
      <c r="AR156" s="5"/>
      <c r="AS156" s="5"/>
      <c r="AT156" s="5"/>
    </row>
    <row r="157" spans="1:46">
      <c r="A157" s="5"/>
      <c r="B157" s="997" t="s">
        <v>199</v>
      </c>
      <c r="C157" s="997"/>
      <c r="D157" s="997"/>
      <c r="E157" s="997"/>
      <c r="F157" s="997"/>
      <c r="G157" s="997"/>
      <c r="H157" s="247">
        <f>Données!G58</f>
        <v>10</v>
      </c>
      <c r="I157" s="247">
        <f>Données!F31</f>
        <v>20</v>
      </c>
      <c r="J157" s="247">
        <f t="shared" si="8"/>
        <v>12</v>
      </c>
      <c r="K157" s="247">
        <f t="shared" si="8"/>
        <v>2</v>
      </c>
      <c r="L157" s="250"/>
      <c r="M157" s="5"/>
      <c r="N157" s="5"/>
      <c r="O157" s="5"/>
      <c r="P157" s="5"/>
      <c r="Q157" s="5"/>
      <c r="R157" s="5"/>
      <c r="S157" s="5"/>
      <c r="T157" s="5"/>
      <c r="U157" s="5"/>
      <c r="V157" s="5"/>
      <c r="W157" s="5"/>
      <c r="X157" s="5"/>
      <c r="Y157" s="5"/>
      <c r="Z157" s="5"/>
      <c r="AA157" s="5"/>
      <c r="AJ157" s="5"/>
      <c r="AK157" s="5"/>
      <c r="AL157" s="5"/>
      <c r="AM157" s="5"/>
      <c r="AN157" s="5"/>
      <c r="AO157" s="5"/>
      <c r="AP157" s="5"/>
      <c r="AQ157" s="5"/>
      <c r="AR157" s="5"/>
      <c r="AS157" s="5"/>
      <c r="AT157" s="5"/>
    </row>
    <row r="158" spans="1:46">
      <c r="A158" s="5"/>
      <c r="B158" s="862" t="s">
        <v>425</v>
      </c>
      <c r="C158" s="862"/>
      <c r="D158" s="862"/>
      <c r="E158" s="862"/>
      <c r="F158" s="862"/>
      <c r="G158" s="862"/>
      <c r="H158" s="247">
        <f>Données!E36</f>
        <v>18</v>
      </c>
      <c r="I158" s="245"/>
      <c r="J158" s="247">
        <f>$J$149-H158</f>
        <v>4</v>
      </c>
      <c r="K158" s="247"/>
      <c r="L158" s="250"/>
      <c r="M158" s="5"/>
      <c r="N158" s="5"/>
      <c r="O158" s="5"/>
      <c r="P158" s="5"/>
      <c r="Q158" s="5"/>
      <c r="R158" s="5"/>
      <c r="S158" s="5"/>
      <c r="T158" s="5"/>
      <c r="U158" s="5"/>
      <c r="V158" s="5"/>
      <c r="W158" s="5"/>
      <c r="X158" s="5"/>
      <c r="Y158" s="5"/>
      <c r="Z158" s="5"/>
      <c r="AA158" s="5"/>
      <c r="AJ158" s="5"/>
      <c r="AK158" s="5"/>
      <c r="AL158" s="5"/>
      <c r="AM158" s="5"/>
      <c r="AN158" s="5"/>
      <c r="AO158" s="5"/>
      <c r="AP158" s="5"/>
      <c r="AQ158" s="5"/>
      <c r="AR158" s="5"/>
      <c r="AS158" s="5"/>
      <c r="AT158" s="5"/>
    </row>
    <row r="159" spans="1:46">
      <c r="A159" s="5"/>
      <c r="B159" s="993"/>
      <c r="C159" s="993"/>
      <c r="D159" s="993"/>
      <c r="E159" s="993"/>
      <c r="F159" s="993"/>
      <c r="G159" s="993"/>
      <c r="H159" s="993"/>
      <c r="I159" s="993"/>
      <c r="J159" s="993"/>
      <c r="K159" s="249"/>
      <c r="L159" s="251" t="s">
        <v>263</v>
      </c>
      <c r="M159" s="5"/>
      <c r="N159" s="5"/>
      <c r="O159" s="5"/>
      <c r="P159" s="5"/>
      <c r="Q159" s="5"/>
      <c r="R159" s="5"/>
      <c r="S159" s="5"/>
      <c r="T159" s="5"/>
      <c r="U159" s="5"/>
      <c r="V159" s="5"/>
      <c r="W159" s="5"/>
      <c r="X159" s="5"/>
      <c r="Y159" s="5"/>
      <c r="Z159" s="5"/>
      <c r="AA159" s="5"/>
      <c r="AJ159" s="5"/>
      <c r="AK159" s="5"/>
      <c r="AL159" s="5"/>
      <c r="AM159" s="5"/>
      <c r="AN159" s="5"/>
      <c r="AO159" s="5"/>
      <c r="AP159" s="5"/>
      <c r="AQ159" s="5"/>
      <c r="AR159" s="5"/>
      <c r="AS159" s="5"/>
      <c r="AT159" s="5"/>
    </row>
    <row r="160" spans="1:46" ht="18.75">
      <c r="A160" s="5"/>
      <c r="B160" s="987"/>
      <c r="C160" s="987"/>
      <c r="D160" s="987"/>
      <c r="E160" s="987"/>
      <c r="F160" s="987"/>
      <c r="G160" s="987"/>
      <c r="H160" s="987"/>
      <c r="I160" s="987"/>
      <c r="J160" s="987"/>
      <c r="K160" s="271">
        <f>K151</f>
        <v>1401.0483519837869</v>
      </c>
      <c r="L160" s="253" t="s">
        <v>263</v>
      </c>
      <c r="M160" s="5"/>
      <c r="N160" s="5"/>
      <c r="O160" s="5"/>
      <c r="P160" s="5"/>
      <c r="Q160" s="5"/>
      <c r="R160" s="5"/>
      <c r="S160" s="5"/>
      <c r="T160" s="5"/>
      <c r="U160" s="5"/>
      <c r="V160" s="5"/>
      <c r="W160" s="5"/>
      <c r="X160" s="5"/>
      <c r="Y160" s="5"/>
      <c r="Z160" s="5"/>
      <c r="AA160" s="5"/>
    </row>
    <row r="161" spans="1:27">
      <c r="A161" s="5"/>
      <c r="B161" s="5"/>
      <c r="C161" s="5"/>
      <c r="D161" s="5"/>
      <c r="E161" s="5"/>
      <c r="F161" s="5"/>
      <c r="G161" s="5"/>
      <c r="H161" s="5"/>
      <c r="I161" s="5"/>
      <c r="J161" s="5"/>
      <c r="K161" s="5"/>
      <c r="L161" s="250"/>
      <c r="M161" s="5"/>
      <c r="N161" s="5"/>
      <c r="O161" s="5"/>
      <c r="P161" s="5"/>
      <c r="Q161" s="5"/>
      <c r="R161" s="5"/>
      <c r="S161" s="5"/>
      <c r="T161" s="5"/>
      <c r="U161" s="5"/>
      <c r="V161" s="5"/>
      <c r="W161" s="5"/>
      <c r="X161" s="5"/>
      <c r="Y161" s="5"/>
      <c r="Z161" s="5"/>
      <c r="AA161" s="5"/>
    </row>
    <row r="162" spans="1:27">
      <c r="A162" s="5"/>
      <c r="B162" s="5"/>
      <c r="C162" s="5"/>
      <c r="D162" s="5"/>
      <c r="E162" s="5"/>
      <c r="F162" s="5"/>
      <c r="G162" s="5"/>
      <c r="H162" s="5"/>
      <c r="I162" s="5"/>
      <c r="J162" s="5"/>
      <c r="K162" s="5"/>
      <c r="L162" s="250"/>
      <c r="M162" s="5"/>
      <c r="N162" s="5"/>
      <c r="O162" s="5"/>
      <c r="P162" s="5"/>
      <c r="Q162" s="5"/>
      <c r="R162" s="5"/>
      <c r="S162" s="5"/>
      <c r="T162" s="5"/>
      <c r="U162" s="5"/>
      <c r="V162" s="5"/>
      <c r="W162" s="5"/>
      <c r="X162" s="5"/>
      <c r="Y162" s="5"/>
      <c r="Z162" s="5"/>
      <c r="AA162" s="5"/>
    </row>
    <row r="163" spans="1:27">
      <c r="A163" s="5"/>
      <c r="B163" s="5"/>
      <c r="C163" s="5"/>
      <c r="D163" s="5"/>
      <c r="E163" s="5"/>
      <c r="F163" s="5"/>
      <c r="G163" s="5"/>
      <c r="H163" s="5"/>
      <c r="I163" s="5"/>
      <c r="J163" s="5"/>
      <c r="K163" s="5"/>
      <c r="L163" s="250"/>
      <c r="M163" s="5"/>
      <c r="N163" s="5"/>
      <c r="O163" s="5"/>
      <c r="P163" s="5"/>
      <c r="Q163" s="5"/>
      <c r="R163" s="5"/>
      <c r="S163" s="5"/>
      <c r="T163" s="5"/>
      <c r="U163" s="5"/>
      <c r="V163" s="5"/>
      <c r="W163" s="5"/>
      <c r="X163" s="5"/>
      <c r="Y163" s="5"/>
      <c r="Z163" s="5"/>
      <c r="AA163" s="5"/>
    </row>
    <row r="164" spans="1:27">
      <c r="A164" s="5"/>
      <c r="B164" s="5"/>
      <c r="C164" s="5"/>
      <c r="D164" s="5"/>
      <c r="E164" s="5"/>
      <c r="F164" s="5"/>
      <c r="G164" s="5"/>
      <c r="H164" s="5"/>
      <c r="I164" s="5"/>
      <c r="J164" s="5"/>
      <c r="K164" s="5"/>
      <c r="L164" s="250"/>
      <c r="M164" s="5"/>
      <c r="N164" s="5"/>
      <c r="O164" s="5"/>
      <c r="P164" s="5"/>
      <c r="Q164" s="5"/>
      <c r="R164" s="5"/>
      <c r="S164" s="5"/>
      <c r="T164" s="5"/>
      <c r="U164" s="5"/>
      <c r="V164" s="5"/>
      <c r="W164" s="5"/>
      <c r="X164" s="5"/>
      <c r="Y164" s="5"/>
      <c r="Z164" s="5"/>
      <c r="AA164" s="5"/>
    </row>
    <row r="165" spans="1:27">
      <c r="A165" s="5"/>
      <c r="B165" s="5"/>
      <c r="C165" s="5"/>
      <c r="D165" s="5"/>
      <c r="E165" s="5"/>
      <c r="F165" s="5"/>
      <c r="G165" s="5"/>
      <c r="H165" s="5"/>
      <c r="I165" s="5"/>
      <c r="J165" s="5"/>
      <c r="K165" s="5"/>
      <c r="L165" s="250"/>
      <c r="M165" s="5"/>
      <c r="N165" s="5"/>
      <c r="O165" s="5"/>
      <c r="P165" s="5"/>
      <c r="Q165" s="5"/>
      <c r="R165" s="5"/>
      <c r="S165" s="5"/>
      <c r="T165" s="5"/>
      <c r="U165" s="5"/>
      <c r="V165" s="5"/>
      <c r="W165" s="5"/>
      <c r="X165" s="5"/>
      <c r="Y165" s="5"/>
      <c r="Z165" s="5"/>
      <c r="AA165" s="5"/>
    </row>
    <row r="166" spans="1:27">
      <c r="A166" s="5"/>
      <c r="B166" s="5"/>
      <c r="C166" s="5"/>
      <c r="D166" s="5"/>
      <c r="E166" s="5"/>
      <c r="F166" s="5"/>
      <c r="G166" s="5"/>
      <c r="H166" s="5"/>
      <c r="I166" s="5"/>
      <c r="J166" s="5"/>
      <c r="K166" s="5"/>
      <c r="L166" s="250"/>
      <c r="M166" s="5"/>
      <c r="N166" s="5"/>
      <c r="O166" s="5"/>
      <c r="P166" s="5"/>
      <c r="Q166" s="5"/>
      <c r="R166" s="5"/>
      <c r="S166" s="5"/>
      <c r="T166" s="5"/>
      <c r="U166" s="5"/>
      <c r="V166" s="5"/>
      <c r="W166" s="5"/>
      <c r="X166" s="5"/>
      <c r="Y166" s="5"/>
      <c r="AA166" s="5"/>
    </row>
    <row r="167" spans="1:27">
      <c r="A167" s="5"/>
      <c r="B167" s="5"/>
      <c r="C167" s="5"/>
      <c r="D167" s="5"/>
      <c r="E167" s="5"/>
      <c r="F167" s="5"/>
      <c r="G167" s="5"/>
      <c r="H167" s="5"/>
      <c r="I167" s="5"/>
      <c r="J167" s="5"/>
      <c r="K167" s="5"/>
      <c r="L167" s="250"/>
      <c r="M167" s="5"/>
      <c r="N167" s="5"/>
      <c r="O167" s="5"/>
      <c r="P167" s="5"/>
      <c r="Q167" s="5"/>
      <c r="R167" s="5"/>
      <c r="S167" s="5"/>
      <c r="T167" s="5"/>
      <c r="U167" s="5"/>
      <c r="V167" s="5"/>
      <c r="W167" s="5"/>
      <c r="X167" s="5"/>
      <c r="Y167" s="5"/>
    </row>
    <row r="168" spans="1:27">
      <c r="M168" s="5"/>
      <c r="N168" s="5"/>
      <c r="O168" s="5"/>
      <c r="P168" s="5"/>
      <c r="Q168" s="5"/>
      <c r="R168" s="5"/>
      <c r="S168" s="5"/>
      <c r="T168" s="5"/>
      <c r="U168" s="5"/>
      <c r="V168" s="5"/>
      <c r="W168" s="5"/>
      <c r="X168" s="5"/>
      <c r="Y168" s="5"/>
    </row>
    <row r="169" spans="1:27">
      <c r="M169" s="5"/>
      <c r="N169" s="5"/>
      <c r="O169" s="5"/>
      <c r="P169" s="5"/>
      <c r="Q169" s="5"/>
      <c r="R169" s="5"/>
      <c r="S169" s="5"/>
      <c r="T169" s="5"/>
      <c r="U169" s="5"/>
      <c r="V169" s="5"/>
      <c r="W169" s="5"/>
      <c r="X169" s="5"/>
      <c r="Y169" s="5"/>
    </row>
    <row r="170" spans="1:27">
      <c r="M170" s="5"/>
      <c r="N170" s="5"/>
      <c r="O170" s="5"/>
      <c r="P170" s="5"/>
      <c r="Q170" s="5"/>
      <c r="R170" s="5"/>
      <c r="S170" s="5"/>
      <c r="T170" s="5"/>
      <c r="U170" s="5"/>
      <c r="V170" s="5"/>
      <c r="W170" s="5"/>
      <c r="X170" s="5"/>
      <c r="Y170" s="5"/>
    </row>
    <row r="171" spans="1:27">
      <c r="M171" s="5"/>
      <c r="N171" s="5"/>
      <c r="O171" s="5"/>
      <c r="P171" s="5"/>
      <c r="Q171" s="5"/>
      <c r="R171" s="5"/>
      <c r="S171" s="5"/>
      <c r="T171" s="5"/>
      <c r="U171" s="5"/>
      <c r="V171" s="5"/>
      <c r="W171" s="5"/>
      <c r="X171" s="5"/>
      <c r="Y171" s="5"/>
    </row>
    <row r="172" spans="1:27">
      <c r="M172" s="5"/>
      <c r="N172" s="5"/>
      <c r="O172" s="5"/>
      <c r="P172" s="5"/>
      <c r="Q172" s="5"/>
      <c r="R172" s="5"/>
      <c r="S172" s="5"/>
      <c r="T172" s="5"/>
      <c r="U172" s="5"/>
      <c r="V172" s="5"/>
      <c r="W172" s="5"/>
      <c r="X172" s="5"/>
      <c r="Y172" s="5"/>
    </row>
  </sheetData>
  <mergeCells count="210">
    <mergeCell ref="AK123:AK135"/>
    <mergeCell ref="AY85:AY86"/>
    <mergeCell ref="AZ85:BC86"/>
    <mergeCell ref="AZ87:BC87"/>
    <mergeCell ref="BI87:BI99"/>
    <mergeCell ref="AZ88:BC88"/>
    <mergeCell ref="AZ89:BC89"/>
    <mergeCell ref="AZ90:BC90"/>
    <mergeCell ref="AZ92:BC92"/>
    <mergeCell ref="BD95:BF95"/>
    <mergeCell ref="AY97:BD97"/>
    <mergeCell ref="AY98:BD98"/>
    <mergeCell ref="AY101:BD101"/>
    <mergeCell ref="AY102:BG102"/>
    <mergeCell ref="AY103:BH103"/>
    <mergeCell ref="AY104:BD104"/>
    <mergeCell ref="AY105:BD105"/>
    <mergeCell ref="AY106:BD106"/>
    <mergeCell ref="AY107:BD107"/>
    <mergeCell ref="AY108:BD108"/>
    <mergeCell ref="AY109:BD109"/>
    <mergeCell ref="AY110:BG110"/>
    <mergeCell ref="AY111:BG111"/>
    <mergeCell ref="X65:X77"/>
    <mergeCell ref="M54:X54"/>
    <mergeCell ref="M55:X55"/>
    <mergeCell ref="M56:X56"/>
    <mergeCell ref="M57:X57"/>
    <mergeCell ref="M58:X58"/>
    <mergeCell ref="M59:X59"/>
    <mergeCell ref="AW76:BE76"/>
    <mergeCell ref="AW42:BE42"/>
    <mergeCell ref="AW43:BE43"/>
    <mergeCell ref="AA63:AD63"/>
    <mergeCell ref="AA64:AD64"/>
    <mergeCell ref="BG52:BG64"/>
    <mergeCell ref="AW33:BB33"/>
    <mergeCell ref="AW34:BE34"/>
    <mergeCell ref="AW35:BF35"/>
    <mergeCell ref="AW36:BB36"/>
    <mergeCell ref="AW37:BB37"/>
    <mergeCell ref="AW38:BB38"/>
    <mergeCell ref="AW39:BB39"/>
    <mergeCell ref="AW40:BB40"/>
    <mergeCell ref="AW41:BB41"/>
    <mergeCell ref="AW17:AW18"/>
    <mergeCell ref="AX17:BA18"/>
    <mergeCell ref="AX19:BA19"/>
    <mergeCell ref="BG19:BG31"/>
    <mergeCell ref="AX20:BA20"/>
    <mergeCell ref="AX21:BA21"/>
    <mergeCell ref="AX22:BA22"/>
    <mergeCell ref="AX24:BA24"/>
    <mergeCell ref="BB27:BD27"/>
    <mergeCell ref="AW29:BB29"/>
    <mergeCell ref="AW30:BB30"/>
    <mergeCell ref="Z11:AE11"/>
    <mergeCell ref="C117:F117"/>
    <mergeCell ref="C90:F90"/>
    <mergeCell ref="B48:G48"/>
    <mergeCell ref="B49:G49"/>
    <mergeCell ref="B98:K98"/>
    <mergeCell ref="B100:G100"/>
    <mergeCell ref="B101:G101"/>
    <mergeCell ref="C15:F18"/>
    <mergeCell ref="C19:F19"/>
    <mergeCell ref="B44:J44"/>
    <mergeCell ref="C30:F30"/>
    <mergeCell ref="H31:J31"/>
    <mergeCell ref="B33:B34"/>
    <mergeCell ref="C33:F34"/>
    <mergeCell ref="C35:F35"/>
    <mergeCell ref="G39:I39"/>
    <mergeCell ref="B41:G41"/>
    <mergeCell ref="B62:B63"/>
    <mergeCell ref="C62:F63"/>
    <mergeCell ref="C109:F109"/>
    <mergeCell ref="B113:I113"/>
    <mergeCell ref="B114:B115"/>
    <mergeCell ref="C114:F115"/>
    <mergeCell ref="C58:F58"/>
    <mergeCell ref="C110:F110"/>
    <mergeCell ref="B50:J50"/>
    <mergeCell ref="B102:J102"/>
    <mergeCell ref="B103:J103"/>
    <mergeCell ref="B51:J51"/>
    <mergeCell ref="B129:J129"/>
    <mergeCell ref="B120:J120"/>
    <mergeCell ref="B121:B122"/>
    <mergeCell ref="C121:F122"/>
    <mergeCell ref="C123:F123"/>
    <mergeCell ref="C87:F87"/>
    <mergeCell ref="C88:F88"/>
    <mergeCell ref="B54:J54"/>
    <mergeCell ref="B55:B56"/>
    <mergeCell ref="C55:F56"/>
    <mergeCell ref="C65:F65"/>
    <mergeCell ref="C57:F57"/>
    <mergeCell ref="B61:I61"/>
    <mergeCell ref="C69:F70"/>
    <mergeCell ref="C71:F71"/>
    <mergeCell ref="C82:F82"/>
    <mergeCell ref="B85:B86"/>
    <mergeCell ref="C85:F86"/>
    <mergeCell ref="C143:F143"/>
    <mergeCell ref="B148:G148"/>
    <mergeCell ref="C140:F140"/>
    <mergeCell ref="C141:F141"/>
    <mergeCell ref="C144:F144"/>
    <mergeCell ref="B157:G157"/>
    <mergeCell ref="B153:G153"/>
    <mergeCell ref="B99:G99"/>
    <mergeCell ref="B158:G158"/>
    <mergeCell ref="B154:G154"/>
    <mergeCell ref="B152:K152"/>
    <mergeCell ref="B155:G155"/>
    <mergeCell ref="B156:G156"/>
    <mergeCell ref="C77:F77"/>
    <mergeCell ref="B78:J78"/>
    <mergeCell ref="B79:J79"/>
    <mergeCell ref="B80:B81"/>
    <mergeCell ref="H83:J83"/>
    <mergeCell ref="C89:F89"/>
    <mergeCell ref="G92:I92"/>
    <mergeCell ref="H134:J134"/>
    <mergeCell ref="C111:F111"/>
    <mergeCell ref="C112:F112"/>
    <mergeCell ref="B118:I118"/>
    <mergeCell ref="B119:G119"/>
    <mergeCell ref="H119:J119"/>
    <mergeCell ref="B106:J106"/>
    <mergeCell ref="B107:B108"/>
    <mergeCell ref="C107:F108"/>
    <mergeCell ref="C116:F116"/>
    <mergeCell ref="B159:J159"/>
    <mergeCell ref="B160:J160"/>
    <mergeCell ref="C138:F138"/>
    <mergeCell ref="C139:F139"/>
    <mergeCell ref="C124:F124"/>
    <mergeCell ref="B150:G150"/>
    <mergeCell ref="B151:J151"/>
    <mergeCell ref="B149:G149"/>
    <mergeCell ref="B94:G94"/>
    <mergeCell ref="B95:G95"/>
    <mergeCell ref="B96:G96"/>
    <mergeCell ref="B97:J97"/>
    <mergeCell ref="B125:I125"/>
    <mergeCell ref="B126:B127"/>
    <mergeCell ref="C126:F127"/>
    <mergeCell ref="C128:F128"/>
    <mergeCell ref="B136:B137"/>
    <mergeCell ref="C136:F137"/>
    <mergeCell ref="C142:F142"/>
    <mergeCell ref="G146:I146"/>
    <mergeCell ref="B130:J130"/>
    <mergeCell ref="B131:B132"/>
    <mergeCell ref="C131:F132"/>
    <mergeCell ref="C133:F133"/>
    <mergeCell ref="AU35:AU40"/>
    <mergeCell ref="AU29:AU32"/>
    <mergeCell ref="AU24:AU27"/>
    <mergeCell ref="AU1:AU10"/>
    <mergeCell ref="AU12:AU22"/>
    <mergeCell ref="Z2:AH2"/>
    <mergeCell ref="Z3:Z4"/>
    <mergeCell ref="C80:F81"/>
    <mergeCell ref="C73:F73"/>
    <mergeCell ref="B74:I74"/>
    <mergeCell ref="B75:B76"/>
    <mergeCell ref="C75:F76"/>
    <mergeCell ref="H67:J67"/>
    <mergeCell ref="B68:J68"/>
    <mergeCell ref="B69:B70"/>
    <mergeCell ref="C59:F59"/>
    <mergeCell ref="C60:F60"/>
    <mergeCell ref="B66:I66"/>
    <mergeCell ref="B67:G67"/>
    <mergeCell ref="C64:F64"/>
    <mergeCell ref="B45:K45"/>
    <mergeCell ref="B46:G46"/>
    <mergeCell ref="B47:G47"/>
    <mergeCell ref="B15:B18"/>
    <mergeCell ref="B42:G42"/>
    <mergeCell ref="B43:G43"/>
    <mergeCell ref="C20:F20"/>
    <mergeCell ref="C36:F36"/>
    <mergeCell ref="C37:F37"/>
    <mergeCell ref="C6:F6"/>
    <mergeCell ref="C21:F21"/>
    <mergeCell ref="B22:I22"/>
    <mergeCell ref="B23:B24"/>
    <mergeCell ref="C23:F24"/>
    <mergeCell ref="C25:F25"/>
    <mergeCell ref="B26:J26"/>
    <mergeCell ref="B27:J27"/>
    <mergeCell ref="B28:B29"/>
    <mergeCell ref="C28:F29"/>
    <mergeCell ref="B12:I12"/>
    <mergeCell ref="B13:G13"/>
    <mergeCell ref="H13:J13"/>
    <mergeCell ref="B14:J14"/>
    <mergeCell ref="B2:J2"/>
    <mergeCell ref="B3:B4"/>
    <mergeCell ref="C3:F4"/>
    <mergeCell ref="C5:F5"/>
    <mergeCell ref="C7:F7"/>
    <mergeCell ref="B8:I8"/>
    <mergeCell ref="B9:B10"/>
    <mergeCell ref="C9:F10"/>
    <mergeCell ref="C11:F11"/>
  </mergeCells>
  <pageMargins left="0.7" right="0.7" top="0.75" bottom="0.75" header="0.3" footer="0.3"/>
  <pageSetup paperSize="9"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4182DE-71F3-CF43-8F08-F8D8B9621C08}">
  <sheetPr codeName="Feuil9"/>
  <dimension ref="A1:AD124"/>
  <sheetViews>
    <sheetView topLeftCell="A62" zoomScale="34" zoomScaleNormal="55" workbookViewId="0">
      <selection activeCell="AC104" sqref="AC104"/>
    </sheetView>
  </sheetViews>
  <sheetFormatPr baseColWidth="10" defaultColWidth="11" defaultRowHeight="15.75"/>
  <sheetData>
    <row r="1" spans="1:30" ht="16.5" thickBot="1">
      <c r="A1" s="5"/>
      <c r="B1" s="5"/>
      <c r="C1" s="5"/>
      <c r="D1" s="5"/>
      <c r="E1" s="5"/>
      <c r="F1" s="5"/>
      <c r="G1" s="5"/>
      <c r="H1" s="5"/>
      <c r="I1" s="5"/>
      <c r="J1" s="5"/>
      <c r="K1" s="5"/>
      <c r="L1" s="5"/>
      <c r="M1" s="5"/>
      <c r="N1" s="5"/>
    </row>
    <row r="2" spans="1:30" ht="16.5" thickBot="1">
      <c r="A2" s="5"/>
      <c r="B2" s="199" t="s">
        <v>427</v>
      </c>
      <c r="C2" s="1001" t="s">
        <v>219</v>
      </c>
      <c r="D2" s="1001"/>
      <c r="E2" s="1001"/>
      <c r="F2" s="1001"/>
      <c r="G2" s="1001"/>
      <c r="H2" s="1001"/>
      <c r="I2" s="1001"/>
      <c r="J2" s="1001"/>
      <c r="K2" s="1002"/>
      <c r="L2" s="815"/>
      <c r="M2" s="5"/>
      <c r="N2" s="5"/>
      <c r="Q2" s="5"/>
      <c r="R2" s="5"/>
      <c r="S2" s="5"/>
      <c r="T2" s="5"/>
      <c r="U2" s="5"/>
      <c r="V2" s="5"/>
      <c r="W2" s="5"/>
      <c r="X2" s="5"/>
      <c r="Y2" s="5"/>
      <c r="Z2" s="5"/>
      <c r="AA2" s="5"/>
      <c r="AB2" s="5"/>
      <c r="AC2" s="5"/>
      <c r="AD2" s="5"/>
    </row>
    <row r="3" spans="1:30" ht="18.75" thickBot="1">
      <c r="A3" s="1148" t="s">
        <v>428</v>
      </c>
      <c r="B3" s="1187"/>
      <c r="C3" s="1189" t="s">
        <v>220</v>
      </c>
      <c r="D3" s="1189" t="s">
        <v>221</v>
      </c>
      <c r="E3" s="1189"/>
      <c r="F3" s="1189"/>
      <c r="G3" s="1189"/>
      <c r="H3" s="108" t="s">
        <v>222</v>
      </c>
      <c r="I3" s="108" t="s">
        <v>223</v>
      </c>
      <c r="J3" s="108" t="s">
        <v>224</v>
      </c>
      <c r="K3" s="109" t="s">
        <v>225</v>
      </c>
      <c r="L3" s="1188"/>
      <c r="M3" s="5"/>
      <c r="N3" s="5"/>
      <c r="Q3" s="5"/>
      <c r="R3" s="199" t="s">
        <v>429</v>
      </c>
      <c r="S3" s="380" t="s">
        <v>219</v>
      </c>
      <c r="T3" s="380"/>
      <c r="U3" s="380"/>
      <c r="V3" s="380"/>
      <c r="W3" s="380"/>
      <c r="X3" s="380"/>
      <c r="Y3" s="380"/>
      <c r="Z3" s="380"/>
      <c r="AA3" s="378"/>
      <c r="AB3" s="220"/>
      <c r="AC3" s="5"/>
      <c r="AD3" s="5"/>
    </row>
    <row r="4" spans="1:30" ht="19.5">
      <c r="A4" s="5"/>
      <c r="B4" s="5"/>
      <c r="C4" s="1189"/>
      <c r="D4" s="1189"/>
      <c r="E4" s="1189"/>
      <c r="F4" s="1189"/>
      <c r="G4" s="1189"/>
      <c r="H4" s="2" t="s">
        <v>226</v>
      </c>
      <c r="I4" s="89" t="s">
        <v>227</v>
      </c>
      <c r="J4" s="89" t="s">
        <v>228</v>
      </c>
      <c r="K4" s="92" t="s">
        <v>229</v>
      </c>
      <c r="L4" s="1188"/>
      <c r="M4" s="5"/>
      <c r="N4" s="5"/>
      <c r="Q4" s="5"/>
      <c r="R4" s="5" t="s">
        <v>292</v>
      </c>
      <c r="S4" s="411" t="s">
        <v>220</v>
      </c>
      <c r="T4" s="411" t="s">
        <v>221</v>
      </c>
      <c r="U4" s="411"/>
      <c r="V4" s="411"/>
      <c r="W4" s="411"/>
      <c r="X4" s="108" t="s">
        <v>222</v>
      </c>
      <c r="Y4" s="108" t="s">
        <v>223</v>
      </c>
      <c r="Z4" s="108" t="s">
        <v>224</v>
      </c>
      <c r="AA4" s="109" t="s">
        <v>225</v>
      </c>
      <c r="AB4" s="398"/>
      <c r="AC4" s="5"/>
      <c r="AD4" s="5"/>
    </row>
    <row r="5" spans="1:30" ht="18.75">
      <c r="A5" s="5"/>
      <c r="B5" s="5"/>
      <c r="C5" s="110"/>
      <c r="D5" s="1153" t="s">
        <v>391</v>
      </c>
      <c r="E5" s="1190"/>
      <c r="F5" s="1190"/>
      <c r="G5" s="1191"/>
      <c r="H5" s="110"/>
      <c r="I5" s="110"/>
      <c r="J5" s="110"/>
      <c r="K5" s="111">
        <v>0</v>
      </c>
      <c r="L5" s="1188"/>
      <c r="M5" s="5"/>
      <c r="N5" s="5"/>
      <c r="Q5" s="5"/>
      <c r="R5" s="5"/>
      <c r="S5" s="411"/>
      <c r="T5" s="411"/>
      <c r="U5" s="411"/>
      <c r="V5" s="411"/>
      <c r="W5" s="411"/>
      <c r="X5" s="2" t="s">
        <v>226</v>
      </c>
      <c r="Y5" s="89" t="s">
        <v>227</v>
      </c>
      <c r="Z5" s="89" t="s">
        <v>228</v>
      </c>
      <c r="AA5" s="92" t="s">
        <v>229</v>
      </c>
      <c r="AB5" s="398"/>
      <c r="AC5" s="5"/>
      <c r="AD5" s="5"/>
    </row>
    <row r="6" spans="1:30" ht="18.75">
      <c r="A6" s="5"/>
      <c r="B6" s="5"/>
      <c r="C6" s="1192" t="s">
        <v>430</v>
      </c>
      <c r="D6" s="1193"/>
      <c r="E6" s="1193"/>
      <c r="F6" s="1193"/>
      <c r="G6" s="1193"/>
      <c r="H6" s="1193"/>
      <c r="I6" s="1193"/>
      <c r="J6" s="1194"/>
      <c r="K6" s="105">
        <f>K5</f>
        <v>0</v>
      </c>
      <c r="L6" s="1188"/>
      <c r="M6" s="5"/>
      <c r="N6" s="5"/>
      <c r="Q6" s="5"/>
      <c r="R6" s="5"/>
      <c r="S6" s="110"/>
      <c r="T6" s="402" t="s">
        <v>391</v>
      </c>
      <c r="U6" s="403"/>
      <c r="V6" s="403"/>
      <c r="W6" s="404"/>
      <c r="X6" s="110"/>
      <c r="Y6" s="110"/>
      <c r="Z6" s="110"/>
      <c r="AA6" s="111">
        <v>0</v>
      </c>
      <c r="AB6" s="398"/>
      <c r="AC6" s="5"/>
      <c r="AD6" s="5"/>
    </row>
    <row r="7" spans="1:30" ht="18.75">
      <c r="A7" s="5"/>
      <c r="B7" s="5"/>
      <c r="C7" s="1130" t="s">
        <v>220</v>
      </c>
      <c r="D7" s="1132" t="s">
        <v>302</v>
      </c>
      <c r="E7" s="1133"/>
      <c r="F7" s="1133"/>
      <c r="G7" s="1134"/>
      <c r="H7" s="114" t="s">
        <v>303</v>
      </c>
      <c r="I7" s="114" t="s">
        <v>304</v>
      </c>
      <c r="J7" s="114" t="s">
        <v>224</v>
      </c>
      <c r="K7" s="115" t="s">
        <v>305</v>
      </c>
      <c r="L7" s="1188"/>
      <c r="M7" s="5"/>
      <c r="N7" s="5"/>
      <c r="Q7" s="5"/>
      <c r="R7" s="5"/>
      <c r="S7" s="713" t="s">
        <v>430</v>
      </c>
      <c r="T7" s="407"/>
      <c r="U7" s="407"/>
      <c r="V7" s="407"/>
      <c r="W7" s="407"/>
      <c r="X7" s="407"/>
      <c r="Y7" s="407"/>
      <c r="Z7" s="406"/>
      <c r="AA7" s="105">
        <f>AA6</f>
        <v>0</v>
      </c>
      <c r="AB7" s="398"/>
      <c r="AC7" s="5"/>
      <c r="AD7" s="5"/>
    </row>
    <row r="8" spans="1:30" ht="18">
      <c r="A8" s="5"/>
      <c r="B8" s="5"/>
      <c r="C8" s="1195"/>
      <c r="D8" s="1196"/>
      <c r="E8" s="1197"/>
      <c r="F8" s="1197"/>
      <c r="G8" s="1198"/>
      <c r="H8" s="107" t="s">
        <v>307</v>
      </c>
      <c r="I8" s="107" t="s">
        <v>308</v>
      </c>
      <c r="J8" s="107" t="s">
        <v>228</v>
      </c>
      <c r="K8" s="85" t="s">
        <v>229</v>
      </c>
      <c r="L8" s="1188"/>
      <c r="M8" s="5"/>
      <c r="N8" s="5"/>
      <c r="Q8" s="5"/>
      <c r="R8" s="5"/>
      <c r="S8" s="368" t="s">
        <v>220</v>
      </c>
      <c r="T8" s="370" t="s">
        <v>302</v>
      </c>
      <c r="U8" s="371"/>
      <c r="V8" s="371"/>
      <c r="W8" s="372"/>
      <c r="X8" s="114" t="s">
        <v>303</v>
      </c>
      <c r="Y8" s="114" t="s">
        <v>304</v>
      </c>
      <c r="Z8" s="114" t="s">
        <v>224</v>
      </c>
      <c r="AA8" s="115" t="s">
        <v>305</v>
      </c>
      <c r="AB8" s="398"/>
      <c r="AC8" s="5"/>
      <c r="AD8" s="5"/>
    </row>
    <row r="9" spans="1:30">
      <c r="A9" s="5"/>
      <c r="B9" s="5"/>
      <c r="C9" s="57"/>
      <c r="D9" s="1123" t="s">
        <v>174</v>
      </c>
      <c r="E9" s="1124"/>
      <c r="F9" s="1124"/>
      <c r="G9" s="1125"/>
      <c r="H9" s="107"/>
      <c r="I9" s="116"/>
      <c r="J9" s="116"/>
      <c r="K9" s="117"/>
      <c r="L9" s="1188"/>
      <c r="M9" s="5"/>
      <c r="N9" s="5"/>
      <c r="Q9" s="5"/>
      <c r="R9" s="5"/>
      <c r="S9" s="460"/>
      <c r="T9" s="409"/>
      <c r="U9" s="410"/>
      <c r="V9" s="410"/>
      <c r="W9" s="480"/>
      <c r="X9" s="107" t="s">
        <v>307</v>
      </c>
      <c r="Y9" s="107" t="s">
        <v>308</v>
      </c>
      <c r="Z9" s="107" t="s">
        <v>228</v>
      </c>
      <c r="AA9" s="85" t="s">
        <v>229</v>
      </c>
      <c r="AB9" s="398"/>
      <c r="AC9" s="5"/>
      <c r="AD9" s="5"/>
    </row>
    <row r="10" spans="1:30" ht="18.75">
      <c r="A10" s="5"/>
      <c r="B10" s="5"/>
      <c r="C10" s="1029" t="s">
        <v>282</v>
      </c>
      <c r="D10" s="1126"/>
      <c r="E10" s="1126"/>
      <c r="F10" s="1126"/>
      <c r="G10" s="1126"/>
      <c r="H10" s="1126"/>
      <c r="I10" s="1127"/>
      <c r="J10" s="1128"/>
      <c r="K10" s="95">
        <f>0</f>
        <v>0</v>
      </c>
      <c r="L10" s="831"/>
      <c r="M10" s="5"/>
      <c r="N10" s="5"/>
      <c r="Q10" s="5"/>
      <c r="R10" s="5"/>
      <c r="S10" s="57"/>
      <c r="T10" s="85" t="s">
        <v>174</v>
      </c>
      <c r="U10" s="222"/>
      <c r="V10" s="222"/>
      <c r="W10" s="383"/>
      <c r="X10" s="107"/>
      <c r="Y10" s="116"/>
      <c r="Z10" s="116"/>
      <c r="AA10" s="117"/>
      <c r="AB10" s="398"/>
      <c r="AC10" s="5"/>
      <c r="AD10" s="5"/>
    </row>
    <row r="11" spans="1:30" ht="18.75">
      <c r="A11" s="5"/>
      <c r="B11" s="5"/>
      <c r="C11" s="1199" t="s">
        <v>244</v>
      </c>
      <c r="D11" s="1127"/>
      <c r="E11" s="1127"/>
      <c r="F11" s="1127"/>
      <c r="G11" s="1127"/>
      <c r="H11" s="1127"/>
      <c r="I11" s="1200" t="s">
        <v>245</v>
      </c>
      <c r="J11" s="1200"/>
      <c r="K11" s="1201"/>
      <c r="L11" s="210">
        <f>K6+K10</f>
        <v>0</v>
      </c>
      <c r="M11" s="1" t="s">
        <v>431</v>
      </c>
      <c r="N11" s="5"/>
      <c r="Q11" s="5"/>
      <c r="R11" s="5"/>
      <c r="S11" s="384" t="s">
        <v>282</v>
      </c>
      <c r="T11" s="385"/>
      <c r="U11" s="385"/>
      <c r="V11" s="385"/>
      <c r="W11" s="385"/>
      <c r="X11" s="385"/>
      <c r="Y11" s="386"/>
      <c r="Z11" s="387"/>
      <c r="AA11" s="95">
        <f>0</f>
        <v>0</v>
      </c>
      <c r="AB11" s="399"/>
      <c r="AC11" s="5"/>
      <c r="AD11" s="5"/>
    </row>
    <row r="12" spans="1:30" ht="18">
      <c r="A12" s="5"/>
      <c r="B12" s="5"/>
      <c r="C12" s="1001" t="s">
        <v>247</v>
      </c>
      <c r="D12" s="1001"/>
      <c r="E12" s="1001"/>
      <c r="F12" s="1001"/>
      <c r="G12" s="1001"/>
      <c r="H12" s="1001"/>
      <c r="I12" s="1001"/>
      <c r="J12" s="1001"/>
      <c r="K12" s="1202"/>
      <c r="L12" s="1203"/>
      <c r="M12" s="5"/>
      <c r="N12" s="5"/>
      <c r="Q12" s="5"/>
      <c r="R12" s="5"/>
      <c r="S12" s="476" t="s">
        <v>244</v>
      </c>
      <c r="T12" s="386"/>
      <c r="U12" s="386"/>
      <c r="V12" s="386"/>
      <c r="W12" s="386"/>
      <c r="X12" s="386"/>
      <c r="Y12" s="223" t="s">
        <v>245</v>
      </c>
      <c r="Z12" s="223"/>
      <c r="AA12" s="477"/>
      <c r="AB12" s="507">
        <f>AA7+AA11</f>
        <v>0</v>
      </c>
      <c r="AC12" s="1" t="s">
        <v>431</v>
      </c>
      <c r="AD12" s="5"/>
    </row>
    <row r="13" spans="1:30" ht="18">
      <c r="A13" s="5"/>
      <c r="B13" s="5"/>
      <c r="C13" s="1189" t="s">
        <v>220</v>
      </c>
      <c r="D13" s="1189" t="s">
        <v>249</v>
      </c>
      <c r="E13" s="1189"/>
      <c r="F13" s="1189"/>
      <c r="G13" s="1189"/>
      <c r="H13" s="108" t="s">
        <v>222</v>
      </c>
      <c r="I13" s="108" t="s">
        <v>223</v>
      </c>
      <c r="J13" s="313" t="s">
        <v>250</v>
      </c>
      <c r="K13" s="109" t="s">
        <v>251</v>
      </c>
      <c r="L13" s="1204"/>
      <c r="M13" s="5"/>
      <c r="N13" s="5"/>
      <c r="Q13" s="5"/>
      <c r="R13" s="5"/>
      <c r="S13" s="380" t="s">
        <v>247</v>
      </c>
      <c r="T13" s="380"/>
      <c r="U13" s="380"/>
      <c r="V13" s="380"/>
      <c r="W13" s="380"/>
      <c r="X13" s="380"/>
      <c r="Y13" s="380"/>
      <c r="Z13" s="380"/>
      <c r="AA13" s="478"/>
      <c r="AB13" s="479"/>
      <c r="AC13" s="5"/>
      <c r="AD13" s="5"/>
    </row>
    <row r="14" spans="1:30" ht="19.5">
      <c r="A14" s="5"/>
      <c r="B14" s="5"/>
      <c r="C14" s="1189"/>
      <c r="D14" s="1189"/>
      <c r="E14" s="1189"/>
      <c r="F14" s="1189"/>
      <c r="G14" s="1189"/>
      <c r="H14" s="2" t="s">
        <v>226</v>
      </c>
      <c r="I14" s="89" t="s">
        <v>227</v>
      </c>
      <c r="J14" s="92" t="s">
        <v>228</v>
      </c>
      <c r="K14" s="225" t="s">
        <v>229</v>
      </c>
      <c r="L14" s="1204"/>
      <c r="M14" s="5"/>
      <c r="N14" s="5"/>
      <c r="Q14" s="5"/>
      <c r="R14" s="5"/>
      <c r="S14" s="411" t="s">
        <v>220</v>
      </c>
      <c r="T14" s="411" t="s">
        <v>249</v>
      </c>
      <c r="U14" s="411"/>
      <c r="V14" s="411"/>
      <c r="W14" s="411"/>
      <c r="X14" s="108" t="s">
        <v>222</v>
      </c>
      <c r="Y14" s="108" t="s">
        <v>223</v>
      </c>
      <c r="Z14" s="313" t="s">
        <v>250</v>
      </c>
      <c r="AA14" s="109" t="s">
        <v>251</v>
      </c>
      <c r="AB14" s="210"/>
      <c r="AC14" s="5"/>
      <c r="AD14" s="5"/>
    </row>
    <row r="15" spans="1:30" ht="18.75">
      <c r="A15" s="5"/>
      <c r="B15" s="5"/>
      <c r="C15" s="194" t="s">
        <v>432</v>
      </c>
      <c r="D15" s="972" t="s">
        <v>433</v>
      </c>
      <c r="E15" s="973"/>
      <c r="F15" s="973"/>
      <c r="G15" s="974"/>
      <c r="H15" s="2">
        <f>3.85*3.6</f>
        <v>13.860000000000001</v>
      </c>
      <c r="I15" s="89">
        <f>Parois!L28</f>
        <v>2.642391922017747</v>
      </c>
      <c r="J15" s="92">
        <f>(Données!G51-Données!G46)/(Données!G51-Données!G11)</f>
        <v>7.6923076923076927E-2</v>
      </c>
      <c r="K15" s="225">
        <f>PRODUCT(H15:J15)</f>
        <v>2.8171963107050755</v>
      </c>
      <c r="L15" s="1204"/>
      <c r="M15" s="5"/>
      <c r="N15" s="5"/>
      <c r="Q15" s="5"/>
      <c r="R15" s="5"/>
      <c r="S15" s="411"/>
      <c r="T15" s="411"/>
      <c r="U15" s="411"/>
      <c r="V15" s="411"/>
      <c r="W15" s="411"/>
      <c r="X15" s="2" t="s">
        <v>226</v>
      </c>
      <c r="Y15" s="89" t="s">
        <v>227</v>
      </c>
      <c r="Z15" s="92" t="s">
        <v>228</v>
      </c>
      <c r="AA15" s="225" t="s">
        <v>229</v>
      </c>
      <c r="AB15" s="210"/>
      <c r="AC15" s="5"/>
      <c r="AD15" s="5"/>
    </row>
    <row r="16" spans="1:30">
      <c r="A16" s="5"/>
      <c r="B16" s="5"/>
      <c r="C16" s="194" t="s">
        <v>434</v>
      </c>
      <c r="D16" s="972" t="s">
        <v>194</v>
      </c>
      <c r="E16" s="973"/>
      <c r="F16" s="973"/>
      <c r="G16" s="974"/>
      <c r="H16" s="2">
        <f>(2.975*3.6)+(5.4*3.6)</f>
        <v>30.150000000000002</v>
      </c>
      <c r="I16" s="89">
        <f>Parois!L35</f>
        <v>1.7703177837995205</v>
      </c>
      <c r="J16" s="92" t="e">
        <f>(Données!#REF!-Données!G35)/(Données!#REF!-Données!G11)</f>
        <v>#REF!</v>
      </c>
      <c r="K16" s="225" t="e">
        <f>PRODUCT(H16:J16)</f>
        <v>#REF!</v>
      </c>
      <c r="L16" s="1204"/>
      <c r="M16" s="5"/>
      <c r="N16" s="5"/>
      <c r="Q16" s="5"/>
      <c r="R16" s="5"/>
      <c r="S16" s="194"/>
      <c r="T16" s="467" t="s">
        <v>435</v>
      </c>
      <c r="U16" s="468"/>
      <c r="V16" s="468"/>
      <c r="W16" s="469"/>
      <c r="X16" s="2">
        <f>3.8*3.945</f>
        <v>14.990999999999998</v>
      </c>
      <c r="Y16" s="89">
        <f>Parois!L28</f>
        <v>2.642391922017747</v>
      </c>
      <c r="Z16" s="92">
        <f>($AA$48-Y55)/$AA$49</f>
        <v>7.6923076923076927E-2</v>
      </c>
      <c r="AA16" s="225">
        <f t="shared" ref="AA16:AA21" si="0">PRODUCT(X16:Z16)</f>
        <v>3.0470844079206185</v>
      </c>
      <c r="AB16" s="210"/>
      <c r="AC16" s="5"/>
      <c r="AD16" s="5"/>
    </row>
    <row r="17" spans="1:30">
      <c r="A17" s="5"/>
      <c r="B17" s="5"/>
      <c r="C17" s="194" t="s">
        <v>436</v>
      </c>
      <c r="D17" s="972" t="s">
        <v>433</v>
      </c>
      <c r="E17" s="973"/>
      <c r="F17" s="973"/>
      <c r="G17" s="974"/>
      <c r="H17" s="2">
        <f>((3.175+2.125+1.725+1.73)*3.6)-(0.81*2.03)</f>
        <v>29.873700000000003</v>
      </c>
      <c r="I17" s="89">
        <f>Parois!L28</f>
        <v>2.642391922017747</v>
      </c>
      <c r="J17" s="92">
        <v>1</v>
      </c>
      <c r="K17" s="225"/>
      <c r="L17" s="1204"/>
      <c r="M17" s="5"/>
      <c r="N17" s="5"/>
      <c r="Q17" s="5"/>
      <c r="R17" s="5"/>
      <c r="S17" s="194"/>
      <c r="T17" s="467" t="s">
        <v>194</v>
      </c>
      <c r="U17" s="468"/>
      <c r="V17" s="468"/>
      <c r="W17" s="469"/>
      <c r="X17" s="2">
        <f>31.185-X21</f>
        <v>29.184999999999999</v>
      </c>
      <c r="Y17" s="89">
        <f>Parois!L35</f>
        <v>1.7703177837995205</v>
      </c>
      <c r="Z17" s="92">
        <f>(($AA$48-Y59)/$AA$49)</f>
        <v>7.6923076923076927E-2</v>
      </c>
      <c r="AA17" s="225">
        <f t="shared" si="0"/>
        <v>3.974363424629924</v>
      </c>
      <c r="AB17" s="210"/>
      <c r="AC17" s="5"/>
      <c r="AD17" s="5"/>
    </row>
    <row r="18" spans="1:30">
      <c r="A18" s="5"/>
      <c r="B18" s="5"/>
      <c r="C18" s="2" t="s">
        <v>437</v>
      </c>
      <c r="D18" s="862" t="s">
        <v>216</v>
      </c>
      <c r="E18" s="863"/>
      <c r="F18" s="863"/>
      <c r="G18" s="864"/>
      <c r="H18" s="2">
        <f>0.81*2.03</f>
        <v>1.6442999999999999</v>
      </c>
      <c r="I18" s="2">
        <v>2.5</v>
      </c>
      <c r="J18" s="120">
        <v>1</v>
      </c>
      <c r="K18" s="215"/>
      <c r="L18" s="1204"/>
      <c r="M18" s="5"/>
      <c r="N18" s="5"/>
      <c r="Q18" s="5"/>
      <c r="R18" s="5"/>
      <c r="S18" s="194"/>
      <c r="T18" s="467" t="s">
        <v>438</v>
      </c>
      <c r="U18" s="468"/>
      <c r="V18" s="468"/>
      <c r="W18" s="469"/>
      <c r="X18" s="2">
        <f>7*3.945</f>
        <v>27.614999999999998</v>
      </c>
      <c r="Y18" s="89">
        <f>Parois!L65</f>
        <v>2.9148684813270003</v>
      </c>
      <c r="Z18" s="92">
        <f>(($AA$48-Y58)/($AA$49))</f>
        <v>0.30769230769230771</v>
      </c>
      <c r="AA18" s="225">
        <f t="shared" si="0"/>
        <v>24.767413265183109</v>
      </c>
      <c r="AB18" s="210"/>
      <c r="AC18" s="5"/>
      <c r="AD18" s="5"/>
    </row>
    <row r="19" spans="1:30">
      <c r="A19" s="5"/>
      <c r="B19" s="5"/>
      <c r="C19" s="1205" t="s">
        <v>439</v>
      </c>
      <c r="D19" s="818"/>
      <c r="E19" s="818"/>
      <c r="F19" s="818"/>
      <c r="G19" s="818"/>
      <c r="H19" s="818"/>
      <c r="I19" s="818"/>
      <c r="J19" s="862"/>
      <c r="K19" s="216" t="e">
        <f>SUM(K15:K18)</f>
        <v>#REF!</v>
      </c>
      <c r="L19" s="1204"/>
      <c r="M19" s="5"/>
      <c r="N19" s="5"/>
      <c r="T19" s="483" t="s">
        <v>440</v>
      </c>
      <c r="X19">
        <f>(4.14+2.075)*3.945</f>
        <v>24.518174999999999</v>
      </c>
      <c r="Y19">
        <f>Parois!L28</f>
        <v>2.642391922017747</v>
      </c>
      <c r="Z19">
        <f>(($AA$48-Y57)/$AA$49)</f>
        <v>0</v>
      </c>
      <c r="AA19" s="215">
        <f t="shared" si="0"/>
        <v>0</v>
      </c>
      <c r="AD19" s="5"/>
    </row>
    <row r="20" spans="1:30" ht="18">
      <c r="A20" s="5"/>
      <c r="B20" s="5"/>
      <c r="C20" s="1130" t="s">
        <v>220</v>
      </c>
      <c r="D20" s="1132" t="s">
        <v>302</v>
      </c>
      <c r="E20" s="1133"/>
      <c r="F20" s="1133"/>
      <c r="G20" s="1134"/>
      <c r="H20" s="114" t="s">
        <v>303</v>
      </c>
      <c r="I20" s="114" t="s">
        <v>304</v>
      </c>
      <c r="J20" s="313" t="s">
        <v>250</v>
      </c>
      <c r="K20" s="90" t="s">
        <v>319</v>
      </c>
      <c r="L20" s="1204"/>
      <c r="M20" s="5"/>
      <c r="N20" s="5"/>
      <c r="R20" s="5"/>
      <c r="S20" s="2"/>
      <c r="T20" s="347" t="s">
        <v>441</v>
      </c>
      <c r="U20" s="366"/>
      <c r="V20" s="366"/>
      <c r="W20" s="367"/>
      <c r="X20" s="2">
        <f>0.81*2.03</f>
        <v>1.6442999999999999</v>
      </c>
      <c r="Y20" s="2">
        <f>2.5</f>
        <v>2.5</v>
      </c>
      <c r="Z20" s="120">
        <f>Z16</f>
        <v>7.6923076923076927E-2</v>
      </c>
      <c r="AA20" s="485">
        <f t="shared" si="0"/>
        <v>0.31621153846153843</v>
      </c>
      <c r="AB20" s="210"/>
      <c r="AC20" s="5"/>
      <c r="AD20" s="5"/>
    </row>
    <row r="21" spans="1:30">
      <c r="A21" s="5"/>
      <c r="B21" s="5"/>
      <c r="C21" s="1131"/>
      <c r="D21" s="1135"/>
      <c r="E21" s="1136"/>
      <c r="F21" s="1136"/>
      <c r="G21" s="1137"/>
      <c r="H21" s="116" t="s">
        <v>307</v>
      </c>
      <c r="I21" s="116" t="s">
        <v>308</v>
      </c>
      <c r="J21" s="117" t="s">
        <v>228</v>
      </c>
      <c r="K21" s="85" t="s">
        <v>229</v>
      </c>
      <c r="L21" s="1204"/>
      <c r="M21" s="5"/>
      <c r="N21" s="5"/>
      <c r="T21" s="483" t="s">
        <v>442</v>
      </c>
      <c r="X21">
        <f>2*1</f>
        <v>2</v>
      </c>
      <c r="Y21">
        <f>5.5</f>
        <v>5.5</v>
      </c>
      <c r="Z21">
        <f>($AA$48-Y59)/$AA$49</f>
        <v>7.6923076923076927E-2</v>
      </c>
      <c r="AA21" s="485">
        <f t="shared" si="0"/>
        <v>0.84615384615384626</v>
      </c>
      <c r="AD21" s="5"/>
    </row>
    <row r="22" spans="1:30">
      <c r="A22" s="5"/>
      <c r="B22" s="5"/>
      <c r="C22" s="1"/>
      <c r="D22" s="807" t="s">
        <v>174</v>
      </c>
      <c r="E22" s="807"/>
      <c r="F22" s="807"/>
      <c r="G22" s="807"/>
      <c r="H22" s="1"/>
      <c r="I22" s="1"/>
      <c r="J22" s="1"/>
      <c r="K22" s="217"/>
      <c r="L22" s="1204"/>
      <c r="M22" s="5"/>
      <c r="N22" s="5"/>
      <c r="AD22" s="5"/>
    </row>
    <row r="23" spans="1:30">
      <c r="A23" s="5"/>
      <c r="B23" s="5"/>
      <c r="C23" s="130" t="s">
        <v>443</v>
      </c>
      <c r="D23" s="2"/>
      <c r="E23" s="2"/>
      <c r="F23" s="2"/>
      <c r="G23" s="2"/>
      <c r="H23" s="1"/>
      <c r="I23" s="1"/>
      <c r="J23" s="119"/>
      <c r="K23" s="90">
        <v>0</v>
      </c>
      <c r="L23" s="1204"/>
      <c r="M23" s="233"/>
      <c r="N23" s="5"/>
      <c r="R23" s="5"/>
      <c r="S23" s="475" t="s">
        <v>439</v>
      </c>
      <c r="T23" s="351"/>
      <c r="U23" s="351"/>
      <c r="V23" s="351"/>
      <c r="W23" s="351"/>
      <c r="X23" s="351"/>
      <c r="Y23" s="351"/>
      <c r="Z23" s="347"/>
      <c r="AA23" s="508">
        <f>SUM(AA16:AA21)</f>
        <v>32.951226482349036</v>
      </c>
      <c r="AB23" s="210"/>
      <c r="AC23" s="5"/>
      <c r="AD23" s="5"/>
    </row>
    <row r="24" spans="1:30" ht="18">
      <c r="A24" s="5"/>
      <c r="B24" s="5"/>
      <c r="C24" s="1004" t="s">
        <v>444</v>
      </c>
      <c r="D24" s="1026"/>
      <c r="E24" s="1026"/>
      <c r="F24" s="1026"/>
      <c r="G24" s="1026"/>
      <c r="H24" s="1026"/>
      <c r="I24" s="1026"/>
      <c r="J24" s="1027"/>
      <c r="K24" s="123" t="s">
        <v>445</v>
      </c>
      <c r="L24" s="82" t="e">
        <f>K19+K22</f>
        <v>#REF!</v>
      </c>
      <c r="M24" s="122" t="s">
        <v>431</v>
      </c>
      <c r="N24" s="5"/>
      <c r="R24" s="5"/>
      <c r="S24" s="368" t="s">
        <v>220</v>
      </c>
      <c r="T24" s="370" t="s">
        <v>302</v>
      </c>
      <c r="U24" s="371"/>
      <c r="V24" s="371"/>
      <c r="W24" s="372"/>
      <c r="X24" s="114" t="s">
        <v>303</v>
      </c>
      <c r="Y24" s="114" t="s">
        <v>304</v>
      </c>
      <c r="Z24" s="313" t="s">
        <v>250</v>
      </c>
      <c r="AA24" s="90" t="s">
        <v>319</v>
      </c>
      <c r="AB24" s="210"/>
      <c r="AC24" s="5"/>
      <c r="AD24" s="5"/>
    </row>
    <row r="25" spans="1:30">
      <c r="A25" s="5"/>
      <c r="B25" s="5"/>
      <c r="C25" s="1002" t="s">
        <v>321</v>
      </c>
      <c r="D25" s="1138"/>
      <c r="E25" s="1138"/>
      <c r="F25" s="1138"/>
      <c r="G25" s="1138"/>
      <c r="H25" s="1138"/>
      <c r="I25" s="1138"/>
      <c r="J25" s="1138"/>
      <c r="K25" s="1138"/>
      <c r="L25" s="807"/>
      <c r="M25" s="5"/>
      <c r="N25" s="5"/>
      <c r="R25" s="5"/>
      <c r="S25" s="369"/>
      <c r="T25" s="373"/>
      <c r="U25" s="374"/>
      <c r="V25" s="374"/>
      <c r="W25" s="375"/>
      <c r="X25" s="116" t="s">
        <v>307</v>
      </c>
      <c r="Y25" s="116" t="s">
        <v>308</v>
      </c>
      <c r="Z25" s="117" t="s">
        <v>228</v>
      </c>
      <c r="AA25" s="85" t="s">
        <v>229</v>
      </c>
      <c r="AB25" s="210"/>
      <c r="AC25" s="5"/>
      <c r="AD25" s="5"/>
    </row>
    <row r="26" spans="1:30" ht="18">
      <c r="A26" s="5"/>
      <c r="B26" s="5"/>
      <c r="C26" s="1189" t="s">
        <v>220</v>
      </c>
      <c r="D26" s="1189" t="s">
        <v>249</v>
      </c>
      <c r="E26" s="1189"/>
      <c r="F26" s="1189"/>
      <c r="G26" s="1189"/>
      <c r="H26" s="108" t="s">
        <v>222</v>
      </c>
      <c r="I26" s="108" t="s">
        <v>223</v>
      </c>
      <c r="J26" s="108" t="s">
        <v>224</v>
      </c>
      <c r="K26" s="109" t="s">
        <v>225</v>
      </c>
      <c r="L26" s="807"/>
      <c r="M26" s="233"/>
      <c r="N26" s="5"/>
      <c r="R26" s="5"/>
      <c r="S26" s="1"/>
      <c r="T26" s="2" t="s">
        <v>174</v>
      </c>
      <c r="U26" s="2"/>
      <c r="V26" s="2"/>
      <c r="W26" s="2"/>
      <c r="X26" s="1"/>
      <c r="Y26" s="1"/>
      <c r="Z26" s="1"/>
      <c r="AA26" s="217"/>
      <c r="AB26" s="210"/>
      <c r="AC26" s="5"/>
      <c r="AD26" s="5"/>
    </row>
    <row r="27" spans="1:30" ht="18.75">
      <c r="A27" s="5"/>
      <c r="B27" s="5"/>
      <c r="C27" s="1189"/>
      <c r="D27" s="1189"/>
      <c r="E27" s="1189"/>
      <c r="F27" s="1189"/>
      <c r="G27" s="1189"/>
      <c r="H27" s="2" t="s">
        <v>226</v>
      </c>
      <c r="I27" s="89" t="s">
        <v>227</v>
      </c>
      <c r="J27" s="89" t="s">
        <v>228</v>
      </c>
      <c r="K27" s="92" t="s">
        <v>229</v>
      </c>
      <c r="L27" s="807"/>
      <c r="M27" s="5"/>
      <c r="N27" s="5"/>
      <c r="R27" s="5"/>
      <c r="S27" s="130" t="s">
        <v>443</v>
      </c>
      <c r="T27" s="2"/>
      <c r="U27" s="2"/>
      <c r="V27" s="2"/>
      <c r="W27" s="2"/>
      <c r="X27" s="1"/>
      <c r="Y27" s="1"/>
      <c r="Z27" s="119"/>
      <c r="AA27" s="509">
        <v>0</v>
      </c>
      <c r="AB27" s="210"/>
      <c r="AC27" s="233"/>
      <c r="AD27" s="5"/>
    </row>
    <row r="28" spans="1:30">
      <c r="A28" s="5"/>
      <c r="B28" s="5"/>
      <c r="C28" s="1"/>
      <c r="D28" s="862" t="s">
        <v>391</v>
      </c>
      <c r="E28" s="863"/>
      <c r="F28" s="863"/>
      <c r="G28" s="864"/>
      <c r="H28" s="2"/>
      <c r="I28" s="2"/>
      <c r="J28" s="2"/>
      <c r="K28" s="120"/>
      <c r="L28" s="807"/>
      <c r="M28" s="5"/>
      <c r="N28" s="5"/>
      <c r="R28" s="5"/>
      <c r="S28" s="377" t="s">
        <v>444</v>
      </c>
      <c r="T28" s="470"/>
      <c r="U28" s="470"/>
      <c r="V28" s="470"/>
      <c r="W28" s="470"/>
      <c r="X28" s="470"/>
      <c r="Y28" s="470"/>
      <c r="Z28" s="471"/>
      <c r="AA28" s="123" t="s">
        <v>445</v>
      </c>
      <c r="AB28" s="510">
        <f>AA23+AA26</f>
        <v>32.951226482349036</v>
      </c>
      <c r="AC28" s="122" t="s">
        <v>431</v>
      </c>
      <c r="AD28" s="5"/>
    </row>
    <row r="29" spans="1:30" ht="18.75">
      <c r="A29" s="5"/>
      <c r="B29" s="5"/>
      <c r="C29" s="98" t="s">
        <v>287</v>
      </c>
      <c r="D29" s="98"/>
      <c r="E29" s="98"/>
      <c r="F29" s="98"/>
      <c r="G29" s="98"/>
      <c r="H29" s="98"/>
      <c r="I29" s="1030" t="s">
        <v>288</v>
      </c>
      <c r="J29" s="1139"/>
      <c r="K29" s="1139"/>
      <c r="L29" s="210">
        <f>K28</f>
        <v>0</v>
      </c>
      <c r="M29" s="2" t="s">
        <v>431</v>
      </c>
      <c r="N29" s="5"/>
      <c r="R29" s="5"/>
      <c r="S29" s="378" t="s">
        <v>321</v>
      </c>
      <c r="T29" s="379"/>
      <c r="U29" s="379"/>
      <c r="V29" s="379"/>
      <c r="W29" s="379"/>
      <c r="X29" s="379"/>
      <c r="Y29" s="379"/>
      <c r="Z29" s="379"/>
      <c r="AA29" s="379"/>
      <c r="AB29" s="2"/>
      <c r="AC29" s="5"/>
      <c r="AD29" s="5"/>
    </row>
    <row r="30" spans="1:30" ht="18">
      <c r="A30" s="5"/>
      <c r="B30" s="5"/>
      <c r="C30" s="1206" t="s">
        <v>257</v>
      </c>
      <c r="D30" s="1207"/>
      <c r="E30" s="1207"/>
      <c r="F30" s="1207"/>
      <c r="G30" s="1207"/>
      <c r="H30" s="1207"/>
      <c r="I30" s="1207"/>
      <c r="J30" s="1207"/>
      <c r="K30" s="1207"/>
      <c r="L30" s="807"/>
      <c r="M30" s="5"/>
      <c r="N30" s="5"/>
      <c r="R30" s="5"/>
      <c r="S30" s="411" t="s">
        <v>220</v>
      </c>
      <c r="T30" s="411"/>
      <c r="U30" s="411"/>
      <c r="V30" s="411"/>
      <c r="W30" s="411"/>
      <c r="X30" s="108" t="s">
        <v>222</v>
      </c>
      <c r="Y30" s="108" t="s">
        <v>223</v>
      </c>
      <c r="Z30" s="108" t="s">
        <v>224</v>
      </c>
      <c r="AA30" s="109" t="s">
        <v>225</v>
      </c>
      <c r="AB30" s="2"/>
      <c r="AC30" s="233"/>
      <c r="AD30" s="5"/>
    </row>
    <row r="31" spans="1:30" ht="19.5">
      <c r="A31" s="5"/>
      <c r="B31" s="5"/>
      <c r="C31" s="1208" t="s">
        <v>220</v>
      </c>
      <c r="D31" s="1132" t="s">
        <v>221</v>
      </c>
      <c r="E31" s="1133"/>
      <c r="F31" s="1133"/>
      <c r="G31" s="1133"/>
      <c r="H31" s="108" t="s">
        <v>232</v>
      </c>
      <c r="I31" s="108" t="s">
        <v>222</v>
      </c>
      <c r="J31" s="108" t="s">
        <v>223</v>
      </c>
      <c r="K31" s="109" t="s">
        <v>233</v>
      </c>
      <c r="L31" s="807"/>
      <c r="M31" s="289"/>
      <c r="N31" s="5"/>
      <c r="R31" s="5"/>
      <c r="S31" s="411"/>
      <c r="T31" s="411"/>
      <c r="U31" s="411"/>
      <c r="V31" s="411"/>
      <c r="W31" s="411"/>
      <c r="X31" s="2" t="s">
        <v>226</v>
      </c>
      <c r="Y31" s="89" t="s">
        <v>227</v>
      </c>
      <c r="Z31" s="89" t="s">
        <v>228</v>
      </c>
      <c r="AA31" s="92" t="s">
        <v>229</v>
      </c>
      <c r="AB31" s="2"/>
      <c r="AC31" s="5"/>
      <c r="AD31" s="5"/>
    </row>
    <row r="32" spans="1:30" ht="18.75">
      <c r="A32" s="5"/>
      <c r="B32" s="5"/>
      <c r="C32" s="1209"/>
      <c r="D32" s="1196"/>
      <c r="E32" s="1197"/>
      <c r="F32" s="1197"/>
      <c r="G32" s="1197"/>
      <c r="H32" s="2" t="s">
        <v>228</v>
      </c>
      <c r="I32" s="2" t="s">
        <v>226</v>
      </c>
      <c r="J32" s="89" t="s">
        <v>227</v>
      </c>
      <c r="K32" s="92" t="s">
        <v>229</v>
      </c>
      <c r="L32" s="807"/>
      <c r="M32" s="5"/>
      <c r="N32" s="5"/>
      <c r="R32" s="5"/>
      <c r="S32" s="1"/>
      <c r="T32" s="347" t="s">
        <v>391</v>
      </c>
      <c r="U32" s="366"/>
      <c r="V32" s="366"/>
      <c r="W32" s="367"/>
      <c r="X32" s="2"/>
      <c r="Y32" s="2"/>
      <c r="Z32" s="2"/>
      <c r="AA32" s="120"/>
      <c r="AB32" s="2"/>
      <c r="AC32" s="5"/>
      <c r="AD32" s="5"/>
    </row>
    <row r="33" spans="1:30" ht="18.75">
      <c r="A33" s="5"/>
      <c r="B33" s="5"/>
      <c r="C33" s="140" t="s">
        <v>437</v>
      </c>
      <c r="D33" s="1160" t="s">
        <v>197</v>
      </c>
      <c r="E33" s="1210"/>
      <c r="F33" s="1210"/>
      <c r="G33" s="1211"/>
      <c r="H33" s="6">
        <f>(K44-I49)/(K44-K43)</f>
        <v>-7.6923076923076927E-2</v>
      </c>
      <c r="I33" s="2">
        <f>3.6*1.45-0.81-2.03</f>
        <v>2.3800000000000003</v>
      </c>
      <c r="J33" s="89">
        <f>Parois!L42</f>
        <v>1.8115853807007718</v>
      </c>
      <c r="K33" s="92">
        <f>J33*I33*H33</f>
        <v>-0.3316594773898337</v>
      </c>
      <c r="L33" s="807"/>
      <c r="M33" s="5"/>
      <c r="N33" s="5"/>
      <c r="R33" s="5"/>
      <c r="S33" s="98" t="s">
        <v>287</v>
      </c>
      <c r="T33" s="98"/>
      <c r="U33" s="98"/>
      <c r="V33" s="98"/>
      <c r="W33" s="98"/>
      <c r="X33" s="98"/>
      <c r="Y33" s="357" t="s">
        <v>288</v>
      </c>
      <c r="Z33" s="358"/>
      <c r="AA33" s="358"/>
      <c r="AB33" s="210">
        <f>AA32</f>
        <v>0</v>
      </c>
      <c r="AC33" s="2" t="s">
        <v>431</v>
      </c>
      <c r="AD33" s="5"/>
    </row>
    <row r="34" spans="1:30">
      <c r="A34" s="5"/>
      <c r="B34" s="5"/>
      <c r="C34" s="116" t="s">
        <v>380</v>
      </c>
      <c r="D34" s="1212" t="s">
        <v>446</v>
      </c>
      <c r="E34" s="1213"/>
      <c r="F34" s="1213"/>
      <c r="G34" s="1213"/>
      <c r="H34" s="213" t="e">
        <f>(K44-I50)/(K44-K43)</f>
        <v>#REF!</v>
      </c>
      <c r="I34" s="298">
        <f>((1.875+0.875+11.875)*3.6)-4*(0.81*2.03)</f>
        <v>46.072800000000001</v>
      </c>
      <c r="J34" s="298">
        <f>Parois!L42</f>
        <v>1.8115853807007718</v>
      </c>
      <c r="K34" s="299" t="e">
        <f>J34*I34*H34</f>
        <v>#REF!</v>
      </c>
      <c r="L34" s="807"/>
      <c r="M34" s="5"/>
      <c r="N34" s="5"/>
      <c r="R34" s="5"/>
      <c r="S34" s="419" t="s">
        <v>257</v>
      </c>
      <c r="T34" s="420"/>
      <c r="U34" s="420"/>
      <c r="V34" s="420"/>
      <c r="W34" s="420"/>
      <c r="X34" s="420"/>
      <c r="Y34" s="420"/>
      <c r="Z34" s="420"/>
      <c r="AA34" s="420"/>
      <c r="AB34" s="2"/>
      <c r="AC34" s="5"/>
      <c r="AD34" s="5"/>
    </row>
    <row r="35" spans="1:30" ht="18">
      <c r="A35" s="5"/>
      <c r="B35" s="5"/>
      <c r="C35" s="194" t="s">
        <v>380</v>
      </c>
      <c r="D35" s="971" t="s">
        <v>216</v>
      </c>
      <c r="E35" s="971"/>
      <c r="F35" s="971"/>
      <c r="G35" s="971"/>
      <c r="H35" s="6" t="e">
        <f>(K44-I50)/(K44-K43)</f>
        <v>#REF!</v>
      </c>
      <c r="I35" s="2">
        <f xml:space="preserve"> 4*(0.81*2.03)</f>
        <v>6.5771999999999995</v>
      </c>
      <c r="J35" s="89">
        <v>2.5</v>
      </c>
      <c r="K35" s="92" t="e">
        <f>PRODUCT(H35:J35)</f>
        <v>#REF!</v>
      </c>
      <c r="L35" s="807"/>
      <c r="M35" s="5"/>
      <c r="N35" s="5"/>
      <c r="R35" s="5"/>
      <c r="S35" s="421" t="s">
        <v>220</v>
      </c>
      <c r="T35" s="370" t="s">
        <v>221</v>
      </c>
      <c r="U35" s="371"/>
      <c r="V35" s="371"/>
      <c r="W35" s="371"/>
      <c r="X35" s="108" t="s">
        <v>232</v>
      </c>
      <c r="Y35" s="108" t="s">
        <v>222</v>
      </c>
      <c r="Z35" s="108" t="s">
        <v>223</v>
      </c>
      <c r="AA35" s="109" t="s">
        <v>233</v>
      </c>
      <c r="AB35" s="2"/>
      <c r="AC35" s="289"/>
      <c r="AD35" s="5"/>
    </row>
    <row r="36" spans="1:30" ht="18.75">
      <c r="A36" s="5"/>
      <c r="B36" s="5"/>
      <c r="C36" s="194" t="s">
        <v>447</v>
      </c>
      <c r="D36" s="972" t="s">
        <v>199</v>
      </c>
      <c r="E36" s="973"/>
      <c r="F36" s="973"/>
      <c r="G36" s="974"/>
      <c r="H36" s="6">
        <f>(K44-I56)/(K44-K43)</f>
        <v>-7.6923076923076927E-2</v>
      </c>
      <c r="I36" s="2">
        <f>(13.6*2.875)+(1.55*2.125)+(2.975*1.45)</f>
        <v>46.707500000000003</v>
      </c>
      <c r="J36" s="89">
        <f>Parois!L49</f>
        <v>0.39937430012814151</v>
      </c>
      <c r="K36" s="92">
        <f>PRODUCT(H36:J36)</f>
        <v>-1.4349057787103978</v>
      </c>
      <c r="L36" s="807"/>
      <c r="M36" s="5"/>
      <c r="N36" s="5"/>
      <c r="R36" s="5"/>
      <c r="S36" s="140"/>
      <c r="T36" s="409"/>
      <c r="U36" s="410"/>
      <c r="V36" s="410"/>
      <c r="W36" s="410"/>
      <c r="X36" s="2" t="s">
        <v>228</v>
      </c>
      <c r="Y36" s="2" t="s">
        <v>226</v>
      </c>
      <c r="Z36" s="89" t="s">
        <v>227</v>
      </c>
      <c r="AA36" s="92" t="s">
        <v>229</v>
      </c>
      <c r="AB36" s="2"/>
      <c r="AC36" s="5"/>
      <c r="AD36" s="5"/>
    </row>
    <row r="37" spans="1:30">
      <c r="A37" s="5"/>
      <c r="B37" s="5"/>
      <c r="C37" s="194" t="s">
        <v>448</v>
      </c>
      <c r="D37" s="971" t="s">
        <v>197</v>
      </c>
      <c r="E37" s="971"/>
      <c r="F37" s="971"/>
      <c r="G37" s="971"/>
      <c r="H37" s="6">
        <f>(K44-I49)/(K44-K43)</f>
        <v>-7.6923076923076927E-2</v>
      </c>
      <c r="I37" s="2">
        <f>(2.875*3.6)-(2.03*0.81)</f>
        <v>8.7057000000000002</v>
      </c>
      <c r="J37" s="89">
        <f>Parois!L42</f>
        <v>1.8115853807007718</v>
      </c>
      <c r="K37" s="92">
        <f>PRODUCT(H37:J37)</f>
        <v>-1.2131629883666699</v>
      </c>
      <c r="L37" s="807"/>
      <c r="M37" s="300"/>
      <c r="N37" s="5"/>
      <c r="R37" s="5"/>
      <c r="S37" s="140" t="s">
        <v>437</v>
      </c>
      <c r="T37" s="472" t="s">
        <v>197</v>
      </c>
      <c r="U37" s="473"/>
      <c r="V37" s="473"/>
      <c r="W37" s="474"/>
      <c r="X37" s="6">
        <f>(AA48-Y53)/(AA48-AA47)</f>
        <v>-7.6923076923076927E-2</v>
      </c>
      <c r="Y37" s="2">
        <f>3.6*1.45-0.81-2.03</f>
        <v>2.3800000000000003</v>
      </c>
      <c r="Z37" s="89">
        <f>J33</f>
        <v>1.8115853807007718</v>
      </c>
      <c r="AA37" s="92">
        <f>Z37*Y37*X37</f>
        <v>-0.3316594773898337</v>
      </c>
      <c r="AB37" s="2"/>
      <c r="AC37" s="5"/>
      <c r="AD37" s="5"/>
    </row>
    <row r="38" spans="1:30">
      <c r="A38" s="5"/>
      <c r="B38" s="5"/>
      <c r="C38" s="194" t="s">
        <v>437</v>
      </c>
      <c r="D38" s="972" t="s">
        <v>449</v>
      </c>
      <c r="E38" s="973"/>
      <c r="F38" s="973"/>
      <c r="G38" s="974"/>
      <c r="H38" s="6">
        <f>(K44-I52)/(K44-K43)</f>
        <v>-7.6923076923076927E-2</v>
      </c>
      <c r="I38" s="2">
        <f xml:space="preserve"> (0.81*2.03)</f>
        <v>1.6442999999999999</v>
      </c>
      <c r="J38" s="89">
        <v>2.5</v>
      </c>
      <c r="K38" s="92">
        <f>PRODUCT(H38:J38)</f>
        <v>-0.31621153846153849</v>
      </c>
      <c r="L38" s="807"/>
      <c r="M38" s="300"/>
      <c r="N38" s="5"/>
      <c r="R38" s="5"/>
      <c r="S38" s="116" t="s">
        <v>380</v>
      </c>
      <c r="T38" s="461" t="s">
        <v>446</v>
      </c>
      <c r="U38" s="462"/>
      <c r="V38" s="462"/>
      <c r="W38" s="462"/>
      <c r="X38" s="213">
        <f>(AA48-Y54)/(AA48-AA47)</f>
        <v>-0.15384615384615385</v>
      </c>
      <c r="Y38" s="298">
        <f>((1.875+0.875+11.875)*3.6)-4*(0.81*2.03)</f>
        <v>46.072800000000001</v>
      </c>
      <c r="Z38" s="298">
        <f>J34</f>
        <v>1.8115853807007718</v>
      </c>
      <c r="AA38" s="299">
        <f>Z38*Y38*X38</f>
        <v>-12.84074014276162</v>
      </c>
      <c r="AB38" s="2"/>
      <c r="AC38" s="5"/>
      <c r="AD38" s="5"/>
    </row>
    <row r="39" spans="1:30">
      <c r="A39" s="5"/>
      <c r="B39" s="5"/>
      <c r="C39" s="194" t="s">
        <v>437</v>
      </c>
      <c r="D39" s="818" t="s">
        <v>433</v>
      </c>
      <c r="E39" s="818"/>
      <c r="F39" s="818"/>
      <c r="G39" s="818"/>
      <c r="H39" s="6">
        <f>(K44-I52)/(K44-K43)</f>
        <v>-7.6923076923076927E-2</v>
      </c>
      <c r="I39">
        <f>(1.55*3.6)-(0.81*2.03)</f>
        <v>3.9357000000000002</v>
      </c>
      <c r="J39" s="1">
        <f>Parois!L28</f>
        <v>2.642391922017747</v>
      </c>
      <c r="K39" s="119">
        <f>PRODUCT(H39:J39)</f>
        <v>-0.79997399134501912</v>
      </c>
      <c r="L39" s="807"/>
      <c r="M39" s="5"/>
      <c r="N39" s="5"/>
      <c r="R39" s="5"/>
      <c r="S39" s="194" t="s">
        <v>380</v>
      </c>
      <c r="T39" s="352" t="s">
        <v>216</v>
      </c>
      <c r="U39" s="352"/>
      <c r="V39" s="352"/>
      <c r="W39" s="352"/>
      <c r="X39" s="6">
        <f>(AA48-Y54)/(AA48-AA47)</f>
        <v>-0.15384615384615385</v>
      </c>
      <c r="Y39" s="2">
        <f xml:space="preserve"> 4*(0.81*2.03)</f>
        <v>6.5771999999999995</v>
      </c>
      <c r="Z39" s="89">
        <f>J35</f>
        <v>2.5</v>
      </c>
      <c r="AA39" s="92">
        <f>PRODUCT(X39:Z39)</f>
        <v>-2.5296923076923079</v>
      </c>
      <c r="AB39" s="2"/>
      <c r="AC39" s="5"/>
      <c r="AD39" s="5"/>
    </row>
    <row r="40" spans="1:30" ht="18">
      <c r="A40" s="5"/>
      <c r="B40" s="5"/>
      <c r="C40" s="1205" t="s">
        <v>255</v>
      </c>
      <c r="D40" s="1205"/>
      <c r="E40" s="1205"/>
      <c r="F40" s="1205"/>
      <c r="G40" s="1205"/>
      <c r="H40" s="1205"/>
      <c r="I40" s="1205"/>
      <c r="J40" s="1205"/>
      <c r="K40" s="88" t="s">
        <v>256</v>
      </c>
      <c r="L40" s="192" t="e">
        <f>SUM(K33:K39)</f>
        <v>#REF!</v>
      </c>
      <c r="M40" s="89" t="s">
        <v>144</v>
      </c>
      <c r="N40" s="5"/>
      <c r="R40" s="5"/>
      <c r="S40" s="194" t="s">
        <v>447</v>
      </c>
      <c r="T40" s="467" t="s">
        <v>199</v>
      </c>
      <c r="U40" s="468"/>
      <c r="V40" s="468"/>
      <c r="W40" s="469"/>
      <c r="X40" s="6">
        <f>ABS(($AA$48-Y60)/$AA$49)</f>
        <v>0.30769230769230771</v>
      </c>
      <c r="Y40" s="2">
        <f>49.0625</f>
        <v>49.0625</v>
      </c>
      <c r="Z40" s="89">
        <f>Parois!L49</f>
        <v>0.39937430012814151</v>
      </c>
      <c r="AA40" s="92">
        <f>PRODUCT(X40:Z40)</f>
        <v>6.0290158769344444</v>
      </c>
      <c r="AB40" s="2"/>
      <c r="AC40" s="5"/>
      <c r="AD40" s="5"/>
    </row>
    <row r="41" spans="1:30" ht="18.75">
      <c r="A41" s="5"/>
      <c r="B41" s="5"/>
      <c r="C41" s="1215" t="s">
        <v>450</v>
      </c>
      <c r="D41" s="1216"/>
      <c r="E41" s="1216"/>
      <c r="F41" s="1216"/>
      <c r="G41" s="1217"/>
      <c r="H41" s="1218" t="s">
        <v>451</v>
      </c>
      <c r="I41" s="1219"/>
      <c r="J41" s="1219"/>
      <c r="K41" s="1220"/>
      <c r="L41" s="124" t="e">
        <f>L40+L29+L24+L11</f>
        <v>#REF!</v>
      </c>
      <c r="M41" s="209" t="s">
        <v>431</v>
      </c>
      <c r="N41" s="5"/>
      <c r="R41" s="5"/>
      <c r="S41" s="194" t="s">
        <v>448</v>
      </c>
      <c r="T41" s="352" t="s">
        <v>197</v>
      </c>
      <c r="U41" s="352"/>
      <c r="V41" s="352"/>
      <c r="W41" s="352"/>
      <c r="X41" s="6">
        <f>(AA48-Y53)/(AA48-AA47)</f>
        <v>-7.6923076923076927E-2</v>
      </c>
      <c r="Y41" s="2">
        <f>(2.875*3.6)-(2.03*0.81)</f>
        <v>8.7057000000000002</v>
      </c>
      <c r="Z41" s="89">
        <f>J37</f>
        <v>1.8115853807007718</v>
      </c>
      <c r="AA41" s="92">
        <f>PRODUCT(X41:Z41)</f>
        <v>-1.2131629883666699</v>
      </c>
      <c r="AB41" s="2"/>
      <c r="AC41" s="300"/>
      <c r="AD41" s="5"/>
    </row>
    <row r="42" spans="1:30">
      <c r="A42" s="5"/>
      <c r="B42" s="5"/>
      <c r="C42" s="104" t="s">
        <v>365</v>
      </c>
      <c r="D42" s="103"/>
      <c r="E42" s="103"/>
      <c r="F42" s="103"/>
      <c r="G42" s="103"/>
      <c r="H42" s="125"/>
      <c r="I42" s="125"/>
      <c r="J42" s="125"/>
      <c r="K42" s="126"/>
      <c r="L42" s="815"/>
      <c r="M42" s="5"/>
      <c r="N42" s="5"/>
      <c r="R42" s="5"/>
      <c r="S42" s="194" t="s">
        <v>437</v>
      </c>
      <c r="T42" s="467" t="s">
        <v>449</v>
      </c>
      <c r="U42" s="468"/>
      <c r="V42" s="468"/>
      <c r="W42" s="469"/>
      <c r="X42" s="6">
        <f>(AA48-Y56)/(AA48-AA47)</f>
        <v>-7.6923076923076927E-2</v>
      </c>
      <c r="Y42" s="2">
        <f xml:space="preserve"> (0.81*2.03)</f>
        <v>1.6442999999999999</v>
      </c>
      <c r="Z42" s="89">
        <f>J38</f>
        <v>2.5</v>
      </c>
      <c r="AA42" s="92">
        <f>PRODUCT(X42:Z42)</f>
        <v>-0.31621153846153849</v>
      </c>
      <c r="AB42" s="2"/>
      <c r="AC42" s="300"/>
      <c r="AD42" s="5"/>
    </row>
    <row r="43" spans="1:30" ht="19.5">
      <c r="A43" s="5"/>
      <c r="B43" s="5"/>
      <c r="C43" s="818" t="s">
        <v>6</v>
      </c>
      <c r="D43" s="818"/>
      <c r="E43" s="818"/>
      <c r="F43" s="818"/>
      <c r="G43" s="818"/>
      <c r="H43" s="818"/>
      <c r="I43" s="2" t="s">
        <v>261</v>
      </c>
      <c r="J43" s="2" t="s">
        <v>262</v>
      </c>
      <c r="K43" s="2">
        <v>-8</v>
      </c>
      <c r="L43" s="1188"/>
      <c r="M43" s="5"/>
      <c r="N43" s="5"/>
      <c r="R43" s="5"/>
      <c r="S43" s="194" t="s">
        <v>437</v>
      </c>
      <c r="T43" s="351" t="s">
        <v>433</v>
      </c>
      <c r="U43" s="351"/>
      <c r="V43" s="351"/>
      <c r="W43" s="351"/>
      <c r="X43" s="6">
        <f>(AA48-Y56)/(AA48-AA47)</f>
        <v>-7.6923076923076927E-2</v>
      </c>
      <c r="Y43">
        <f>(1.55*3.6)-(0.81*2.03)</f>
        <v>3.9357000000000002</v>
      </c>
      <c r="Z43" s="1">
        <f>J39</f>
        <v>2.642391922017747</v>
      </c>
      <c r="AA43" s="119">
        <f>PRODUCT(X43:Z43)</f>
        <v>-0.79997399134501912</v>
      </c>
      <c r="AB43" s="2"/>
      <c r="AC43" s="5"/>
      <c r="AD43" s="5"/>
    </row>
    <row r="44" spans="1:30" ht="19.5">
      <c r="A44" s="5"/>
      <c r="B44" s="5"/>
      <c r="C44" s="971" t="s">
        <v>264</v>
      </c>
      <c r="D44" s="971"/>
      <c r="E44" s="971"/>
      <c r="F44" s="971"/>
      <c r="G44" s="971"/>
      <c r="H44" s="971"/>
      <c r="I44" s="2" t="s">
        <v>265</v>
      </c>
      <c r="J44" s="2" t="s">
        <v>262</v>
      </c>
      <c r="K44" s="2">
        <v>18</v>
      </c>
      <c r="L44" s="1188"/>
      <c r="M44" s="273" t="e">
        <f>(L11*K45)+(K15*K51)+(K16*K55)+(K17*K53)+(K18*K53)+((K33+K37)*K49)+((K34+K35)*K50)+((K38+K39)*K52)</f>
        <v>#REF!</v>
      </c>
      <c r="N44" s="5"/>
      <c r="R44" s="5"/>
      <c r="S44" s="475" t="s">
        <v>255</v>
      </c>
      <c r="T44" s="475"/>
      <c r="U44" s="475"/>
      <c r="V44" s="475"/>
      <c r="W44" s="475"/>
      <c r="X44" s="475"/>
      <c r="Y44" s="475"/>
      <c r="Z44" s="475"/>
      <c r="AA44" s="88" t="s">
        <v>256</v>
      </c>
      <c r="AB44" s="192">
        <f>AA37+AA38+AA39+AA40+AA41+AA42+AA43</f>
        <v>-12.002424569082546</v>
      </c>
      <c r="AC44" s="89" t="s">
        <v>144</v>
      </c>
      <c r="AD44" s="5"/>
    </row>
    <row r="45" spans="1:30" ht="19.5">
      <c r="A45" s="5"/>
      <c r="B45" s="5"/>
      <c r="C45" s="818" t="s">
        <v>266</v>
      </c>
      <c r="D45" s="818"/>
      <c r="E45" s="818"/>
      <c r="F45" s="818"/>
      <c r="G45" s="818"/>
      <c r="H45" s="818"/>
      <c r="I45" s="2" t="s">
        <v>267</v>
      </c>
      <c r="J45" s="2" t="s">
        <v>262</v>
      </c>
      <c r="K45" s="2">
        <f>K44-K43</f>
        <v>26</v>
      </c>
      <c r="L45" s="831"/>
      <c r="M45" s="5"/>
      <c r="N45" s="5"/>
      <c r="R45" s="5"/>
      <c r="S45" s="412" t="s">
        <v>450</v>
      </c>
      <c r="T45" s="413"/>
      <c r="U45" s="413"/>
      <c r="V45" s="413"/>
      <c r="W45" s="414"/>
      <c r="X45" s="415" t="s">
        <v>451</v>
      </c>
      <c r="Y45" s="416"/>
      <c r="Z45" s="416"/>
      <c r="AA45" s="417"/>
      <c r="AB45" s="124"/>
      <c r="AC45" s="209" t="s">
        <v>431</v>
      </c>
      <c r="AD45" s="5"/>
    </row>
    <row r="46" spans="1:30" ht="18.75">
      <c r="A46" s="5"/>
      <c r="B46" s="5"/>
      <c r="C46" s="1214" t="s">
        <v>452</v>
      </c>
      <c r="D46" s="988"/>
      <c r="E46" s="988"/>
      <c r="F46" s="988"/>
      <c r="G46" s="988"/>
      <c r="H46" s="988"/>
      <c r="I46" s="988"/>
      <c r="J46" s="988"/>
      <c r="K46" s="988"/>
      <c r="M46" s="2" t="s">
        <v>453</v>
      </c>
      <c r="N46" s="5"/>
      <c r="R46" s="5"/>
      <c r="S46" s="104" t="s">
        <v>365</v>
      </c>
      <c r="T46" s="103"/>
      <c r="U46" s="103"/>
      <c r="V46" s="103"/>
      <c r="W46" s="103"/>
      <c r="X46" s="125"/>
      <c r="Y46" s="125"/>
      <c r="Z46" s="125"/>
      <c r="AA46" s="126"/>
      <c r="AB46" s="220"/>
      <c r="AC46" s="5"/>
      <c r="AD46" s="5"/>
    </row>
    <row r="47" spans="1:30" ht="15.75" customHeight="1">
      <c r="A47" s="5"/>
      <c r="B47" s="5"/>
      <c r="C47" s="1158" t="s">
        <v>269</v>
      </c>
      <c r="D47" s="1158"/>
      <c r="E47" s="1158"/>
      <c r="F47" s="1158"/>
      <c r="G47" s="1158"/>
      <c r="H47" s="1158"/>
      <c r="I47" s="1158"/>
      <c r="J47" s="1158"/>
      <c r="K47" s="1158"/>
      <c r="L47" s="1158"/>
      <c r="M47" s="5"/>
      <c r="N47" s="5"/>
      <c r="R47" s="5"/>
      <c r="S47" s="351" t="s">
        <v>6</v>
      </c>
      <c r="T47" s="351"/>
      <c r="U47" s="351"/>
      <c r="V47" s="351"/>
      <c r="W47" s="351"/>
      <c r="X47" s="351"/>
      <c r="Y47" s="2" t="s">
        <v>261</v>
      </c>
      <c r="Z47" s="2" t="s">
        <v>262</v>
      </c>
      <c r="AA47" s="2">
        <v>-8</v>
      </c>
      <c r="AB47" s="398"/>
      <c r="AC47" s="5"/>
      <c r="AD47" s="5"/>
    </row>
    <row r="48" spans="1:30" ht="19.5">
      <c r="A48" s="5"/>
      <c r="B48" s="5"/>
      <c r="C48" s="990" t="s">
        <v>270</v>
      </c>
      <c r="D48" s="991"/>
      <c r="E48" s="991"/>
      <c r="F48" s="991"/>
      <c r="G48" s="991"/>
      <c r="H48" s="992"/>
      <c r="I48" s="241" t="s">
        <v>271</v>
      </c>
      <c r="J48" s="241" t="s">
        <v>272</v>
      </c>
      <c r="K48" s="242" t="s">
        <v>273</v>
      </c>
      <c r="L48" s="235" t="s">
        <v>274</v>
      </c>
      <c r="M48" s="5"/>
      <c r="N48" s="5"/>
      <c r="R48" s="5"/>
      <c r="S48" s="352" t="s">
        <v>264</v>
      </c>
      <c r="T48" s="352"/>
      <c r="U48" s="352"/>
      <c r="V48" s="352"/>
      <c r="W48" s="352"/>
      <c r="X48" s="352"/>
      <c r="Y48" s="2" t="s">
        <v>265</v>
      </c>
      <c r="Z48" s="2" t="s">
        <v>262</v>
      </c>
      <c r="AA48" s="2">
        <v>18</v>
      </c>
      <c r="AB48" s="398"/>
      <c r="AC48" s="5"/>
      <c r="AD48" s="5"/>
    </row>
    <row r="49" spans="1:30" ht="19.5">
      <c r="A49" s="5"/>
      <c r="B49" s="5"/>
      <c r="C49" s="818" t="s">
        <v>369</v>
      </c>
      <c r="D49" s="818"/>
      <c r="E49" s="818"/>
      <c r="F49" s="818"/>
      <c r="G49" s="818"/>
      <c r="H49" s="818"/>
      <c r="I49" s="245">
        <f>Données!E28</f>
        <v>20</v>
      </c>
      <c r="J49" s="245" t="s">
        <v>174</v>
      </c>
      <c r="K49" s="245"/>
      <c r="L49" s="245" t="s">
        <v>174</v>
      </c>
      <c r="M49" s="5"/>
      <c r="N49" s="5"/>
      <c r="R49" s="5"/>
      <c r="S49" s="351" t="s">
        <v>266</v>
      </c>
      <c r="T49" s="351"/>
      <c r="U49" s="351"/>
      <c r="V49" s="351"/>
      <c r="W49" s="351"/>
      <c r="X49" s="351"/>
      <c r="Y49" s="2" t="s">
        <v>267</v>
      </c>
      <c r="Z49" s="2" t="s">
        <v>262</v>
      </c>
      <c r="AA49" s="2">
        <f>AA48-AA47</f>
        <v>26</v>
      </c>
      <c r="AB49" s="399"/>
      <c r="AC49" s="5"/>
      <c r="AD49" s="5"/>
    </row>
    <row r="50" spans="1:30" ht="18.75">
      <c r="A50" s="5"/>
      <c r="B50" s="5"/>
      <c r="C50" s="818" t="s">
        <v>454</v>
      </c>
      <c r="D50" s="818"/>
      <c r="E50" s="818"/>
      <c r="F50" s="818"/>
      <c r="G50" s="818"/>
      <c r="H50" s="818"/>
      <c r="I50" s="245" t="e">
        <f>Données!#REF!</f>
        <v>#REF!</v>
      </c>
      <c r="J50" s="245" t="s">
        <v>174</v>
      </c>
      <c r="K50" s="245"/>
      <c r="L50" s="245" t="s">
        <v>174</v>
      </c>
      <c r="M50" s="5"/>
      <c r="N50" s="5"/>
      <c r="R50" s="5"/>
      <c r="S50" s="418" t="s">
        <v>452</v>
      </c>
      <c r="T50" s="356"/>
      <c r="U50" s="356"/>
      <c r="V50" s="356"/>
      <c r="W50" s="356"/>
      <c r="X50" s="356"/>
      <c r="Y50" s="356"/>
      <c r="Z50" s="356"/>
      <c r="AA50" s="356"/>
      <c r="AB50" s="273">
        <f>(AB28+AB44)*AA49</f>
        <v>544.66884974492871</v>
      </c>
      <c r="AC50" s="2" t="s">
        <v>453</v>
      </c>
      <c r="AD50" s="5"/>
    </row>
    <row r="51" spans="1:30">
      <c r="A51" s="5"/>
      <c r="B51" s="5"/>
      <c r="C51" s="818" t="s">
        <v>455</v>
      </c>
      <c r="D51" s="818"/>
      <c r="E51" s="818"/>
      <c r="F51" s="818"/>
      <c r="G51" s="818"/>
      <c r="H51" s="818"/>
      <c r="I51" s="245">
        <f>Données!G46</f>
        <v>16</v>
      </c>
      <c r="J51" s="245" t="s">
        <v>174</v>
      </c>
      <c r="K51" s="245">
        <f>K44-I51</f>
        <v>2</v>
      </c>
      <c r="L51" s="245" t="s">
        <v>174</v>
      </c>
      <c r="M51" s="5"/>
      <c r="N51" s="5"/>
      <c r="R51" s="5"/>
      <c r="S51" s="235" t="s">
        <v>269</v>
      </c>
      <c r="T51" s="235"/>
      <c r="U51" s="235"/>
      <c r="V51" s="235"/>
      <c r="W51" s="235"/>
      <c r="X51" s="235"/>
      <c r="Y51" s="235"/>
      <c r="Z51" s="235"/>
      <c r="AA51" s="235"/>
      <c r="AB51" s="235"/>
      <c r="AC51" s="5"/>
      <c r="AD51" s="5"/>
    </row>
    <row r="52" spans="1:30">
      <c r="A52" s="5"/>
      <c r="B52" s="5"/>
      <c r="C52" s="971" t="s">
        <v>372</v>
      </c>
      <c r="D52" s="971"/>
      <c r="E52" s="971"/>
      <c r="F52" s="971"/>
      <c r="G52" s="971"/>
      <c r="H52" s="971"/>
      <c r="I52" s="245">
        <f>Données!E25</f>
        <v>20</v>
      </c>
      <c r="J52" s="245" t="s">
        <v>174</v>
      </c>
      <c r="K52" s="245"/>
      <c r="L52" s="245" t="s">
        <v>174</v>
      </c>
      <c r="M52" s="5"/>
      <c r="N52" s="5"/>
      <c r="R52" s="5"/>
      <c r="S52" s="348" t="s">
        <v>270</v>
      </c>
      <c r="T52" s="349"/>
      <c r="U52" s="349"/>
      <c r="V52" s="349"/>
      <c r="W52" s="349"/>
      <c r="X52" s="350"/>
      <c r="Y52" s="241" t="s">
        <v>271</v>
      </c>
      <c r="Z52" s="241" t="s">
        <v>272</v>
      </c>
      <c r="AA52" s="242" t="s">
        <v>273</v>
      </c>
      <c r="AB52" s="235" t="s">
        <v>274</v>
      </c>
      <c r="AC52" s="5"/>
      <c r="AD52" s="5"/>
    </row>
    <row r="53" spans="1:30">
      <c r="A53" s="5"/>
      <c r="B53" s="5"/>
      <c r="C53" s="1046" t="s">
        <v>456</v>
      </c>
      <c r="D53" s="1047"/>
      <c r="E53" s="1047"/>
      <c r="F53" s="1047"/>
      <c r="G53" s="1047"/>
      <c r="H53" s="1048"/>
      <c r="I53" s="260">
        <f>Données!G51</f>
        <v>18</v>
      </c>
      <c r="J53" s="260" t="s">
        <v>174</v>
      </c>
      <c r="K53" s="245">
        <f>K44-I53</f>
        <v>0</v>
      </c>
      <c r="L53" s="260" t="s">
        <v>174</v>
      </c>
      <c r="M53" s="5"/>
      <c r="N53" s="5"/>
      <c r="R53" s="5"/>
      <c r="S53" s="351" t="s">
        <v>369</v>
      </c>
      <c r="T53" s="351"/>
      <c r="U53" s="351"/>
      <c r="V53" s="351"/>
      <c r="W53" s="351"/>
      <c r="X53" s="351"/>
      <c r="Y53" s="245">
        <f>Données!E28</f>
        <v>20</v>
      </c>
      <c r="Z53" s="245">
        <v>24</v>
      </c>
      <c r="AA53" s="245">
        <f t="shared" ref="AA53:AA59" si="1">AA$48-Y53</f>
        <v>-2</v>
      </c>
      <c r="AB53" s="245" t="s">
        <v>174</v>
      </c>
      <c r="AC53" s="5"/>
      <c r="AD53" s="5"/>
    </row>
    <row r="54" spans="1:30">
      <c r="A54" s="5"/>
      <c r="B54" s="5"/>
      <c r="C54" s="1046" t="s">
        <v>457</v>
      </c>
      <c r="D54" s="1047"/>
      <c r="E54" s="1047"/>
      <c r="F54" s="1047"/>
      <c r="G54" s="1047"/>
      <c r="H54" s="1048"/>
      <c r="I54" s="260">
        <f>Données!G36</f>
        <v>23.080500000000001</v>
      </c>
      <c r="J54" s="260" t="s">
        <v>174</v>
      </c>
      <c r="K54" s="245">
        <f>K44-I54</f>
        <v>-5.0805000000000007</v>
      </c>
      <c r="L54" s="260" t="s">
        <v>174</v>
      </c>
      <c r="M54" s="5"/>
      <c r="N54" s="5"/>
      <c r="R54" s="5"/>
      <c r="S54" s="351" t="s">
        <v>454</v>
      </c>
      <c r="T54" s="351"/>
      <c r="U54" s="351"/>
      <c r="V54" s="351"/>
      <c r="W54" s="351"/>
      <c r="X54" s="351"/>
      <c r="Y54" s="245">
        <f>Données!E23</f>
        <v>22</v>
      </c>
      <c r="Z54" s="245">
        <v>26</v>
      </c>
      <c r="AA54" s="245">
        <f t="shared" si="1"/>
        <v>-4</v>
      </c>
      <c r="AB54" s="245" t="s">
        <v>174</v>
      </c>
      <c r="AC54" s="5"/>
      <c r="AD54" s="5"/>
    </row>
    <row r="55" spans="1:30">
      <c r="A55" s="5"/>
      <c r="B55" s="5"/>
      <c r="C55" s="1046" t="s">
        <v>458</v>
      </c>
      <c r="D55" s="1047"/>
      <c r="E55" s="1047"/>
      <c r="F55" s="1047"/>
      <c r="G55" s="1047"/>
      <c r="H55" s="1048"/>
      <c r="I55" s="260">
        <f>Données!G35</f>
        <v>12.27</v>
      </c>
      <c r="J55" s="260" t="s">
        <v>174</v>
      </c>
      <c r="K55" s="260">
        <f>K44-I55</f>
        <v>5.73</v>
      </c>
      <c r="L55" s="260" t="s">
        <v>174</v>
      </c>
      <c r="M55" s="5"/>
      <c r="N55" s="5"/>
      <c r="R55" s="5"/>
      <c r="S55" s="351" t="s">
        <v>455</v>
      </c>
      <c r="T55" s="351"/>
      <c r="U55" s="351"/>
      <c r="V55" s="351"/>
      <c r="W55" s="351"/>
      <c r="X55" s="351"/>
      <c r="Y55" s="245">
        <v>16</v>
      </c>
      <c r="Z55" s="245">
        <v>25</v>
      </c>
      <c r="AA55" s="245">
        <f t="shared" si="1"/>
        <v>2</v>
      </c>
      <c r="AB55" s="245" t="s">
        <v>174</v>
      </c>
      <c r="AC55" s="5"/>
      <c r="AD55" s="5"/>
    </row>
    <row r="56" spans="1:30">
      <c r="A56" s="5"/>
      <c r="B56" s="5"/>
      <c r="C56" s="1046" t="s">
        <v>459</v>
      </c>
      <c r="D56" s="1047"/>
      <c r="E56" s="1047"/>
      <c r="F56" s="1047"/>
      <c r="G56" s="1047"/>
      <c r="H56" s="1048"/>
      <c r="I56" s="260">
        <f>Données!E31</f>
        <v>20</v>
      </c>
      <c r="J56" s="260" t="s">
        <v>174</v>
      </c>
      <c r="K56" s="260">
        <f>K45-I56</f>
        <v>6</v>
      </c>
      <c r="L56" s="260" t="s">
        <v>174</v>
      </c>
      <c r="M56" s="5"/>
      <c r="N56" s="5"/>
      <c r="R56" s="5"/>
      <c r="S56" s="352" t="s">
        <v>372</v>
      </c>
      <c r="T56" s="352"/>
      <c r="U56" s="352"/>
      <c r="V56" s="352"/>
      <c r="W56" s="352"/>
      <c r="X56" s="352"/>
      <c r="Y56" s="245">
        <f>Données!E25</f>
        <v>20</v>
      </c>
      <c r="Z56" s="245">
        <v>26</v>
      </c>
      <c r="AA56" s="245">
        <f t="shared" si="1"/>
        <v>-2</v>
      </c>
      <c r="AB56" s="245" t="s">
        <v>174</v>
      </c>
      <c r="AC56" s="5"/>
      <c r="AD56" s="5"/>
    </row>
    <row r="57" spans="1:30">
      <c r="A57" s="5"/>
      <c r="B57" s="5"/>
      <c r="C57" s="5"/>
      <c r="D57" s="5"/>
      <c r="E57" s="5"/>
      <c r="F57" s="5"/>
      <c r="G57" s="5"/>
      <c r="H57" s="5"/>
      <c r="I57" s="5"/>
      <c r="J57" s="5"/>
      <c r="K57" s="5"/>
      <c r="L57" s="5"/>
      <c r="M57" s="5"/>
      <c r="N57" s="5"/>
      <c r="R57" s="5"/>
      <c r="S57" s="392" t="s">
        <v>456</v>
      </c>
      <c r="T57" s="393"/>
      <c r="U57" s="393"/>
      <c r="V57" s="393"/>
      <c r="W57" s="393"/>
      <c r="X57" s="394"/>
      <c r="Y57" s="260">
        <f>Données!G51</f>
        <v>18</v>
      </c>
      <c r="Z57" s="260">
        <v>25</v>
      </c>
      <c r="AA57" s="245">
        <f t="shared" si="1"/>
        <v>0</v>
      </c>
      <c r="AB57" s="260" t="s">
        <v>174</v>
      </c>
      <c r="AC57" s="5"/>
      <c r="AD57" s="5"/>
    </row>
    <row r="58" spans="1:30">
      <c r="A58" s="5"/>
      <c r="B58" s="5"/>
      <c r="C58" s="5"/>
      <c r="D58" s="5"/>
      <c r="E58" s="5"/>
      <c r="F58" s="5"/>
      <c r="G58" s="5"/>
      <c r="H58" s="5"/>
      <c r="I58" s="5"/>
      <c r="J58" s="5"/>
      <c r="K58" s="5"/>
      <c r="L58" s="5"/>
      <c r="M58" s="5"/>
      <c r="N58" s="5"/>
      <c r="R58" s="5"/>
      <c r="S58" s="392" t="s">
        <v>460</v>
      </c>
      <c r="T58" s="393"/>
      <c r="U58" s="393"/>
      <c r="V58" s="393"/>
      <c r="W58" s="393"/>
      <c r="X58" s="394"/>
      <c r="Y58" s="260">
        <f>Données!G50</f>
        <v>10</v>
      </c>
      <c r="Z58" s="260">
        <v>20</v>
      </c>
      <c r="AA58" s="245">
        <f t="shared" si="1"/>
        <v>8</v>
      </c>
      <c r="AB58" s="260" t="s">
        <v>174</v>
      </c>
      <c r="AC58" s="5"/>
      <c r="AD58" s="5"/>
    </row>
    <row r="59" spans="1:30">
      <c r="A59" s="5"/>
      <c r="B59" s="5"/>
      <c r="C59" s="5"/>
      <c r="D59" s="5"/>
      <c r="E59" s="5"/>
      <c r="F59" s="5"/>
      <c r="G59" s="5"/>
      <c r="H59" s="5"/>
      <c r="I59" s="5"/>
      <c r="J59" s="5"/>
      <c r="K59" s="5"/>
      <c r="L59" s="5"/>
      <c r="M59" s="5"/>
      <c r="N59" s="5"/>
      <c r="R59" s="5"/>
      <c r="S59" s="392" t="s">
        <v>458</v>
      </c>
      <c r="T59" s="393"/>
      <c r="U59" s="393"/>
      <c r="V59" s="393"/>
      <c r="W59" s="393"/>
      <c r="X59" s="394"/>
      <c r="Y59" s="260">
        <f>Données!G45</f>
        <v>16</v>
      </c>
      <c r="Z59" s="260">
        <v>26</v>
      </c>
      <c r="AA59" s="245">
        <f t="shared" si="1"/>
        <v>2</v>
      </c>
      <c r="AB59" s="260" t="s">
        <v>174</v>
      </c>
      <c r="AC59" s="5"/>
      <c r="AD59" s="5"/>
    </row>
    <row r="60" spans="1:30">
      <c r="A60" s="5"/>
      <c r="B60" s="5"/>
      <c r="C60" s="5"/>
      <c r="D60" s="5"/>
      <c r="E60" s="5"/>
      <c r="F60" s="5"/>
      <c r="G60" s="5"/>
      <c r="H60" s="5"/>
      <c r="I60" s="5"/>
      <c r="J60" s="5"/>
      <c r="K60" s="5"/>
      <c r="L60" s="5"/>
      <c r="M60" s="5"/>
      <c r="N60" s="5"/>
      <c r="R60" s="5"/>
      <c r="S60" s="392" t="s">
        <v>459</v>
      </c>
      <c r="T60" s="393"/>
      <c r="U60" s="393"/>
      <c r="V60" s="393"/>
      <c r="W60" s="393"/>
      <c r="X60" s="394"/>
      <c r="Y60" s="260">
        <f>Données!G58</f>
        <v>10</v>
      </c>
      <c r="Z60" s="260">
        <v>20</v>
      </c>
      <c r="AA60" s="260">
        <f>AA48-Y60</f>
        <v>8</v>
      </c>
      <c r="AB60" s="260" t="s">
        <v>174</v>
      </c>
      <c r="AC60" s="5"/>
      <c r="AD60" s="5"/>
    </row>
    <row r="61" spans="1:30">
      <c r="Z61" t="s">
        <v>461</v>
      </c>
      <c r="AC61" s="5"/>
      <c r="AD61" s="5"/>
    </row>
    <row r="62" spans="1:30">
      <c r="A62" s="5"/>
      <c r="B62" s="5"/>
      <c r="C62" s="5"/>
      <c r="D62" s="5"/>
      <c r="E62" s="5"/>
      <c r="F62" s="5"/>
      <c r="G62" s="5"/>
      <c r="H62" s="5"/>
      <c r="I62" s="5"/>
      <c r="J62" s="5"/>
      <c r="K62" s="5"/>
      <c r="L62" s="5"/>
      <c r="M62" s="5"/>
      <c r="R62" s="5"/>
      <c r="S62" s="5"/>
      <c r="T62" s="5"/>
      <c r="U62" s="5"/>
      <c r="V62" s="5"/>
      <c r="W62" s="5"/>
      <c r="X62" s="5"/>
      <c r="Y62" s="5"/>
      <c r="Z62" s="5"/>
      <c r="AA62" s="5"/>
      <c r="AB62" s="5"/>
      <c r="AC62" s="5"/>
    </row>
    <row r="63" spans="1:30">
      <c r="A63" s="1182"/>
      <c r="B63" s="1182"/>
      <c r="C63" s="5"/>
      <c r="D63" s="5"/>
      <c r="E63" s="5"/>
      <c r="F63" s="5"/>
      <c r="G63" s="5"/>
      <c r="H63" s="5"/>
      <c r="I63" s="5"/>
      <c r="J63" s="5"/>
      <c r="K63" s="5"/>
      <c r="L63" s="5"/>
      <c r="R63" s="5"/>
      <c r="S63" s="5"/>
      <c r="T63" s="5"/>
      <c r="U63" s="5"/>
      <c r="V63" s="5"/>
      <c r="W63" s="5"/>
      <c r="X63" s="5"/>
      <c r="Y63" s="5"/>
      <c r="Z63" s="5"/>
      <c r="AA63" s="5"/>
      <c r="AB63" s="5"/>
      <c r="AC63" s="5"/>
    </row>
    <row r="64" spans="1:30">
      <c r="A64" s="5"/>
      <c r="B64" s="5"/>
      <c r="C64" s="1183" t="s">
        <v>462</v>
      </c>
      <c r="D64" s="1183"/>
      <c r="E64" s="1183"/>
      <c r="F64" s="1183"/>
      <c r="G64" s="1183"/>
      <c r="H64" s="1183"/>
      <c r="I64" s="1183"/>
      <c r="J64" s="1183"/>
      <c r="K64" s="1180"/>
      <c r="L64" s="286"/>
      <c r="M64" s="250"/>
    </row>
    <row r="65" spans="1:30" ht="18">
      <c r="A65" s="5"/>
      <c r="B65" s="5"/>
      <c r="C65" s="994" t="s">
        <v>220</v>
      </c>
      <c r="D65" s="994" t="s">
        <v>221</v>
      </c>
      <c r="E65" s="994"/>
      <c r="F65" s="994"/>
      <c r="G65" s="994"/>
      <c r="H65" s="108" t="s">
        <v>222</v>
      </c>
      <c r="I65" s="108" t="s">
        <v>223</v>
      </c>
      <c r="J65" s="108" t="s">
        <v>224</v>
      </c>
      <c r="K65" s="91" t="s">
        <v>225</v>
      </c>
      <c r="L65" s="287"/>
      <c r="M65" s="250"/>
      <c r="R65" s="5"/>
      <c r="S65" s="5"/>
      <c r="T65" s="5"/>
      <c r="U65" s="5"/>
      <c r="V65" s="5"/>
      <c r="W65" s="5"/>
      <c r="X65" s="5"/>
      <c r="Y65" s="5"/>
      <c r="Z65" s="5"/>
      <c r="AA65" s="5"/>
      <c r="AB65" s="5"/>
      <c r="AC65" s="5"/>
      <c r="AD65" s="5"/>
    </row>
    <row r="66" spans="1:30" ht="18.75">
      <c r="A66" s="5"/>
      <c r="B66" s="5"/>
      <c r="C66" s="994"/>
      <c r="D66" s="994"/>
      <c r="E66" s="994"/>
      <c r="F66" s="994"/>
      <c r="G66" s="994"/>
      <c r="H66" s="2" t="s">
        <v>226</v>
      </c>
      <c r="I66" s="89" t="s">
        <v>227</v>
      </c>
      <c r="J66" s="89" t="s">
        <v>228</v>
      </c>
      <c r="K66" s="92" t="s">
        <v>229</v>
      </c>
      <c r="L66" s="287"/>
      <c r="M66" s="250"/>
      <c r="R66" s="1182" t="s">
        <v>429</v>
      </c>
      <c r="S66" s="1182"/>
      <c r="T66" s="5"/>
      <c r="U66" s="5"/>
      <c r="V66" s="5"/>
      <c r="W66" s="5"/>
      <c r="X66" s="5"/>
      <c r="Y66" s="5"/>
      <c r="Z66" s="5"/>
      <c r="AA66" s="5"/>
      <c r="AB66" s="5"/>
      <c r="AC66" s="5"/>
    </row>
    <row r="67" spans="1:30">
      <c r="A67" s="5"/>
      <c r="B67" s="5"/>
      <c r="C67" s="2"/>
      <c r="D67" s="807"/>
      <c r="E67" s="807"/>
      <c r="F67" s="807"/>
      <c r="G67" s="807"/>
      <c r="H67" s="2"/>
      <c r="I67" s="2"/>
      <c r="J67" s="2"/>
      <c r="K67" s="237"/>
      <c r="L67" s="287"/>
      <c r="M67" s="250"/>
      <c r="R67" s="5"/>
      <c r="S67" s="5"/>
      <c r="T67" s="1183" t="s">
        <v>462</v>
      </c>
      <c r="U67" s="1183"/>
      <c r="V67" s="1183"/>
      <c r="W67" s="1183"/>
      <c r="X67" s="1183"/>
      <c r="Y67" s="1183"/>
      <c r="Z67" s="1183"/>
      <c r="AA67" s="1183"/>
      <c r="AB67" s="1180"/>
      <c r="AC67" s="286"/>
      <c r="AD67" s="250"/>
    </row>
    <row r="68" spans="1:30" ht="18">
      <c r="A68" s="5"/>
      <c r="B68" s="5"/>
      <c r="C68" s="1005"/>
      <c r="D68" s="1006"/>
      <c r="E68" s="1006"/>
      <c r="F68" s="1006"/>
      <c r="G68" s="1006"/>
      <c r="H68" s="1006"/>
      <c r="I68" s="1006"/>
      <c r="J68" s="1007"/>
      <c r="K68" s="105">
        <f>SUM(K67:K67)</f>
        <v>0</v>
      </c>
      <c r="L68" s="287"/>
      <c r="M68" s="250"/>
      <c r="R68" s="5"/>
      <c r="S68" s="5"/>
      <c r="T68" s="994" t="s">
        <v>220</v>
      </c>
      <c r="U68" s="994" t="s">
        <v>221</v>
      </c>
      <c r="V68" s="994"/>
      <c r="W68" s="994"/>
      <c r="X68" s="994"/>
      <c r="Y68" s="108" t="s">
        <v>222</v>
      </c>
      <c r="Z68" s="108" t="s">
        <v>223</v>
      </c>
      <c r="AA68" s="108" t="s">
        <v>224</v>
      </c>
      <c r="AB68" s="91" t="s">
        <v>225</v>
      </c>
      <c r="AC68" s="287"/>
      <c r="AD68" s="250"/>
    </row>
    <row r="69" spans="1:30" ht="19.5">
      <c r="A69" s="5"/>
      <c r="B69" s="5"/>
      <c r="C69" s="995" t="s">
        <v>463</v>
      </c>
      <c r="D69" s="996"/>
      <c r="E69" s="996"/>
      <c r="F69" s="996"/>
      <c r="G69" s="996"/>
      <c r="H69" s="996"/>
      <c r="I69" s="1028" t="s">
        <v>245</v>
      </c>
      <c r="J69" s="1028"/>
      <c r="K69" s="1129"/>
      <c r="L69" s="287"/>
      <c r="M69" s="250"/>
      <c r="R69" s="5"/>
      <c r="S69" s="5"/>
      <c r="T69" s="994"/>
      <c r="U69" s="994"/>
      <c r="V69" s="994"/>
      <c r="W69" s="994"/>
      <c r="X69" s="994"/>
      <c r="Y69" s="2" t="s">
        <v>226</v>
      </c>
      <c r="Z69" s="89" t="s">
        <v>227</v>
      </c>
      <c r="AA69" s="89" t="s">
        <v>228</v>
      </c>
      <c r="AB69" s="92" t="s">
        <v>229</v>
      </c>
      <c r="AC69" s="287"/>
      <c r="AD69" s="250"/>
    </row>
    <row r="70" spans="1:30">
      <c r="A70" s="5"/>
      <c r="B70" s="5"/>
      <c r="C70" s="1183" t="s">
        <v>315</v>
      </c>
      <c r="D70" s="1183"/>
      <c r="E70" s="1183"/>
      <c r="F70" s="1183"/>
      <c r="G70" s="1183"/>
      <c r="H70" s="1183"/>
      <c r="I70" s="1183"/>
      <c r="J70" s="1183"/>
      <c r="K70" s="1180"/>
      <c r="L70" s="287"/>
      <c r="M70" s="250"/>
      <c r="R70" s="5"/>
      <c r="S70" s="5"/>
      <c r="T70" s="2"/>
      <c r="U70" s="807"/>
      <c r="V70" s="807"/>
      <c r="W70" s="807"/>
      <c r="X70" s="807"/>
      <c r="Y70" s="2"/>
      <c r="Z70" s="2"/>
      <c r="AA70" s="2"/>
      <c r="AB70" s="237"/>
      <c r="AC70" s="287"/>
      <c r="AD70" s="250"/>
    </row>
    <row r="71" spans="1:30" ht="18">
      <c r="A71" s="5"/>
      <c r="B71" s="5"/>
      <c r="C71" s="994" t="s">
        <v>220</v>
      </c>
      <c r="D71" s="994" t="s">
        <v>249</v>
      </c>
      <c r="E71" s="994"/>
      <c r="F71" s="994"/>
      <c r="G71" s="994"/>
      <c r="H71" s="108" t="s">
        <v>222</v>
      </c>
      <c r="I71" s="108" t="s">
        <v>223</v>
      </c>
      <c r="J71" s="196" t="s">
        <v>464</v>
      </c>
      <c r="K71" s="231" t="s">
        <v>465</v>
      </c>
      <c r="L71" s="287"/>
      <c r="M71" s="250"/>
      <c r="R71" s="5"/>
      <c r="S71" s="5"/>
      <c r="T71" s="1005"/>
      <c r="U71" s="1006"/>
      <c r="V71" s="1006"/>
      <c r="W71" s="1006"/>
      <c r="X71" s="1006"/>
      <c r="Y71" s="1006"/>
      <c r="Z71" s="1006"/>
      <c r="AA71" s="1007"/>
      <c r="AB71" s="105">
        <f>SUM(AB70:AB70)</f>
        <v>0</v>
      </c>
      <c r="AC71" s="287"/>
      <c r="AD71" s="250"/>
    </row>
    <row r="72" spans="1:30" ht="19.5">
      <c r="A72" s="5"/>
      <c r="B72" s="5"/>
      <c r="C72" s="994"/>
      <c r="D72" s="994"/>
      <c r="E72" s="994"/>
      <c r="F72" s="994"/>
      <c r="G72" s="994"/>
      <c r="H72" s="2" t="s">
        <v>226</v>
      </c>
      <c r="I72" s="89" t="s">
        <v>227</v>
      </c>
      <c r="J72" s="89" t="s">
        <v>228</v>
      </c>
      <c r="K72" s="92" t="s">
        <v>229</v>
      </c>
      <c r="L72" s="287"/>
      <c r="M72" s="250"/>
      <c r="R72" s="5"/>
      <c r="S72" s="5"/>
      <c r="T72" s="995" t="s">
        <v>463</v>
      </c>
      <c r="U72" s="996"/>
      <c r="V72" s="996"/>
      <c r="W72" s="996"/>
      <c r="X72" s="996"/>
      <c r="Y72" s="996"/>
      <c r="Z72" s="1028" t="s">
        <v>245</v>
      </c>
      <c r="AA72" s="1028"/>
      <c r="AB72" s="1129"/>
      <c r="AC72" s="287"/>
      <c r="AD72" s="250"/>
    </row>
    <row r="73" spans="1:30">
      <c r="A73" s="5"/>
      <c r="B73" s="5"/>
      <c r="C73" s="221"/>
      <c r="D73" s="1184"/>
      <c r="E73" s="1185"/>
      <c r="F73" s="1185"/>
      <c r="G73" s="1186"/>
      <c r="H73" s="2"/>
      <c r="I73" s="89"/>
      <c r="J73" s="89"/>
      <c r="K73" s="92"/>
      <c r="L73" s="287"/>
      <c r="M73" s="250"/>
      <c r="R73" s="5"/>
      <c r="S73" s="5"/>
      <c r="T73" s="1183" t="s">
        <v>315</v>
      </c>
      <c r="U73" s="1183"/>
      <c r="V73" s="1183"/>
      <c r="W73" s="1183"/>
      <c r="X73" s="1183"/>
      <c r="Y73" s="1183"/>
      <c r="Z73" s="1183"/>
      <c r="AA73" s="1183"/>
      <c r="AB73" s="1180"/>
      <c r="AC73" s="287"/>
      <c r="AD73" s="250"/>
    </row>
    <row r="74" spans="1:30" ht="18">
      <c r="A74" s="5"/>
      <c r="B74" s="5"/>
      <c r="C74" s="818" t="s">
        <v>318</v>
      </c>
      <c r="D74" s="818"/>
      <c r="E74" s="818"/>
      <c r="F74" s="818"/>
      <c r="G74" s="818"/>
      <c r="H74" s="818"/>
      <c r="I74" s="818"/>
      <c r="J74" s="818"/>
      <c r="K74" s="91"/>
      <c r="L74" s="287"/>
      <c r="M74" s="250"/>
      <c r="R74" s="5"/>
      <c r="S74" s="5"/>
      <c r="T74" s="994" t="s">
        <v>220</v>
      </c>
      <c r="U74" s="994" t="s">
        <v>249</v>
      </c>
      <c r="V74" s="994"/>
      <c r="W74" s="994"/>
      <c r="X74" s="994"/>
      <c r="Y74" s="108" t="s">
        <v>222</v>
      </c>
      <c r="Z74" s="108" t="s">
        <v>223</v>
      </c>
      <c r="AA74" s="196" t="s">
        <v>464</v>
      </c>
      <c r="AB74" s="231" t="s">
        <v>465</v>
      </c>
      <c r="AC74" s="287"/>
      <c r="AD74" s="250"/>
    </row>
    <row r="75" spans="1:30" ht="18.75">
      <c r="A75" s="5"/>
      <c r="B75" s="5"/>
      <c r="C75" s="1003" t="s">
        <v>466</v>
      </c>
      <c r="D75" s="1003"/>
      <c r="E75" s="1003"/>
      <c r="F75" s="1003"/>
      <c r="G75" s="1003"/>
      <c r="H75" s="1003"/>
      <c r="I75" s="1003"/>
      <c r="J75" s="1003"/>
      <c r="K75" s="1004"/>
      <c r="L75" s="287"/>
      <c r="M75" s="250"/>
      <c r="R75" s="5"/>
      <c r="S75" s="5"/>
      <c r="T75" s="994"/>
      <c r="U75" s="994"/>
      <c r="V75" s="994"/>
      <c r="W75" s="994"/>
      <c r="X75" s="994"/>
      <c r="Y75" s="2" t="s">
        <v>226</v>
      </c>
      <c r="Z75" s="89" t="s">
        <v>227</v>
      </c>
      <c r="AA75" s="89" t="s">
        <v>228</v>
      </c>
      <c r="AB75" s="92" t="s">
        <v>229</v>
      </c>
      <c r="AC75" s="287"/>
      <c r="AD75" s="250"/>
    </row>
    <row r="76" spans="1:30">
      <c r="A76" s="5"/>
      <c r="B76" s="5"/>
      <c r="C76" s="1180" t="s">
        <v>467</v>
      </c>
      <c r="D76" s="1181"/>
      <c r="E76" s="1181"/>
      <c r="F76" s="1181"/>
      <c r="G76" s="1181"/>
      <c r="H76" s="1181"/>
      <c r="I76" s="1181"/>
      <c r="J76" s="1181"/>
      <c r="K76" s="1181"/>
      <c r="L76" s="287"/>
      <c r="M76" s="250"/>
      <c r="R76" s="5"/>
      <c r="S76" s="5"/>
      <c r="T76" s="221"/>
      <c r="U76" s="1184"/>
      <c r="V76" s="1185"/>
      <c r="W76" s="1185"/>
      <c r="X76" s="1186"/>
      <c r="Y76" s="2"/>
      <c r="Z76" s="89"/>
      <c r="AA76" s="89"/>
      <c r="AB76" s="92"/>
      <c r="AC76" s="287"/>
      <c r="AD76" s="250"/>
    </row>
    <row r="77" spans="1:30" ht="18">
      <c r="A77" s="5"/>
      <c r="B77" s="5"/>
      <c r="C77" s="994" t="s">
        <v>220</v>
      </c>
      <c r="D77" s="994" t="s">
        <v>249</v>
      </c>
      <c r="E77" s="994"/>
      <c r="F77" s="994"/>
      <c r="G77" s="994"/>
      <c r="H77" s="196" t="s">
        <v>222</v>
      </c>
      <c r="I77" s="196" t="s">
        <v>223</v>
      </c>
      <c r="J77" s="108" t="s">
        <v>468</v>
      </c>
      <c r="K77" s="109" t="s">
        <v>225</v>
      </c>
      <c r="L77" s="287"/>
      <c r="M77" s="250"/>
      <c r="R77" s="5"/>
      <c r="S77" s="5"/>
      <c r="T77" s="818" t="s">
        <v>318</v>
      </c>
      <c r="U77" s="818"/>
      <c r="V77" s="818"/>
      <c r="W77" s="818"/>
      <c r="X77" s="818"/>
      <c r="Y77" s="818"/>
      <c r="Z77" s="818"/>
      <c r="AA77" s="818"/>
      <c r="AB77" s="91"/>
      <c r="AC77" s="287"/>
      <c r="AD77" s="250"/>
    </row>
    <row r="78" spans="1:30" ht="18">
      <c r="A78" s="5"/>
      <c r="B78" s="5"/>
      <c r="C78" s="994"/>
      <c r="D78" s="994"/>
      <c r="E78" s="994"/>
      <c r="F78" s="994"/>
      <c r="G78" s="994"/>
      <c r="H78" s="62" t="s">
        <v>226</v>
      </c>
      <c r="I78" s="197" t="s">
        <v>227</v>
      </c>
      <c r="J78" s="197" t="s">
        <v>228</v>
      </c>
      <c r="K78" s="232" t="s">
        <v>229</v>
      </c>
      <c r="L78" s="287"/>
      <c r="M78" s="250"/>
      <c r="R78" s="5"/>
      <c r="S78" s="5"/>
      <c r="T78" s="1003" t="s">
        <v>466</v>
      </c>
      <c r="U78" s="1003"/>
      <c r="V78" s="1003"/>
      <c r="W78" s="1003"/>
      <c r="X78" s="1003"/>
      <c r="Y78" s="1003"/>
      <c r="Z78" s="1003"/>
      <c r="AA78" s="1003"/>
      <c r="AB78" s="1004"/>
      <c r="AC78" s="287"/>
      <c r="AD78" s="250"/>
    </row>
    <row r="79" spans="1:30">
      <c r="A79" s="5"/>
      <c r="B79" s="5"/>
      <c r="C79" s="1"/>
      <c r="D79" s="862"/>
      <c r="E79" s="863"/>
      <c r="F79" s="863"/>
      <c r="G79" s="864"/>
      <c r="H79" s="1"/>
      <c r="I79" s="1"/>
      <c r="J79" s="1"/>
      <c r="K79" s="119"/>
      <c r="L79" s="287"/>
      <c r="M79" s="250"/>
      <c r="R79" s="5"/>
      <c r="S79" s="5"/>
      <c r="T79" s="1180" t="s">
        <v>467</v>
      </c>
      <c r="U79" s="1181"/>
      <c r="V79" s="1181"/>
      <c r="W79" s="1181"/>
      <c r="X79" s="1181"/>
      <c r="Y79" s="1181"/>
      <c r="Z79" s="1181"/>
      <c r="AA79" s="1181"/>
      <c r="AB79" s="1181"/>
      <c r="AC79" s="287"/>
      <c r="AD79" s="250"/>
    </row>
    <row r="80" spans="1:30" ht="18.75">
      <c r="A80" s="5"/>
      <c r="B80" s="5"/>
      <c r="C80" s="1174" t="s">
        <v>469</v>
      </c>
      <c r="D80" s="1175"/>
      <c r="E80" s="1175"/>
      <c r="F80" s="1175"/>
      <c r="G80" s="1175"/>
      <c r="H80" s="1176"/>
      <c r="I80" s="1030" t="s">
        <v>288</v>
      </c>
      <c r="J80" s="1139"/>
      <c r="K80" s="1139"/>
      <c r="L80" s="287"/>
      <c r="M80" s="250"/>
      <c r="R80" s="5"/>
      <c r="S80" s="5"/>
      <c r="T80" s="994" t="s">
        <v>220</v>
      </c>
      <c r="U80" s="994" t="s">
        <v>249</v>
      </c>
      <c r="V80" s="994"/>
      <c r="W80" s="994"/>
      <c r="X80" s="994"/>
      <c r="Y80" s="196" t="s">
        <v>222</v>
      </c>
      <c r="Z80" s="196" t="s">
        <v>223</v>
      </c>
      <c r="AA80" s="108" t="s">
        <v>468</v>
      </c>
      <c r="AB80" s="109" t="s">
        <v>225</v>
      </c>
      <c r="AC80" s="287"/>
      <c r="AD80" s="250"/>
    </row>
    <row r="81" spans="1:30" ht="18">
      <c r="A81" s="5"/>
      <c r="B81" s="5"/>
      <c r="C81" s="1177" t="s">
        <v>470</v>
      </c>
      <c r="D81" s="1178"/>
      <c r="E81" s="1178"/>
      <c r="F81" s="1178"/>
      <c r="G81" s="1178"/>
      <c r="H81" s="1178"/>
      <c r="I81" s="1179"/>
      <c r="J81" s="101"/>
      <c r="K81" s="227"/>
      <c r="L81" s="287"/>
      <c r="M81" s="250"/>
      <c r="R81" s="5"/>
      <c r="S81" s="5"/>
      <c r="T81" s="994"/>
      <c r="U81" s="994"/>
      <c r="V81" s="994"/>
      <c r="W81" s="994"/>
      <c r="X81" s="994"/>
      <c r="Y81" s="62" t="s">
        <v>226</v>
      </c>
      <c r="Z81" s="197" t="s">
        <v>227</v>
      </c>
      <c r="AA81" s="197" t="s">
        <v>228</v>
      </c>
      <c r="AB81" s="232" t="s">
        <v>229</v>
      </c>
      <c r="AC81" s="287"/>
      <c r="AD81" s="250"/>
    </row>
    <row r="82" spans="1:30" ht="18">
      <c r="A82" s="5"/>
      <c r="B82" s="5"/>
      <c r="C82" s="1008" t="s">
        <v>220</v>
      </c>
      <c r="D82" s="1009" t="s">
        <v>221</v>
      </c>
      <c r="E82" s="1010"/>
      <c r="F82" s="1010"/>
      <c r="G82" s="1010"/>
      <c r="H82" s="196" t="s">
        <v>232</v>
      </c>
      <c r="I82" s="196" t="s">
        <v>222</v>
      </c>
      <c r="J82" s="196" t="s">
        <v>223</v>
      </c>
      <c r="K82" s="231" t="s">
        <v>233</v>
      </c>
      <c r="L82" s="287"/>
      <c r="M82" s="250"/>
      <c r="R82" s="5"/>
      <c r="S82" s="5"/>
      <c r="T82" s="1"/>
      <c r="U82" s="862"/>
      <c r="V82" s="863"/>
      <c r="W82" s="863"/>
      <c r="X82" s="864"/>
      <c r="Y82" s="1"/>
      <c r="Z82" s="1"/>
      <c r="AA82" s="1"/>
      <c r="AB82" s="119"/>
      <c r="AC82" s="287"/>
      <c r="AD82" s="250"/>
    </row>
    <row r="83" spans="1:30" ht="18.75">
      <c r="A83" s="5"/>
      <c r="B83" s="5"/>
      <c r="C83" s="976"/>
      <c r="D83" s="979"/>
      <c r="E83" s="980"/>
      <c r="F83" s="980"/>
      <c r="G83" s="980"/>
      <c r="H83" s="62" t="s">
        <v>228</v>
      </c>
      <c r="I83" s="62" t="s">
        <v>226</v>
      </c>
      <c r="J83" s="197" t="s">
        <v>227</v>
      </c>
      <c r="K83" s="232" t="s">
        <v>229</v>
      </c>
      <c r="L83" s="287"/>
      <c r="M83" s="250"/>
      <c r="R83" s="5"/>
      <c r="S83" s="5"/>
      <c r="T83" s="1174" t="s">
        <v>469</v>
      </c>
      <c r="U83" s="1175"/>
      <c r="V83" s="1175"/>
      <c r="W83" s="1175"/>
      <c r="X83" s="1175"/>
      <c r="Y83" s="1176"/>
      <c r="Z83" s="1030" t="s">
        <v>288</v>
      </c>
      <c r="AA83" s="1139"/>
      <c r="AB83" s="1139"/>
      <c r="AC83" s="287"/>
      <c r="AD83" s="250"/>
    </row>
    <row r="84" spans="1:30">
      <c r="A84" s="5"/>
      <c r="B84" s="5"/>
      <c r="C84" s="155" t="s">
        <v>471</v>
      </c>
      <c r="D84" s="981" t="s">
        <v>472</v>
      </c>
      <c r="E84" s="982"/>
      <c r="F84" s="982"/>
      <c r="G84" s="983"/>
      <c r="H84" s="586">
        <v>0.33333333333333331</v>
      </c>
      <c r="I84" s="69">
        <f>(1.45*3.7+2.875*3.7) -2*(0.81*2.03)</f>
        <v>12.713900000000002</v>
      </c>
      <c r="J84" s="723">
        <v>1.8115853807007718</v>
      </c>
      <c r="K84" s="724">
        <f>H84*I84*J84</f>
        <v>7.6774384572305143</v>
      </c>
      <c r="L84" s="287"/>
      <c r="M84" s="250"/>
      <c r="R84" s="5"/>
      <c r="S84" s="5"/>
      <c r="T84" s="1177" t="s">
        <v>470</v>
      </c>
      <c r="U84" s="1178"/>
      <c r="V84" s="1178"/>
      <c r="W84" s="1178"/>
      <c r="X84" s="1178"/>
      <c r="Y84" s="1178"/>
      <c r="Z84" s="1179"/>
      <c r="AA84" s="101"/>
      <c r="AB84" s="227"/>
      <c r="AC84" s="287"/>
      <c r="AD84" s="250"/>
    </row>
    <row r="85" spans="1:30" ht="18">
      <c r="A85" s="5"/>
      <c r="B85" s="5"/>
      <c r="C85" s="155" t="s">
        <v>471</v>
      </c>
      <c r="D85" s="1170" t="s">
        <v>473</v>
      </c>
      <c r="E85" s="1171"/>
      <c r="F85" s="1171"/>
      <c r="G85" s="1172"/>
      <c r="H85" s="586">
        <v>0.33333333333333331</v>
      </c>
      <c r="I85" s="71">
        <f>2*(0.81*2.03)</f>
        <v>3.2885999999999997</v>
      </c>
      <c r="J85" s="723">
        <f>2.5</f>
        <v>2.5</v>
      </c>
      <c r="K85" s="724">
        <f>H85*I85*J85</f>
        <v>2.7404999999999995</v>
      </c>
      <c r="L85" s="287"/>
      <c r="M85" s="250"/>
      <c r="R85" s="5"/>
      <c r="S85" s="5"/>
      <c r="T85" s="1008" t="s">
        <v>220</v>
      </c>
      <c r="U85" s="1009" t="s">
        <v>221</v>
      </c>
      <c r="V85" s="1010"/>
      <c r="W85" s="1010"/>
      <c r="X85" s="1010"/>
      <c r="Y85" s="196" t="s">
        <v>232</v>
      </c>
      <c r="Z85" s="196" t="s">
        <v>222</v>
      </c>
      <c r="AA85" s="196" t="s">
        <v>223</v>
      </c>
      <c r="AB85" s="231" t="s">
        <v>233</v>
      </c>
      <c r="AC85" s="287"/>
      <c r="AD85" s="250"/>
    </row>
    <row r="86" spans="1:30" ht="18">
      <c r="A86" s="5"/>
      <c r="B86" s="5"/>
      <c r="C86" s="590" t="s">
        <v>474</v>
      </c>
      <c r="D86" s="1173" t="s">
        <v>472</v>
      </c>
      <c r="E86" s="1173"/>
      <c r="F86" s="1173"/>
      <c r="G86" s="1173"/>
      <c r="H86" s="591">
        <v>0.5</v>
      </c>
      <c r="I86" s="71">
        <f>((1.875+0.875+11.875)*3.7)-4*(0.81*2.03)</f>
        <v>47.535300000000007</v>
      </c>
      <c r="J86" s="725">
        <f>J84</f>
        <v>1.8115853807007718</v>
      </c>
      <c r="K86" s="724">
        <f>H86*I86*J86</f>
        <v>43.057127273612707</v>
      </c>
      <c r="L86" s="287"/>
      <c r="M86" s="250"/>
      <c r="R86" s="5"/>
      <c r="S86" s="5"/>
      <c r="T86" s="976"/>
      <c r="U86" s="979"/>
      <c r="V86" s="980"/>
      <c r="W86" s="980"/>
      <c r="X86" s="980"/>
      <c r="Y86" s="62" t="s">
        <v>228</v>
      </c>
      <c r="Z86" s="62" t="s">
        <v>226</v>
      </c>
      <c r="AA86" s="197" t="s">
        <v>227</v>
      </c>
      <c r="AB86" s="232" t="s">
        <v>229</v>
      </c>
      <c r="AC86" s="287"/>
      <c r="AD86" s="250"/>
    </row>
    <row r="87" spans="1:30">
      <c r="A87" s="5"/>
      <c r="B87" s="5"/>
      <c r="C87" s="590" t="s">
        <v>474</v>
      </c>
      <c r="D87" s="1173" t="s">
        <v>473</v>
      </c>
      <c r="E87" s="1173"/>
      <c r="F87" s="1173"/>
      <c r="G87" s="1173"/>
      <c r="H87" s="591">
        <v>0.5</v>
      </c>
      <c r="I87" s="71">
        <f>4*(0.81*2.03)</f>
        <v>6.5771999999999995</v>
      </c>
      <c r="J87" s="723">
        <f>2.5</f>
        <v>2.5</v>
      </c>
      <c r="K87" s="726">
        <f>H87*I87*J87</f>
        <v>8.2214999999999989</v>
      </c>
      <c r="L87" s="592"/>
      <c r="M87" s="250"/>
      <c r="R87" s="5"/>
      <c r="S87" s="5"/>
      <c r="T87" s="155"/>
      <c r="U87" s="1170" t="s">
        <v>435</v>
      </c>
      <c r="V87" s="1171"/>
      <c r="W87" s="1171"/>
      <c r="X87" s="1172"/>
      <c r="Y87" s="586">
        <f>(AB$106-Z55)/AB$107</f>
        <v>0</v>
      </c>
      <c r="Z87" s="69">
        <f t="shared" ref="Z87:AA92" si="2">X16</f>
        <v>14.990999999999998</v>
      </c>
      <c r="AA87" s="723">
        <f t="shared" si="2"/>
        <v>2.642391922017747</v>
      </c>
      <c r="AB87" s="724">
        <f>Y87*Z87*AA87</f>
        <v>0</v>
      </c>
      <c r="AC87" s="287"/>
      <c r="AD87" s="250"/>
    </row>
    <row r="88" spans="1:30" ht="18">
      <c r="A88" s="5"/>
      <c r="B88" s="5"/>
      <c r="C88" s="818" t="s">
        <v>475</v>
      </c>
      <c r="D88" s="818"/>
      <c r="E88" s="818"/>
      <c r="F88" s="818"/>
      <c r="G88" s="818"/>
      <c r="H88" s="818"/>
      <c r="I88" s="818"/>
      <c r="J88" s="88" t="s">
        <v>256</v>
      </c>
      <c r="K88" s="542"/>
      <c r="L88" s="7"/>
      <c r="M88" s="250"/>
      <c r="R88" s="5"/>
      <c r="S88" s="5"/>
      <c r="T88" s="155"/>
      <c r="U88" t="s">
        <v>194</v>
      </c>
      <c r="Y88" s="586">
        <f>(AB$106-Z59)/AB$107</f>
        <v>-0.14285714285714285</v>
      </c>
      <c r="Z88" s="71">
        <f t="shared" si="2"/>
        <v>29.184999999999999</v>
      </c>
      <c r="AA88" s="723">
        <f t="shared" si="2"/>
        <v>1.7703177837995205</v>
      </c>
      <c r="AB88" s="724">
        <f t="shared" ref="AB88:AB99" si="3">Y88*Z88*AA88</f>
        <v>-7.3809606457412853</v>
      </c>
      <c r="AC88" s="287"/>
      <c r="AD88" s="250"/>
    </row>
    <row r="89" spans="1:30" ht="18">
      <c r="A89" s="5"/>
      <c r="B89" s="5"/>
      <c r="C89" s="1166" t="s">
        <v>476</v>
      </c>
      <c r="D89" s="1167"/>
      <c r="E89" s="1167"/>
      <c r="F89" s="1167"/>
      <c r="G89" s="1168"/>
      <c r="H89" s="1169" t="s">
        <v>259</v>
      </c>
      <c r="I89" s="1169"/>
      <c r="J89" s="1169"/>
      <c r="K89" s="593"/>
      <c r="L89" s="287"/>
      <c r="M89" s="250"/>
      <c r="R89" s="5"/>
      <c r="S89" s="5"/>
      <c r="T89" s="590"/>
      <c r="U89" s="1173" t="s">
        <v>438</v>
      </c>
      <c r="V89" s="1173"/>
      <c r="W89" s="1173"/>
      <c r="X89" s="1173"/>
      <c r="Y89" s="586">
        <f>(AB$106-Z58)/AB$107</f>
        <v>0.7142857142857143</v>
      </c>
      <c r="Z89" s="71">
        <f t="shared" si="2"/>
        <v>27.614999999999998</v>
      </c>
      <c r="AA89" s="725">
        <f t="shared" si="2"/>
        <v>2.9148684813270003</v>
      </c>
      <c r="AB89" s="724">
        <f t="shared" si="3"/>
        <v>57.495780794175076</v>
      </c>
      <c r="AC89" s="287"/>
      <c r="AD89" s="250"/>
    </row>
    <row r="90" spans="1:30">
      <c r="A90" s="5"/>
      <c r="B90" s="5"/>
      <c r="C90" s="104" t="s">
        <v>260</v>
      </c>
      <c r="D90" s="103"/>
      <c r="E90" s="103"/>
      <c r="F90" s="103"/>
      <c r="G90" s="103"/>
      <c r="H90" s="103"/>
      <c r="I90" s="103"/>
      <c r="J90" s="103"/>
      <c r="K90" s="103"/>
      <c r="L90" s="287"/>
      <c r="M90" s="250"/>
      <c r="R90" s="5"/>
      <c r="S90" s="5"/>
      <c r="T90" s="590"/>
      <c r="U90" s="632" t="s">
        <v>440</v>
      </c>
      <c r="V90" s="632"/>
      <c r="W90" s="632"/>
      <c r="X90" s="632"/>
      <c r="Y90" s="586">
        <f t="shared" ref="Y90" si="4">(AB$106-Z58)/AB$107</f>
        <v>0.7142857142857143</v>
      </c>
      <c r="Z90" s="71">
        <f t="shared" si="2"/>
        <v>24.518174999999999</v>
      </c>
      <c r="AA90" s="725">
        <f t="shared" si="2"/>
        <v>2.642391922017747</v>
      </c>
      <c r="AB90" s="724">
        <f t="shared" si="3"/>
        <v>46.276162544726766</v>
      </c>
      <c r="AC90" s="592"/>
      <c r="AD90" s="250"/>
    </row>
    <row r="91" spans="1:30" ht="15.75" customHeight="1">
      <c r="A91" s="5"/>
      <c r="B91" s="5"/>
      <c r="C91" s="818" t="s">
        <v>6</v>
      </c>
      <c r="D91" s="818"/>
      <c r="E91" s="818"/>
      <c r="F91" s="818"/>
      <c r="G91" s="818"/>
      <c r="H91" s="818"/>
      <c r="I91" s="1" t="s">
        <v>261</v>
      </c>
      <c r="J91" s="1" t="s">
        <v>262</v>
      </c>
      <c r="K91" s="119"/>
      <c r="L91" s="287"/>
      <c r="M91" s="250"/>
      <c r="R91" s="5"/>
      <c r="S91" s="5"/>
      <c r="T91" s="640"/>
      <c r="U91" s="632" t="s">
        <v>441</v>
      </c>
      <c r="V91" s="632"/>
      <c r="W91" s="632"/>
      <c r="X91" s="632"/>
      <c r="Y91" s="586">
        <f>(AB$106-Z55)/AB$107</f>
        <v>0</v>
      </c>
      <c r="Z91" s="71">
        <f t="shared" si="2"/>
        <v>1.6442999999999999</v>
      </c>
      <c r="AA91" s="725">
        <f t="shared" si="2"/>
        <v>2.5</v>
      </c>
      <c r="AB91" s="724">
        <f t="shared" si="3"/>
        <v>0</v>
      </c>
      <c r="AC91" s="7"/>
      <c r="AD91" s="250"/>
    </row>
    <row r="92" spans="1:30" ht="19.5">
      <c r="A92" s="5"/>
      <c r="B92" s="5"/>
      <c r="C92" s="971" t="s">
        <v>264</v>
      </c>
      <c r="D92" s="971"/>
      <c r="E92" s="971"/>
      <c r="F92" s="971"/>
      <c r="G92" s="971"/>
      <c r="H92" s="971"/>
      <c r="I92" s="1" t="s">
        <v>265</v>
      </c>
      <c r="J92" s="1" t="s">
        <v>262</v>
      </c>
      <c r="K92" s="119"/>
      <c r="L92" s="288"/>
      <c r="M92" s="250"/>
      <c r="R92" s="5"/>
      <c r="S92" s="5"/>
      <c r="T92" s="640"/>
      <c r="U92" s="691" t="s">
        <v>442</v>
      </c>
      <c r="V92" s="632"/>
      <c r="W92" s="632"/>
      <c r="X92" s="632"/>
      <c r="Y92" s="586">
        <f>(AB$106-Z59)/AB$107</f>
        <v>-0.14285714285714285</v>
      </c>
      <c r="Z92" s="71">
        <f t="shared" si="2"/>
        <v>2</v>
      </c>
      <c r="AA92" s="725">
        <f t="shared" si="2"/>
        <v>5.5</v>
      </c>
      <c r="AB92" s="724">
        <f t="shared" si="3"/>
        <v>-1.5714285714285714</v>
      </c>
      <c r="AC92" s="287"/>
      <c r="AD92" s="250"/>
    </row>
    <row r="93" spans="1:30" ht="15.75" customHeight="1">
      <c r="A93" s="5"/>
      <c r="B93" s="5"/>
      <c r="C93" s="997" t="s">
        <v>266</v>
      </c>
      <c r="D93" s="997"/>
      <c r="E93" s="997"/>
      <c r="F93" s="997"/>
      <c r="G93" s="997"/>
      <c r="H93" s="997"/>
      <c r="I93" s="101" t="s">
        <v>267</v>
      </c>
      <c r="J93" s="101" t="s">
        <v>262</v>
      </c>
      <c r="K93" s="227"/>
      <c r="L93" s="288"/>
      <c r="M93" s="250"/>
      <c r="R93" s="5"/>
      <c r="S93" s="5"/>
      <c r="T93" t="s">
        <v>437</v>
      </c>
      <c r="U93" s="296" t="s">
        <v>197</v>
      </c>
      <c r="V93" s="632"/>
      <c r="W93" s="632"/>
      <c r="X93" s="632"/>
      <c r="Y93" s="586">
        <f>(AB$106-Z53)/AB$107</f>
        <v>0.14285714285714285</v>
      </c>
      <c r="Z93" s="591">
        <f t="shared" ref="Z93:AA99" si="5">Y37</f>
        <v>2.3800000000000003</v>
      </c>
      <c r="AA93" s="71">
        <f t="shared" si="5"/>
        <v>1.8115853807007718</v>
      </c>
      <c r="AB93" s="724">
        <f t="shared" si="3"/>
        <v>0.61593902943826251</v>
      </c>
      <c r="AC93" s="287"/>
      <c r="AD93" s="250"/>
    </row>
    <row r="94" spans="1:30" ht="19.5">
      <c r="A94" s="5"/>
      <c r="B94" s="5"/>
      <c r="C94" s="862" t="s">
        <v>477</v>
      </c>
      <c r="D94" s="863"/>
      <c r="E94" s="863"/>
      <c r="F94" s="863"/>
      <c r="G94" s="863"/>
      <c r="H94" s="864"/>
      <c r="I94" s="351" t="s">
        <v>478</v>
      </c>
      <c r="J94" s="101" t="s">
        <v>262</v>
      </c>
      <c r="K94" s="119"/>
      <c r="L94" s="234">
        <f>ABS(K93*K68)</f>
        <v>0</v>
      </c>
      <c r="M94" s="251" t="s">
        <v>263</v>
      </c>
      <c r="R94" s="5"/>
      <c r="S94" s="5"/>
      <c r="T94" t="s">
        <v>380</v>
      </c>
      <c r="U94" t="s">
        <v>446</v>
      </c>
      <c r="V94" s="632"/>
      <c r="W94" s="632"/>
      <c r="X94" s="632"/>
      <c r="Y94" s="586">
        <f>(AB$106-Z54)/AB$107</f>
        <v>-0.14285714285714285</v>
      </c>
      <c r="Z94" s="591">
        <f t="shared" si="5"/>
        <v>46.072800000000001</v>
      </c>
      <c r="AA94" s="71">
        <f t="shared" si="5"/>
        <v>1.8115853807007718</v>
      </c>
      <c r="AB94" s="724">
        <f t="shared" si="3"/>
        <v>-11.923544418278645</v>
      </c>
      <c r="AC94" s="287"/>
      <c r="AD94" s="250"/>
    </row>
    <row r="95" spans="1:30">
      <c r="A95" s="5"/>
      <c r="B95" s="5"/>
      <c r="C95" s="988" t="s">
        <v>479</v>
      </c>
      <c r="D95" s="988"/>
      <c r="E95" s="988"/>
      <c r="F95" s="988"/>
      <c r="G95" s="988"/>
      <c r="H95" s="988"/>
      <c r="I95" s="988"/>
      <c r="J95" s="988"/>
      <c r="K95" s="988"/>
      <c r="L95" s="551"/>
      <c r="M95" s="250"/>
      <c r="R95" s="5"/>
      <c r="S95" s="5"/>
      <c r="T95" t="s">
        <v>380</v>
      </c>
      <c r="U95" s="296" t="s">
        <v>216</v>
      </c>
      <c r="V95" s="632"/>
      <c r="W95" s="632"/>
      <c r="X95" s="632"/>
      <c r="Y95" s="586">
        <f>(AB$106-Z54)/AB$107</f>
        <v>-0.14285714285714285</v>
      </c>
      <c r="Z95" s="591">
        <f t="shared" si="5"/>
        <v>6.5771999999999995</v>
      </c>
      <c r="AA95" s="71">
        <f t="shared" si="5"/>
        <v>2.5</v>
      </c>
      <c r="AB95" s="724">
        <f t="shared" si="3"/>
        <v>-2.3489999999999998</v>
      </c>
      <c r="AC95" s="288"/>
      <c r="AD95" s="250"/>
    </row>
    <row r="96" spans="1:30" ht="15.75" customHeight="1">
      <c r="A96" s="5"/>
      <c r="B96" s="5"/>
      <c r="C96" s="1163" t="s">
        <v>269</v>
      </c>
      <c r="D96" s="1164"/>
      <c r="E96" s="1164"/>
      <c r="F96" s="1164"/>
      <c r="G96" s="1164"/>
      <c r="H96" s="1164"/>
      <c r="I96" s="1165"/>
      <c r="J96" s="551"/>
      <c r="K96" s="551"/>
      <c r="L96" s="235" t="s">
        <v>274</v>
      </c>
      <c r="M96" s="250"/>
      <c r="R96" s="5"/>
      <c r="S96" s="5"/>
      <c r="T96" t="s">
        <v>447</v>
      </c>
      <c r="U96" s="296" t="s">
        <v>199</v>
      </c>
      <c r="V96" s="632"/>
      <c r="W96" s="632"/>
      <c r="X96" s="632"/>
      <c r="Y96" s="586">
        <f>(AB$106-Z60)/AB$107</f>
        <v>0.7142857142857143</v>
      </c>
      <c r="Z96" s="591">
        <f t="shared" si="5"/>
        <v>49.0625</v>
      </c>
      <c r="AA96" s="71">
        <f t="shared" si="5"/>
        <v>0.39937430012814151</v>
      </c>
      <c r="AB96" s="724">
        <f t="shared" si="3"/>
        <v>13.995929714312103</v>
      </c>
      <c r="AC96" s="288"/>
      <c r="AD96" s="250"/>
    </row>
    <row r="97" spans="1:30">
      <c r="A97" s="5"/>
      <c r="B97" s="5"/>
      <c r="C97" s="990" t="s">
        <v>270</v>
      </c>
      <c r="D97" s="991"/>
      <c r="E97" s="991"/>
      <c r="F97" s="991"/>
      <c r="G97" s="991"/>
      <c r="H97" s="992"/>
      <c r="I97" s="241" t="s">
        <v>271</v>
      </c>
      <c r="J97" s="241" t="s">
        <v>272</v>
      </c>
      <c r="K97" s="242" t="s">
        <v>273</v>
      </c>
      <c r="L97" s="245" t="e">
        <f>J98-$X$32</f>
        <v>#REF!</v>
      </c>
      <c r="M97" s="250"/>
      <c r="R97" s="5"/>
      <c r="S97" s="5"/>
      <c r="T97" t="s">
        <v>387</v>
      </c>
      <c r="U97" s="296" t="s">
        <v>480</v>
      </c>
      <c r="V97" s="632"/>
      <c r="W97" s="632"/>
      <c r="X97" s="632"/>
      <c r="Y97" s="586">
        <f>(AB$106-Z53)/AB$107</f>
        <v>0.14285714285714285</v>
      </c>
      <c r="Z97" s="591">
        <f t="shared" si="5"/>
        <v>8.7057000000000002</v>
      </c>
      <c r="AA97" s="71">
        <f t="shared" si="5"/>
        <v>1.8115853807007718</v>
      </c>
      <c r="AB97" s="724">
        <f t="shared" si="3"/>
        <v>2.2530169783952441</v>
      </c>
      <c r="AC97" s="234"/>
      <c r="AD97" s="251" t="s">
        <v>263</v>
      </c>
    </row>
    <row r="98" spans="1:30">
      <c r="A98" s="5"/>
      <c r="B98" s="5"/>
      <c r="C98" s="844" t="s">
        <v>236</v>
      </c>
      <c r="D98" s="845"/>
      <c r="E98" s="845"/>
      <c r="F98" s="845"/>
      <c r="G98" s="845"/>
      <c r="H98" s="846"/>
      <c r="I98" s="245" t="s">
        <v>174</v>
      </c>
      <c r="J98" s="246" t="e">
        <v>#REF!</v>
      </c>
      <c r="K98" s="245" t="s">
        <v>174</v>
      </c>
      <c r="L98" s="245" t="e">
        <f>J99-$X$32</f>
        <v>#REF!</v>
      </c>
      <c r="M98" s="250"/>
      <c r="R98" s="5"/>
      <c r="S98" s="5"/>
      <c r="T98" t="s">
        <v>437</v>
      </c>
      <c r="U98" s="296" t="s">
        <v>216</v>
      </c>
      <c r="V98" s="632"/>
      <c r="W98" s="632"/>
      <c r="X98" s="632"/>
      <c r="Y98" s="586">
        <f>(AB$106-Z56)/AB$107</f>
        <v>-0.14285714285714285</v>
      </c>
      <c r="Z98" s="591">
        <f t="shared" si="5"/>
        <v>1.6442999999999999</v>
      </c>
      <c r="AA98" s="71">
        <f t="shared" si="5"/>
        <v>2.5</v>
      </c>
      <c r="AB98" s="724">
        <f t="shared" si="3"/>
        <v>-0.58724999999999994</v>
      </c>
      <c r="AC98" s="551"/>
      <c r="AD98" s="250"/>
    </row>
    <row r="99" spans="1:30">
      <c r="A99" s="5"/>
      <c r="B99" s="5"/>
      <c r="C99" s="844" t="s">
        <v>481</v>
      </c>
      <c r="D99" s="845"/>
      <c r="E99" s="845"/>
      <c r="F99" s="845"/>
      <c r="G99" s="845"/>
      <c r="H99" s="846"/>
      <c r="I99" s="245" t="s">
        <v>174</v>
      </c>
      <c r="J99" s="246" t="e">
        <v>#REF!</v>
      </c>
      <c r="K99" s="245" t="s">
        <v>174</v>
      </c>
      <c r="L99" s="249" t="e">
        <f>K84*L97+K85*L97+K87*L98</f>
        <v>#REF!</v>
      </c>
      <c r="M99" s="251" t="s">
        <v>263</v>
      </c>
      <c r="R99" s="5"/>
      <c r="S99" s="5"/>
      <c r="T99" t="s">
        <v>437</v>
      </c>
      <c r="U99" s="296" t="s">
        <v>482</v>
      </c>
      <c r="V99" s="632"/>
      <c r="W99" s="632"/>
      <c r="X99" s="632"/>
      <c r="Y99" s="586">
        <f>(AB$106-Z56)/AB$107</f>
        <v>-0.14285714285714285</v>
      </c>
      <c r="Z99" s="591">
        <f t="shared" si="5"/>
        <v>3.9357000000000002</v>
      </c>
      <c r="AA99" s="71">
        <f t="shared" si="5"/>
        <v>2.642391922017747</v>
      </c>
      <c r="AB99" s="724">
        <f t="shared" si="3"/>
        <v>-1.4856659839264639</v>
      </c>
      <c r="AC99" s="235" t="s">
        <v>274</v>
      </c>
      <c r="AD99" s="803">
        <f>SUM(AB89:AB99)-AB99-AB98-AB95-AB94-AB92</f>
        <v>120.63682906104746</v>
      </c>
    </row>
    <row r="100" spans="1:30" ht="18.75">
      <c r="A100" s="5"/>
      <c r="B100" s="5"/>
      <c r="C100" s="993" t="s">
        <v>483</v>
      </c>
      <c r="D100" s="993"/>
      <c r="E100" s="993"/>
      <c r="F100" s="993"/>
      <c r="G100" s="993"/>
      <c r="H100" s="993"/>
      <c r="I100" s="993"/>
      <c r="J100" s="993"/>
      <c r="K100" s="993"/>
      <c r="L100" s="271">
        <f>(K84+K85)*4+(K86*K87)*6</f>
        <v>2165.6367851089631</v>
      </c>
      <c r="M100" s="253" t="s">
        <v>263</v>
      </c>
      <c r="R100" s="5"/>
      <c r="S100" s="5"/>
      <c r="U100" s="640"/>
      <c r="V100" s="632"/>
      <c r="W100" s="632"/>
      <c r="X100" s="632"/>
      <c r="Y100" s="632"/>
      <c r="Z100" s="591"/>
      <c r="AA100" s="71"/>
      <c r="AB100" s="724"/>
      <c r="AC100" s="245">
        <f>AA112-$X$32</f>
        <v>0</v>
      </c>
      <c r="AD100" s="250"/>
    </row>
    <row r="101" spans="1:30" ht="18.75">
      <c r="A101" s="5"/>
      <c r="B101" s="5"/>
      <c r="C101" s="987" t="s">
        <v>484</v>
      </c>
      <c r="D101" s="987"/>
      <c r="E101" s="987"/>
      <c r="F101" s="987"/>
      <c r="G101" s="987"/>
      <c r="H101" s="987"/>
      <c r="I101" s="987"/>
      <c r="J101" s="987"/>
      <c r="K101" s="987"/>
      <c r="L101" s="5"/>
      <c r="M101" s="5"/>
      <c r="R101" s="5"/>
      <c r="S101" s="5"/>
      <c r="U101" s="1173"/>
      <c r="V101" s="1173"/>
      <c r="W101" s="1173"/>
      <c r="X101" s="1173"/>
      <c r="Y101" s="590"/>
      <c r="Z101" s="71"/>
      <c r="AA101" s="723"/>
      <c r="AB101" s="724"/>
      <c r="AC101" s="245">
        <f>AA121-$X$32</f>
        <v>0</v>
      </c>
      <c r="AD101" s="250"/>
    </row>
    <row r="102" spans="1:30" ht="18">
      <c r="A102" s="5"/>
      <c r="B102" s="5"/>
      <c r="C102" s="5"/>
      <c r="D102" s="5"/>
      <c r="E102" s="5"/>
      <c r="F102" s="5"/>
      <c r="G102" s="5"/>
      <c r="H102" s="5"/>
      <c r="I102" s="5"/>
      <c r="J102" s="5"/>
      <c r="K102" s="5"/>
      <c r="L102" s="5"/>
      <c r="M102" s="5"/>
      <c r="R102" s="5"/>
      <c r="S102" s="5"/>
      <c r="T102" s="818" t="s">
        <v>475</v>
      </c>
      <c r="U102" s="818"/>
      <c r="V102" s="818"/>
      <c r="W102" s="818"/>
      <c r="X102" s="818"/>
      <c r="Y102" s="818"/>
      <c r="Z102" s="818"/>
      <c r="AA102" s="88" t="s">
        <v>256</v>
      </c>
      <c r="AB102" s="724"/>
      <c r="AC102" s="249">
        <f>AB87*AC100+AB88*AC100+AB101*AC101</f>
        <v>0</v>
      </c>
      <c r="AD102" s="251" t="s">
        <v>263</v>
      </c>
    </row>
    <row r="103" spans="1:30" ht="18.75">
      <c r="R103" s="5"/>
      <c r="S103" s="5"/>
      <c r="T103" s="1166" t="s">
        <v>476</v>
      </c>
      <c r="U103" s="1167"/>
      <c r="V103" s="1167"/>
      <c r="W103" s="1167"/>
      <c r="X103" s="1168"/>
      <c r="Y103" s="1169" t="s">
        <v>259</v>
      </c>
      <c r="Z103" s="1169"/>
      <c r="AA103" s="1169"/>
      <c r="AB103" s="724"/>
      <c r="AC103" s="271">
        <f>AD99*AB107</f>
        <v>844.45780342733224</v>
      </c>
      <c r="AD103" s="253" t="s">
        <v>263</v>
      </c>
    </row>
    <row r="104" spans="1:30">
      <c r="R104" s="5"/>
      <c r="S104" s="5"/>
      <c r="T104" s="104" t="s">
        <v>260</v>
      </c>
      <c r="U104" s="103"/>
      <c r="V104" s="103"/>
      <c r="W104" s="103"/>
      <c r="X104" s="103"/>
      <c r="Y104" s="103"/>
      <c r="Z104" s="103"/>
      <c r="AA104" s="103"/>
      <c r="AB104" s="724"/>
      <c r="AC104" s="5"/>
      <c r="AD104" s="5"/>
    </row>
    <row r="105" spans="1:30" ht="19.5">
      <c r="R105" s="5"/>
      <c r="S105" s="5"/>
      <c r="T105" s="818" t="s">
        <v>6</v>
      </c>
      <c r="U105" s="818"/>
      <c r="V105" s="818"/>
      <c r="W105" s="818"/>
      <c r="X105" s="818"/>
      <c r="Y105" s="818"/>
      <c r="Z105" s="1" t="s">
        <v>261</v>
      </c>
      <c r="AA105" s="1" t="s">
        <v>262</v>
      </c>
      <c r="AB105" s="119">
        <v>32</v>
      </c>
      <c r="AC105" s="5"/>
      <c r="AD105" s="5"/>
    </row>
    <row r="106" spans="1:30" ht="19.5">
      <c r="T106" s="971" t="s">
        <v>264</v>
      </c>
      <c r="U106" s="971"/>
      <c r="V106" s="971"/>
      <c r="W106" s="971"/>
      <c r="X106" s="971"/>
      <c r="Y106" s="971"/>
      <c r="Z106" s="1" t="s">
        <v>265</v>
      </c>
      <c r="AA106" s="1" t="s">
        <v>262</v>
      </c>
      <c r="AB106" s="119">
        <v>25</v>
      </c>
    </row>
    <row r="107" spans="1:30" ht="19.5">
      <c r="T107" s="997" t="s">
        <v>266</v>
      </c>
      <c r="U107" s="997"/>
      <c r="V107" s="997"/>
      <c r="W107" s="997"/>
      <c r="X107" s="997"/>
      <c r="Y107" s="997"/>
      <c r="Z107" s="101" t="s">
        <v>267</v>
      </c>
      <c r="AA107" s="101" t="s">
        <v>262</v>
      </c>
      <c r="AB107" s="227">
        <f>AB105-AB106</f>
        <v>7</v>
      </c>
    </row>
    <row r="108" spans="1:30" ht="19.5">
      <c r="T108" s="862" t="s">
        <v>477</v>
      </c>
      <c r="U108" s="863"/>
      <c r="V108" s="863"/>
      <c r="W108" s="863"/>
      <c r="X108" s="863"/>
      <c r="Y108" s="864"/>
      <c r="Z108" s="351" t="s">
        <v>478</v>
      </c>
      <c r="AA108" s="101" t="s">
        <v>262</v>
      </c>
      <c r="AB108" s="119"/>
    </row>
    <row r="109" spans="1:30">
      <c r="T109" s="988" t="s">
        <v>479</v>
      </c>
      <c r="U109" s="988"/>
      <c r="V109" s="988"/>
      <c r="W109" s="988"/>
      <c r="X109" s="988"/>
      <c r="Y109" s="988"/>
      <c r="Z109" s="988"/>
      <c r="AA109" s="988"/>
      <c r="AB109" s="988"/>
    </row>
    <row r="110" spans="1:30">
      <c r="T110" s="1163" t="s">
        <v>269</v>
      </c>
      <c r="U110" s="1164"/>
      <c r="V110" s="1164"/>
      <c r="W110" s="1164"/>
      <c r="X110" s="1164"/>
      <c r="Y110" s="1164"/>
      <c r="Z110" s="1165"/>
      <c r="AA110" s="551"/>
      <c r="AB110" s="551"/>
    </row>
    <row r="111" spans="1:30">
      <c r="T111" s="990" t="s">
        <v>270</v>
      </c>
      <c r="U111" s="991"/>
      <c r="V111" s="991"/>
      <c r="W111" s="991"/>
      <c r="X111" s="991"/>
      <c r="Y111" s="992"/>
      <c r="Z111" s="241" t="s">
        <v>271</v>
      </c>
      <c r="AA111" s="241" t="s">
        <v>272</v>
      </c>
      <c r="AB111" s="242" t="s">
        <v>273</v>
      </c>
    </row>
    <row r="112" spans="1:30">
      <c r="T112" s="844"/>
      <c r="U112" s="845"/>
      <c r="V112" s="845"/>
      <c r="W112" s="845"/>
      <c r="X112" s="845"/>
      <c r="Y112" s="846"/>
      <c r="Z112" s="245" t="s">
        <v>174</v>
      </c>
      <c r="AA112" s="246"/>
      <c r="AB112" s="245" t="s">
        <v>174</v>
      </c>
    </row>
    <row r="113" spans="20:28">
      <c r="T113" s="536"/>
      <c r="U113" s="537"/>
      <c r="V113" s="537"/>
      <c r="W113" s="537"/>
      <c r="X113" s="537"/>
      <c r="Y113" s="538"/>
      <c r="Z113" s="245"/>
      <c r="AA113" s="246"/>
      <c r="AB113" s="245"/>
    </row>
    <row r="114" spans="20:28">
      <c r="T114" s="536"/>
      <c r="U114" s="537"/>
      <c r="V114" s="537"/>
      <c r="W114" s="537"/>
      <c r="X114" s="537"/>
      <c r="Y114" s="538"/>
      <c r="Z114" s="245"/>
      <c r="AA114" s="246"/>
      <c r="AB114" s="245"/>
    </row>
    <row r="115" spans="20:28">
      <c r="T115" s="536"/>
      <c r="U115" s="537"/>
      <c r="V115" s="537"/>
      <c r="W115" s="537"/>
      <c r="X115" s="537"/>
      <c r="Y115" s="538"/>
      <c r="Z115" s="245"/>
      <c r="AA115" s="246"/>
      <c r="AB115" s="245"/>
    </row>
    <row r="116" spans="20:28">
      <c r="T116" s="536"/>
      <c r="U116" s="537"/>
      <c r="V116" s="537"/>
      <c r="W116" s="537"/>
      <c r="X116" s="537"/>
      <c r="Y116" s="538"/>
      <c r="Z116" s="245"/>
      <c r="AA116" s="246"/>
      <c r="AB116" s="245"/>
    </row>
    <row r="117" spans="20:28">
      <c r="T117" s="536"/>
      <c r="U117" s="537"/>
      <c r="V117" s="537"/>
      <c r="W117" s="537"/>
      <c r="X117" s="537"/>
      <c r="Y117" s="538"/>
      <c r="Z117" s="245"/>
      <c r="AA117" s="246"/>
      <c r="AB117" s="245"/>
    </row>
    <row r="118" spans="20:28">
      <c r="T118" s="536"/>
      <c r="U118" s="537"/>
      <c r="V118" s="537"/>
      <c r="W118" s="537"/>
      <c r="X118" s="537"/>
      <c r="Y118" s="538"/>
      <c r="Z118" s="245"/>
      <c r="AA118" s="246"/>
      <c r="AB118" s="245"/>
    </row>
    <row r="119" spans="20:28">
      <c r="T119" s="536"/>
      <c r="U119" s="537"/>
      <c r="V119" s="537"/>
      <c r="W119" s="537"/>
      <c r="X119" s="537"/>
      <c r="Y119" s="538"/>
      <c r="Z119" s="245"/>
      <c r="AA119" s="246"/>
      <c r="AB119" s="245"/>
    </row>
    <row r="120" spans="20:28">
      <c r="T120" s="536"/>
      <c r="U120" s="537"/>
      <c r="V120" s="537"/>
      <c r="W120" s="537"/>
      <c r="X120" s="537"/>
      <c r="Y120" s="538"/>
      <c r="Z120" s="245"/>
      <c r="AA120" s="246"/>
      <c r="AB120" s="245"/>
    </row>
    <row r="121" spans="20:28">
      <c r="T121" s="844"/>
      <c r="U121" s="845"/>
      <c r="V121" s="845"/>
      <c r="W121" s="845"/>
      <c r="X121" s="845"/>
      <c r="Y121" s="846"/>
      <c r="Z121" s="245" t="s">
        <v>174</v>
      </c>
      <c r="AA121" s="246"/>
      <c r="AB121" s="245" t="s">
        <v>174</v>
      </c>
    </row>
    <row r="122" spans="20:28">
      <c r="T122" s="993" t="s">
        <v>483</v>
      </c>
      <c r="U122" s="993"/>
      <c r="V122" s="993"/>
      <c r="W122" s="993"/>
      <c r="X122" s="993"/>
      <c r="Y122" s="993"/>
      <c r="Z122" s="993"/>
      <c r="AA122" s="993"/>
      <c r="AB122" s="993"/>
    </row>
    <row r="123" spans="20:28" ht="18.75">
      <c r="T123" s="987" t="s">
        <v>484</v>
      </c>
      <c r="U123" s="987"/>
      <c r="V123" s="987"/>
      <c r="W123" s="987"/>
      <c r="X123" s="987"/>
      <c r="Y123" s="987"/>
      <c r="Z123" s="987"/>
      <c r="AA123" s="987"/>
      <c r="AB123" s="987"/>
    </row>
    <row r="124" spans="20:28">
      <c r="T124" s="5"/>
      <c r="U124" s="5"/>
      <c r="V124" s="5"/>
      <c r="W124" s="5"/>
      <c r="X124" s="5"/>
      <c r="Y124" s="5"/>
      <c r="Z124" s="5"/>
      <c r="AA124" s="5"/>
      <c r="AB124" s="5"/>
    </row>
  </sheetData>
  <mergeCells count="142">
    <mergeCell ref="C53:H53"/>
    <mergeCell ref="C54:H54"/>
    <mergeCell ref="C55:H55"/>
    <mergeCell ref="D36:G36"/>
    <mergeCell ref="C56:H56"/>
    <mergeCell ref="C50:H50"/>
    <mergeCell ref="C52:H52"/>
    <mergeCell ref="C40:J40"/>
    <mergeCell ref="C41:G41"/>
    <mergeCell ref="H41:K41"/>
    <mergeCell ref="L42:L45"/>
    <mergeCell ref="C43:H43"/>
    <mergeCell ref="C44:H44"/>
    <mergeCell ref="C45:H45"/>
    <mergeCell ref="C51:H51"/>
    <mergeCell ref="C46:K46"/>
    <mergeCell ref="C47:L47"/>
    <mergeCell ref="C48:H48"/>
    <mergeCell ref="C49:H49"/>
    <mergeCell ref="C24:J24"/>
    <mergeCell ref="C25:K25"/>
    <mergeCell ref="L25:L28"/>
    <mergeCell ref="C26:C27"/>
    <mergeCell ref="D26:G27"/>
    <mergeCell ref="D28:G28"/>
    <mergeCell ref="I29:K29"/>
    <mergeCell ref="C30:K30"/>
    <mergeCell ref="L30:L39"/>
    <mergeCell ref="C31:C32"/>
    <mergeCell ref="D31:G32"/>
    <mergeCell ref="D33:G33"/>
    <mergeCell ref="D34:G34"/>
    <mergeCell ref="D35:G35"/>
    <mergeCell ref="D37:G37"/>
    <mergeCell ref="D39:G39"/>
    <mergeCell ref="D38:G38"/>
    <mergeCell ref="C11:H11"/>
    <mergeCell ref="I11:K11"/>
    <mergeCell ref="C12:K12"/>
    <mergeCell ref="L12:L23"/>
    <mergeCell ref="C13:C14"/>
    <mergeCell ref="D13:G14"/>
    <mergeCell ref="D18:G18"/>
    <mergeCell ref="C19:J19"/>
    <mergeCell ref="C20:C21"/>
    <mergeCell ref="D20:G21"/>
    <mergeCell ref="D22:G22"/>
    <mergeCell ref="D15:G15"/>
    <mergeCell ref="D16:G16"/>
    <mergeCell ref="D17:G17"/>
    <mergeCell ref="A3:B3"/>
    <mergeCell ref="C2:K2"/>
    <mergeCell ref="L2:L10"/>
    <mergeCell ref="C3:C4"/>
    <mergeCell ref="D3:G4"/>
    <mergeCell ref="D5:G5"/>
    <mergeCell ref="C6:J6"/>
    <mergeCell ref="C7:C8"/>
    <mergeCell ref="D7:G8"/>
    <mergeCell ref="D9:G9"/>
    <mergeCell ref="C10:J10"/>
    <mergeCell ref="C68:J68"/>
    <mergeCell ref="C69:H69"/>
    <mergeCell ref="I69:K69"/>
    <mergeCell ref="C70:K70"/>
    <mergeCell ref="C71:C72"/>
    <mergeCell ref="D71:G72"/>
    <mergeCell ref="A63:B63"/>
    <mergeCell ref="C64:K64"/>
    <mergeCell ref="C65:C66"/>
    <mergeCell ref="D65:G66"/>
    <mergeCell ref="D67:G67"/>
    <mergeCell ref="D79:G79"/>
    <mergeCell ref="C80:H80"/>
    <mergeCell ref="I80:K80"/>
    <mergeCell ref="C81:I81"/>
    <mergeCell ref="C82:C83"/>
    <mergeCell ref="D82:G83"/>
    <mergeCell ref="D73:G73"/>
    <mergeCell ref="C74:J74"/>
    <mergeCell ref="C75:K75"/>
    <mergeCell ref="C76:K76"/>
    <mergeCell ref="C77:C78"/>
    <mergeCell ref="D77:G78"/>
    <mergeCell ref="C97:H97"/>
    <mergeCell ref="C98:H98"/>
    <mergeCell ref="C89:G89"/>
    <mergeCell ref="H89:J89"/>
    <mergeCell ref="C91:H91"/>
    <mergeCell ref="C92:H92"/>
    <mergeCell ref="C93:H93"/>
    <mergeCell ref="D84:G84"/>
    <mergeCell ref="D85:G85"/>
    <mergeCell ref="D86:G86"/>
    <mergeCell ref="D87:G87"/>
    <mergeCell ref="C88:I88"/>
    <mergeCell ref="T78:AB78"/>
    <mergeCell ref="T79:AB79"/>
    <mergeCell ref="T80:T81"/>
    <mergeCell ref="U80:X81"/>
    <mergeCell ref="U82:X82"/>
    <mergeCell ref="C99:H99"/>
    <mergeCell ref="C100:K100"/>
    <mergeCell ref="C101:K101"/>
    <mergeCell ref="R66:S66"/>
    <mergeCell ref="T67:AB67"/>
    <mergeCell ref="T68:T69"/>
    <mergeCell ref="U68:X69"/>
    <mergeCell ref="U70:X70"/>
    <mergeCell ref="T71:AA71"/>
    <mergeCell ref="T72:Y72"/>
    <mergeCell ref="Z72:AB72"/>
    <mergeCell ref="T73:AB73"/>
    <mergeCell ref="T74:T75"/>
    <mergeCell ref="U74:X75"/>
    <mergeCell ref="U76:X76"/>
    <mergeCell ref="T77:AA77"/>
    <mergeCell ref="C94:H94"/>
    <mergeCell ref="C95:K95"/>
    <mergeCell ref="C96:I96"/>
    <mergeCell ref="U87:X87"/>
    <mergeCell ref="U89:X89"/>
    <mergeCell ref="U101:X101"/>
    <mergeCell ref="T102:Z102"/>
    <mergeCell ref="T83:Y83"/>
    <mergeCell ref="Z83:AB83"/>
    <mergeCell ref="T84:Z84"/>
    <mergeCell ref="T85:T86"/>
    <mergeCell ref="U85:X86"/>
    <mergeCell ref="T121:Y121"/>
    <mergeCell ref="T122:AB122"/>
    <mergeCell ref="T123:AB123"/>
    <mergeCell ref="T108:Y108"/>
    <mergeCell ref="T109:AB109"/>
    <mergeCell ref="T110:Z110"/>
    <mergeCell ref="T111:Y111"/>
    <mergeCell ref="T112:Y112"/>
    <mergeCell ref="T103:X103"/>
    <mergeCell ref="Y103:AA103"/>
    <mergeCell ref="T105:Y105"/>
    <mergeCell ref="T106:Y106"/>
    <mergeCell ref="T107:Y107"/>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61CE6D-1BD8-0147-B9E4-2529D1CF9C32}">
  <sheetPr codeName="Feuil10"/>
  <dimension ref="A1:W110"/>
  <sheetViews>
    <sheetView topLeftCell="A3" zoomScale="55" zoomScaleNormal="55" workbookViewId="0">
      <selection activeCell="L49" sqref="L49"/>
    </sheetView>
  </sheetViews>
  <sheetFormatPr baseColWidth="10" defaultColWidth="11" defaultRowHeight="15.75"/>
  <cols>
    <col min="1" max="1" width="8" customWidth="1"/>
    <col min="2" max="2" width="15.5" customWidth="1"/>
    <col min="4" max="4" width="11" customWidth="1"/>
  </cols>
  <sheetData>
    <row r="1" spans="1:14" ht="16.5" thickBot="1">
      <c r="A1" s="5"/>
      <c r="B1" s="5"/>
      <c r="C1" s="5"/>
      <c r="D1" s="5"/>
      <c r="E1" s="5"/>
      <c r="F1" s="5"/>
      <c r="G1" s="5"/>
      <c r="H1" s="5"/>
      <c r="I1" s="5"/>
      <c r="J1" s="5"/>
      <c r="K1" s="5"/>
      <c r="L1" s="5"/>
      <c r="M1" s="5"/>
      <c r="N1" s="5"/>
    </row>
    <row r="2" spans="1:14" ht="16.5" thickBot="1">
      <c r="A2" s="5"/>
      <c r="B2" s="199" t="s">
        <v>485</v>
      </c>
      <c r="C2" s="1001" t="s">
        <v>219</v>
      </c>
      <c r="D2" s="1001"/>
      <c r="E2" s="1001"/>
      <c r="F2" s="1001"/>
      <c r="G2" s="1001"/>
      <c r="H2" s="1001"/>
      <c r="I2" s="1001"/>
      <c r="J2" s="1001"/>
      <c r="K2" s="1002"/>
      <c r="L2" s="815"/>
      <c r="M2" s="5"/>
      <c r="N2" s="5"/>
    </row>
    <row r="3" spans="1:14" ht="18">
      <c r="A3" s="5"/>
      <c r="B3" s="5" t="s">
        <v>486</v>
      </c>
      <c r="C3" s="1189" t="s">
        <v>220</v>
      </c>
      <c r="D3" s="1189" t="s">
        <v>221</v>
      </c>
      <c r="E3" s="1189"/>
      <c r="F3" s="1189"/>
      <c r="G3" s="1189"/>
      <c r="H3" s="108" t="s">
        <v>222</v>
      </c>
      <c r="I3" s="108" t="s">
        <v>223</v>
      </c>
      <c r="J3" s="108" t="s">
        <v>224</v>
      </c>
      <c r="K3" s="109" t="s">
        <v>225</v>
      </c>
      <c r="L3" s="1188"/>
      <c r="M3" s="5"/>
      <c r="N3" s="5"/>
    </row>
    <row r="4" spans="1:14" ht="18.75">
      <c r="A4" s="5"/>
      <c r="B4" s="5"/>
      <c r="C4" s="1189"/>
      <c r="D4" s="1189"/>
      <c r="E4" s="1189"/>
      <c r="F4" s="1189"/>
      <c r="G4" s="1189"/>
      <c r="H4" s="2" t="s">
        <v>226</v>
      </c>
      <c r="I4" s="89" t="s">
        <v>227</v>
      </c>
      <c r="J4" s="89" t="s">
        <v>228</v>
      </c>
      <c r="K4" s="92" t="s">
        <v>229</v>
      </c>
      <c r="L4" s="1188"/>
      <c r="M4" s="5"/>
      <c r="N4" s="5"/>
    </row>
    <row r="5" spans="1:14">
      <c r="A5" s="5"/>
      <c r="B5" s="5"/>
      <c r="C5" s="110"/>
      <c r="D5" s="1153" t="s">
        <v>487</v>
      </c>
      <c r="E5" s="1190"/>
      <c r="F5" s="1190"/>
      <c r="G5" s="1191"/>
      <c r="H5" s="110"/>
      <c r="I5" s="110"/>
      <c r="J5" s="110"/>
      <c r="K5" s="111"/>
      <c r="L5" s="1188"/>
      <c r="M5" s="5"/>
      <c r="N5" s="5"/>
    </row>
    <row r="6" spans="1:14" ht="18.75">
      <c r="A6" s="5"/>
      <c r="B6" s="5"/>
      <c r="C6" s="1192" t="s">
        <v>430</v>
      </c>
      <c r="D6" s="1193"/>
      <c r="E6" s="1193"/>
      <c r="F6" s="1193"/>
      <c r="G6" s="1193"/>
      <c r="H6" s="1193"/>
      <c r="I6" s="1193"/>
      <c r="J6" s="1194"/>
      <c r="K6" s="105">
        <f>K5</f>
        <v>0</v>
      </c>
      <c r="L6" s="1188"/>
      <c r="M6" s="5"/>
      <c r="N6" s="5"/>
    </row>
    <row r="7" spans="1:14" ht="18">
      <c r="A7" s="5"/>
      <c r="B7" s="5"/>
      <c r="C7" s="1130" t="s">
        <v>220</v>
      </c>
      <c r="D7" s="1132" t="s">
        <v>302</v>
      </c>
      <c r="E7" s="1133"/>
      <c r="F7" s="1133"/>
      <c r="G7" s="1134"/>
      <c r="H7" s="114" t="s">
        <v>303</v>
      </c>
      <c r="I7" s="114" t="s">
        <v>304</v>
      </c>
      <c r="J7" s="114" t="s">
        <v>224</v>
      </c>
      <c r="K7" s="115" t="s">
        <v>305</v>
      </c>
      <c r="L7" s="1188"/>
      <c r="M7" s="5"/>
      <c r="N7" s="5"/>
    </row>
    <row r="8" spans="1:14">
      <c r="A8" s="5"/>
      <c r="B8" s="5"/>
      <c r="C8" s="1195"/>
      <c r="D8" s="1196"/>
      <c r="E8" s="1197"/>
      <c r="F8" s="1197"/>
      <c r="G8" s="1198"/>
      <c r="H8" s="107" t="s">
        <v>307</v>
      </c>
      <c r="I8" s="107" t="s">
        <v>308</v>
      </c>
      <c r="J8" s="107" t="s">
        <v>228</v>
      </c>
      <c r="K8" s="85" t="s">
        <v>229</v>
      </c>
      <c r="L8" s="1188"/>
      <c r="M8" s="5"/>
      <c r="N8" s="5"/>
    </row>
    <row r="9" spans="1:14">
      <c r="A9" s="5"/>
      <c r="B9" s="5"/>
      <c r="C9" s="57"/>
      <c r="D9" s="1123" t="s">
        <v>174</v>
      </c>
      <c r="E9" s="1124"/>
      <c r="F9" s="1124"/>
      <c r="G9" s="1125"/>
      <c r="H9" s="107"/>
      <c r="I9" s="116"/>
      <c r="J9" s="116"/>
      <c r="K9" s="117"/>
      <c r="L9" s="1188"/>
      <c r="M9" s="5"/>
      <c r="N9" s="5"/>
    </row>
    <row r="10" spans="1:14" ht="18.75">
      <c r="A10" s="5"/>
      <c r="B10" s="5"/>
      <c r="C10" s="1029" t="s">
        <v>282</v>
      </c>
      <c r="D10" s="1126"/>
      <c r="E10" s="1126"/>
      <c r="F10" s="1126"/>
      <c r="G10" s="1126"/>
      <c r="H10" s="1126"/>
      <c r="I10" s="1127"/>
      <c r="J10" s="1128"/>
      <c r="K10" s="95">
        <f>0</f>
        <v>0</v>
      </c>
      <c r="L10" s="831"/>
      <c r="M10" s="5"/>
      <c r="N10" s="5"/>
    </row>
    <row r="11" spans="1:14" ht="18">
      <c r="A11" s="5"/>
      <c r="B11" s="5"/>
      <c r="C11" s="1199" t="s">
        <v>244</v>
      </c>
      <c r="D11" s="1127"/>
      <c r="E11" s="1127"/>
      <c r="F11" s="1127"/>
      <c r="G11" s="1127"/>
      <c r="H11" s="1127"/>
      <c r="I11" s="1200" t="s">
        <v>245</v>
      </c>
      <c r="J11" s="1200"/>
      <c r="K11" s="1201"/>
      <c r="L11" s="210">
        <f>K6+K10</f>
        <v>0</v>
      </c>
      <c r="M11" s="1" t="s">
        <v>431</v>
      </c>
      <c r="N11" s="5"/>
    </row>
    <row r="12" spans="1:14">
      <c r="A12" s="5"/>
      <c r="B12" s="5"/>
      <c r="C12" s="1001" t="s">
        <v>247</v>
      </c>
      <c r="D12" s="1001"/>
      <c r="E12" s="1001"/>
      <c r="F12" s="1001"/>
      <c r="G12" s="1001"/>
      <c r="H12" s="1001"/>
      <c r="I12" s="1001"/>
      <c r="J12" s="1001"/>
      <c r="K12" s="1202"/>
      <c r="L12" s="1203"/>
      <c r="M12" s="5"/>
      <c r="N12" s="5"/>
    </row>
    <row r="13" spans="1:14" ht="18.75">
      <c r="A13" s="5"/>
      <c r="B13" s="5"/>
      <c r="C13" s="1189" t="s">
        <v>220</v>
      </c>
      <c r="D13" s="1189" t="s">
        <v>249</v>
      </c>
      <c r="E13" s="1189"/>
      <c r="F13" s="1189"/>
      <c r="G13" s="1189"/>
      <c r="H13" s="108" t="s">
        <v>222</v>
      </c>
      <c r="I13" s="108" t="s">
        <v>223</v>
      </c>
      <c r="J13" s="317" t="s">
        <v>488</v>
      </c>
      <c r="K13" s="109" t="s">
        <v>251</v>
      </c>
      <c r="L13" s="1204"/>
      <c r="M13" s="5"/>
      <c r="N13" s="5"/>
    </row>
    <row r="14" spans="1:14" ht="18.75">
      <c r="A14" s="5"/>
      <c r="B14" s="5"/>
      <c r="C14" s="1189"/>
      <c r="D14" s="1189"/>
      <c r="E14" s="1189"/>
      <c r="F14" s="1189"/>
      <c r="G14" s="1189"/>
      <c r="H14" s="2" t="s">
        <v>226</v>
      </c>
      <c r="I14" s="89" t="s">
        <v>227</v>
      </c>
      <c r="J14" s="92" t="s">
        <v>228</v>
      </c>
      <c r="K14" s="225" t="s">
        <v>229</v>
      </c>
      <c r="L14" s="1204"/>
      <c r="M14" s="5"/>
      <c r="N14" s="5"/>
    </row>
    <row r="15" spans="1:14">
      <c r="A15" s="5"/>
      <c r="B15" s="5"/>
      <c r="C15" s="194" t="s">
        <v>434</v>
      </c>
      <c r="D15" s="972" t="s">
        <v>489</v>
      </c>
      <c r="E15" s="973"/>
      <c r="F15" s="973"/>
      <c r="G15" s="974"/>
      <c r="H15" s="2">
        <f>((2.3+2+1.5)*3.945)-((0.81*2.03))-(1.01*2.03)</f>
        <v>19.186399999999995</v>
      </c>
      <c r="I15" s="89">
        <f>Parois!L42</f>
        <v>1.8115853807007718</v>
      </c>
      <c r="J15" s="92">
        <f>(K46-I58)/K47</f>
        <v>0.14285714285714285</v>
      </c>
      <c r="K15" s="225">
        <f>PRODUCT(H15:J15)</f>
        <v>4.9654002497538974</v>
      </c>
      <c r="L15" s="1204"/>
      <c r="M15" s="5"/>
      <c r="N15" s="5"/>
    </row>
    <row r="16" spans="1:14">
      <c r="A16" s="5"/>
      <c r="B16" s="5"/>
      <c r="C16" s="194"/>
      <c r="D16" s="972"/>
      <c r="E16" s="973"/>
      <c r="F16" s="973"/>
      <c r="G16" s="974"/>
      <c r="H16" s="2"/>
      <c r="I16" s="89"/>
      <c r="J16" s="92"/>
      <c r="K16" s="225"/>
      <c r="L16" s="1204"/>
      <c r="M16" s="5"/>
      <c r="N16" s="5"/>
    </row>
    <row r="17" spans="1:14">
      <c r="A17" s="5"/>
      <c r="B17" s="5"/>
      <c r="C17" s="194" t="s">
        <v>383</v>
      </c>
      <c r="D17" s="972" t="s">
        <v>194</v>
      </c>
      <c r="E17" s="973"/>
      <c r="F17" s="973"/>
      <c r="G17" s="974"/>
      <c r="H17" s="2">
        <f>(10)*3.945</f>
        <v>39.449999999999996</v>
      </c>
      <c r="I17" s="89">
        <f>Parois!L35</f>
        <v>1.7703177837995205</v>
      </c>
      <c r="J17" s="92">
        <f>(Données!E25-Données!G35)/(Données!E25-Données!G11)</f>
        <v>0.27607142857142858</v>
      </c>
      <c r="K17" s="225">
        <f>PRODUCT(H17:J17)</f>
        <v>19.280562596178147</v>
      </c>
      <c r="L17" s="1204"/>
      <c r="M17" s="5"/>
      <c r="N17" s="5"/>
    </row>
    <row r="18" spans="1:14">
      <c r="A18" s="5"/>
      <c r="B18" s="5"/>
      <c r="C18" s="194" t="s">
        <v>434</v>
      </c>
      <c r="D18" s="972" t="s">
        <v>216</v>
      </c>
      <c r="E18" s="973"/>
      <c r="F18" s="973"/>
      <c r="G18" s="974"/>
      <c r="H18" s="2">
        <f>((0.81*2.03))+(1.01*2.03)</f>
        <v>3.6945999999999999</v>
      </c>
      <c r="I18" s="89">
        <v>2.5</v>
      </c>
      <c r="J18" s="92">
        <f>J15</f>
        <v>0.14285714285714285</v>
      </c>
      <c r="K18" s="225">
        <f>PRODUCT(H18:J18)</f>
        <v>1.3194999999999999</v>
      </c>
      <c r="L18" s="1204"/>
      <c r="M18" s="5"/>
      <c r="N18" s="5"/>
    </row>
    <row r="19" spans="1:14">
      <c r="A19" s="5"/>
      <c r="B19" s="5"/>
      <c r="L19" s="1204"/>
      <c r="M19" s="5"/>
      <c r="N19" s="5"/>
    </row>
    <row r="20" spans="1:14">
      <c r="A20" s="5"/>
      <c r="B20" s="5"/>
      <c r="C20" s="1205" t="s">
        <v>439</v>
      </c>
      <c r="D20" s="818"/>
      <c r="E20" s="818"/>
      <c r="F20" s="818"/>
      <c r="G20" s="818"/>
      <c r="H20" s="818"/>
      <c r="I20" s="818"/>
      <c r="J20" s="862"/>
      <c r="K20" s="216">
        <f>SUM(K15:K18)</f>
        <v>25.565462845932046</v>
      </c>
      <c r="L20" s="1204"/>
      <c r="M20" s="5"/>
      <c r="N20" s="5"/>
    </row>
    <row r="21" spans="1:14" ht="18">
      <c r="A21" s="5"/>
      <c r="B21" s="5"/>
      <c r="C21" s="1130" t="s">
        <v>220</v>
      </c>
      <c r="D21" s="1132" t="s">
        <v>302</v>
      </c>
      <c r="E21" s="1133"/>
      <c r="F21" s="1133"/>
      <c r="G21" s="1134"/>
      <c r="H21" s="114" t="s">
        <v>303</v>
      </c>
      <c r="I21" s="114" t="s">
        <v>304</v>
      </c>
      <c r="J21" s="313" t="s">
        <v>250</v>
      </c>
      <c r="K21" s="90" t="s">
        <v>319</v>
      </c>
      <c r="L21" s="1204"/>
      <c r="M21" s="5"/>
      <c r="N21" s="5"/>
    </row>
    <row r="22" spans="1:14">
      <c r="A22" s="5"/>
      <c r="B22" s="5"/>
      <c r="C22" s="1131"/>
      <c r="D22" s="1135"/>
      <c r="E22" s="1136"/>
      <c r="F22" s="1136"/>
      <c r="G22" s="1137"/>
      <c r="H22" s="116" t="s">
        <v>307</v>
      </c>
      <c r="I22" s="116" t="s">
        <v>308</v>
      </c>
      <c r="J22" s="117" t="s">
        <v>228</v>
      </c>
      <c r="K22" s="85" t="s">
        <v>229</v>
      </c>
      <c r="L22" s="1204"/>
      <c r="M22" s="5"/>
      <c r="N22" s="5"/>
    </row>
    <row r="23" spans="1:14">
      <c r="A23" s="5"/>
      <c r="B23" s="5"/>
      <c r="C23" s="1"/>
      <c r="D23" s="807" t="s">
        <v>174</v>
      </c>
      <c r="E23" s="807"/>
      <c r="F23" s="807"/>
      <c r="G23" s="807"/>
      <c r="H23" s="1"/>
      <c r="I23" s="1"/>
      <c r="J23" s="1"/>
      <c r="K23" s="217"/>
      <c r="L23" s="1204"/>
      <c r="M23" s="5"/>
      <c r="N23" s="5"/>
    </row>
    <row r="24" spans="1:14">
      <c r="A24" s="5"/>
      <c r="B24" s="5"/>
      <c r="C24" s="130" t="s">
        <v>443</v>
      </c>
      <c r="D24" s="2"/>
      <c r="E24" s="2"/>
      <c r="F24" s="2"/>
      <c r="G24" s="2"/>
      <c r="H24" s="1"/>
      <c r="I24" s="1"/>
      <c r="J24" s="119"/>
      <c r="K24" s="90">
        <v>0</v>
      </c>
      <c r="L24" s="1204"/>
      <c r="M24" s="233"/>
      <c r="N24" s="5"/>
    </row>
    <row r="25" spans="1:14">
      <c r="A25" s="5"/>
      <c r="B25" s="5"/>
      <c r="C25" s="1004" t="s">
        <v>444</v>
      </c>
      <c r="D25" s="1026"/>
      <c r="E25" s="1026"/>
      <c r="F25" s="1026"/>
      <c r="G25" s="1026"/>
      <c r="H25" s="1026"/>
      <c r="I25" s="1026"/>
      <c r="J25" s="1027"/>
      <c r="K25" s="123" t="s">
        <v>445</v>
      </c>
      <c r="L25" s="82">
        <f>K20+K23</f>
        <v>25.565462845932046</v>
      </c>
      <c r="M25" s="122" t="s">
        <v>431</v>
      </c>
      <c r="N25" s="5"/>
    </row>
    <row r="26" spans="1:14">
      <c r="A26" s="5"/>
      <c r="B26" s="5"/>
      <c r="C26" s="1002" t="s">
        <v>321</v>
      </c>
      <c r="D26" s="1138"/>
      <c r="E26" s="1138"/>
      <c r="F26" s="1138"/>
      <c r="G26" s="1138"/>
      <c r="H26" s="1138"/>
      <c r="I26" s="1138"/>
      <c r="J26" s="1138"/>
      <c r="K26" s="1138"/>
      <c r="L26" s="807"/>
      <c r="M26" s="5"/>
      <c r="N26" s="5"/>
    </row>
    <row r="27" spans="1:14" ht="18">
      <c r="A27" s="5"/>
      <c r="B27" s="5"/>
      <c r="C27" s="1189" t="s">
        <v>220</v>
      </c>
      <c r="D27" s="1189" t="s">
        <v>249</v>
      </c>
      <c r="E27" s="1189"/>
      <c r="F27" s="1189"/>
      <c r="G27" s="1189"/>
      <c r="H27" s="108" t="s">
        <v>222</v>
      </c>
      <c r="I27" s="108" t="s">
        <v>223</v>
      </c>
      <c r="J27" s="108" t="s">
        <v>224</v>
      </c>
      <c r="K27" s="109" t="s">
        <v>225</v>
      </c>
      <c r="L27" s="807"/>
      <c r="M27" s="233"/>
      <c r="N27" s="5"/>
    </row>
    <row r="28" spans="1:14" ht="18.75">
      <c r="A28" s="5"/>
      <c r="B28" s="5"/>
      <c r="C28" s="1189"/>
      <c r="D28" s="1189"/>
      <c r="E28" s="1189"/>
      <c r="F28" s="1189"/>
      <c r="G28" s="1189"/>
      <c r="H28" s="2" t="s">
        <v>226</v>
      </c>
      <c r="I28" s="89" t="s">
        <v>227</v>
      </c>
      <c r="J28" s="89" t="s">
        <v>228</v>
      </c>
      <c r="K28" s="92" t="s">
        <v>229</v>
      </c>
      <c r="L28" s="807"/>
      <c r="M28" s="5"/>
      <c r="N28" s="5"/>
    </row>
    <row r="29" spans="1:14">
      <c r="A29" s="5"/>
      <c r="B29" s="5"/>
      <c r="C29" s="1"/>
      <c r="D29" s="862" t="s">
        <v>391</v>
      </c>
      <c r="E29" s="863"/>
      <c r="F29" s="863"/>
      <c r="G29" s="864"/>
      <c r="H29" s="2"/>
      <c r="I29" s="2"/>
      <c r="J29" s="2"/>
      <c r="K29" s="120"/>
      <c r="L29" s="807"/>
      <c r="M29" s="5"/>
      <c r="N29" s="5"/>
    </row>
    <row r="30" spans="1:14" ht="18.75">
      <c r="A30" s="5"/>
      <c r="B30" s="5"/>
      <c r="C30" s="98" t="s">
        <v>287</v>
      </c>
      <c r="D30" s="98"/>
      <c r="E30" s="98"/>
      <c r="F30" s="98"/>
      <c r="G30" s="98"/>
      <c r="H30" s="98"/>
      <c r="I30" s="1030" t="s">
        <v>288</v>
      </c>
      <c r="J30" s="1139"/>
      <c r="K30" s="1139"/>
      <c r="L30" s="210">
        <f>K29</f>
        <v>0</v>
      </c>
      <c r="M30" s="2" t="s">
        <v>431</v>
      </c>
      <c r="N30" s="5"/>
    </row>
    <row r="31" spans="1:14">
      <c r="A31" s="5"/>
      <c r="B31" s="5"/>
      <c r="C31" s="1206" t="s">
        <v>257</v>
      </c>
      <c r="D31" s="1207"/>
      <c r="E31" s="1207"/>
      <c r="F31" s="1207"/>
      <c r="G31" s="1207"/>
      <c r="H31" s="1207"/>
      <c r="I31" s="1207"/>
      <c r="J31" s="1207"/>
      <c r="K31" s="1207"/>
      <c r="L31" s="807"/>
      <c r="M31" s="5"/>
      <c r="N31" s="5"/>
    </row>
    <row r="32" spans="1:14" ht="18">
      <c r="A32" s="5"/>
      <c r="B32" s="5"/>
      <c r="C32" s="1208" t="s">
        <v>220</v>
      </c>
      <c r="D32" s="1132" t="s">
        <v>221</v>
      </c>
      <c r="E32" s="1133"/>
      <c r="F32" s="1133"/>
      <c r="G32" s="1133"/>
      <c r="H32" s="108" t="s">
        <v>232</v>
      </c>
      <c r="I32" s="108" t="s">
        <v>222</v>
      </c>
      <c r="J32" s="108" t="s">
        <v>223</v>
      </c>
      <c r="K32" s="109" t="s">
        <v>233</v>
      </c>
      <c r="L32" s="807"/>
      <c r="M32" s="289"/>
      <c r="N32" s="5"/>
    </row>
    <row r="33" spans="1:23" ht="18.75">
      <c r="A33" s="5"/>
      <c r="B33" s="5"/>
      <c r="C33" s="1209"/>
      <c r="D33" s="1196"/>
      <c r="E33" s="1197"/>
      <c r="F33" s="1197"/>
      <c r="G33" s="1197"/>
      <c r="H33" s="2" t="s">
        <v>228</v>
      </c>
      <c r="I33" s="2" t="s">
        <v>226</v>
      </c>
      <c r="J33" s="89" t="s">
        <v>227</v>
      </c>
      <c r="K33" s="92" t="s">
        <v>229</v>
      </c>
      <c r="L33" s="807"/>
      <c r="M33" s="5"/>
      <c r="N33" s="5"/>
    </row>
    <row r="34" spans="1:23">
      <c r="A34" s="5"/>
      <c r="B34" s="5"/>
      <c r="D34" t="s">
        <v>490</v>
      </c>
      <c r="H34">
        <f>(20-18)/K47</f>
        <v>7.1428571428571425E-2</v>
      </c>
      <c r="I34">
        <f>(2.275+5.575)*3.78</f>
        <v>29.672999999999998</v>
      </c>
      <c r="J34">
        <f>Parois!L28</f>
        <v>2.642391922017747</v>
      </c>
      <c r="K34">
        <f>PRODUCT(H34:J34)</f>
        <v>5.6005496787166145</v>
      </c>
      <c r="L34" s="807"/>
      <c r="M34" s="5"/>
      <c r="N34" s="5"/>
    </row>
    <row r="35" spans="1:23">
      <c r="A35" s="5"/>
      <c r="B35" s="5"/>
      <c r="C35" s="440" t="s">
        <v>448</v>
      </c>
      <c r="D35" s="1227" t="s">
        <v>491</v>
      </c>
      <c r="E35" s="1228"/>
      <c r="F35" s="1228"/>
      <c r="G35" s="1229"/>
      <c r="H35" s="213">
        <f>(K46-I52)/(K46-K45)</f>
        <v>-7.1428571428571425E-2</v>
      </c>
      <c r="I35" s="220">
        <f>4*(SUM(Parois!AB25:AC25))</f>
        <v>5.1209999999999996</v>
      </c>
      <c r="J35" s="298">
        <f>Parois!AE25</f>
        <v>1.8029884788127315</v>
      </c>
      <c r="K35" s="299">
        <f>J35*I35*H35</f>
        <v>-0.6595074285714283</v>
      </c>
      <c r="L35" s="807"/>
      <c r="M35" s="5"/>
      <c r="N35" s="5"/>
      <c r="O35" s="140" t="s">
        <v>448</v>
      </c>
      <c r="P35" s="1160" t="s">
        <v>492</v>
      </c>
      <c r="Q35" s="1210"/>
      <c r="R35" s="1210"/>
      <c r="S35" s="1211"/>
      <c r="T35" s="6">
        <f>(K46-I52)/(K46-K45)</f>
        <v>-7.1428571428571425E-2</v>
      </c>
      <c r="U35" s="2">
        <f>3.6*12.395-(0.81*2.03)</f>
        <v>42.977699999999999</v>
      </c>
      <c r="V35" s="89">
        <f>Parois!L42</f>
        <v>1.8115853807007718</v>
      </c>
      <c r="W35" s="92">
        <f>V35*U35*T35</f>
        <v>-5.5612695011531104</v>
      </c>
    </row>
    <row r="36" spans="1:23">
      <c r="A36" s="5"/>
      <c r="B36" s="5"/>
      <c r="C36" s="227"/>
      <c r="D36" s="198" t="s">
        <v>493</v>
      </c>
      <c r="E36" s="442"/>
      <c r="F36" s="442"/>
      <c r="G36" s="442"/>
      <c r="H36" s="227"/>
      <c r="I36" s="227">
        <f>2.4*3.78-I35</f>
        <v>3.9509999999999996</v>
      </c>
      <c r="J36" s="227">
        <f>Parois!L42</f>
        <v>1.8115853807007718</v>
      </c>
      <c r="K36" s="101"/>
      <c r="N36" s="5"/>
    </row>
    <row r="37" spans="1:23">
      <c r="A37" s="5"/>
      <c r="B37" s="5"/>
      <c r="C37" s="1"/>
      <c r="D37" s="443" t="s">
        <v>494</v>
      </c>
      <c r="E37" s="443"/>
      <c r="F37" s="443"/>
      <c r="G37" s="443"/>
      <c r="H37" s="119">
        <f>(20-16)/K47</f>
        <v>0.14285714285714285</v>
      </c>
      <c r="I37" s="119">
        <f>(1.05*3.675)*3.78</f>
        <v>14.586074999999999</v>
      </c>
      <c r="J37" s="119">
        <f>Parois!L65</f>
        <v>2.9148684813270003</v>
      </c>
      <c r="K37" s="1">
        <f>PRODUCT(H37:J37)</f>
        <v>6.0737843262531035</v>
      </c>
      <c r="N37" s="5"/>
    </row>
    <row r="38" spans="1:23">
      <c r="A38" s="5"/>
      <c r="C38" s="194" t="s">
        <v>495</v>
      </c>
      <c r="D38" s="972" t="s">
        <v>496</v>
      </c>
      <c r="E38" s="973"/>
      <c r="F38" s="973"/>
      <c r="G38" s="974"/>
      <c r="H38">
        <f>(20-18)/K47</f>
        <v>7.1428571428571425E-2</v>
      </c>
      <c r="I38" s="2">
        <f>(1.85*3.78)-(0.81*2.03)</f>
        <v>5.3487000000000009</v>
      </c>
      <c r="J38" s="92">
        <f>Parois!L28</f>
        <v>2.642391922017747</v>
      </c>
      <c r="K38" s="1">
        <f>PRODUCT(H38:J38)</f>
        <v>1.0095258338068804</v>
      </c>
    </row>
    <row r="39" spans="1:23">
      <c r="A39" s="5"/>
      <c r="D39" t="s">
        <v>497</v>
      </c>
      <c r="H39">
        <f>(20-16)/K47</f>
        <v>0.14285714285714285</v>
      </c>
      <c r="I39">
        <f>(1.645+2.05)*3.78-((0.81*2.03)*2)</f>
        <v>10.6785</v>
      </c>
      <c r="J39">
        <f>Parois!L42</f>
        <v>1.8115853807007718</v>
      </c>
      <c r="K39" s="1">
        <f>PRODUCT(H39:J39)</f>
        <v>2.763573498259027</v>
      </c>
    </row>
    <row r="40" spans="1:23">
      <c r="A40" s="5"/>
      <c r="D40" t="s">
        <v>340</v>
      </c>
      <c r="H40">
        <f>10/K47</f>
        <v>0.35714285714285715</v>
      </c>
      <c r="I40">
        <f>2.275*2.4+3.75*2.7+4.725*2.2+5.3*4.8+1.7*0.975+1.495*1.45+1.45*2.725+1.595*2.05</f>
        <v>62.466250000000002</v>
      </c>
      <c r="J40">
        <f>Parois!L49</f>
        <v>0.39937430012814151</v>
      </c>
      <c r="K40">
        <f>H40*I40*J40</f>
        <v>8.9097910269212584</v>
      </c>
    </row>
    <row r="41" spans="1:23">
      <c r="A41" s="5"/>
    </row>
    <row r="42" spans="1:23" ht="18">
      <c r="A42" s="5"/>
      <c r="B42" s="5"/>
      <c r="C42" s="1230" t="s">
        <v>255</v>
      </c>
      <c r="D42" s="1205"/>
      <c r="E42" s="1205"/>
      <c r="F42" s="1205"/>
      <c r="G42" s="1205"/>
      <c r="H42" s="1230"/>
      <c r="I42" s="1230"/>
      <c r="J42" s="1230"/>
      <c r="K42" s="441" t="s">
        <v>256</v>
      </c>
      <c r="L42" s="192">
        <f>SUM(K34:K41)-K35</f>
        <v>24.357224363956881</v>
      </c>
      <c r="M42" s="89" t="s">
        <v>144</v>
      </c>
      <c r="N42" s="5"/>
    </row>
    <row r="43" spans="1:23" ht="18.75">
      <c r="A43" s="5"/>
      <c r="B43" s="5"/>
      <c r="C43" s="1215" t="s">
        <v>450</v>
      </c>
      <c r="D43" s="1216"/>
      <c r="E43" s="1216"/>
      <c r="F43" s="1216"/>
      <c r="G43" s="1217"/>
      <c r="H43" s="1218" t="s">
        <v>451</v>
      </c>
      <c r="I43" s="1219"/>
      <c r="J43" s="1219"/>
      <c r="K43" s="1220"/>
      <c r="L43" s="517">
        <f>L42+L30+L25+L11</f>
        <v>49.922687209888927</v>
      </c>
      <c r="M43" s="209" t="s">
        <v>431</v>
      </c>
      <c r="N43" s="5"/>
    </row>
    <row r="44" spans="1:23">
      <c r="A44" s="5"/>
      <c r="B44" s="5"/>
      <c r="C44" s="104" t="s">
        <v>365</v>
      </c>
      <c r="D44" s="103"/>
      <c r="E44" s="103"/>
      <c r="F44" s="103"/>
      <c r="G44" s="103"/>
      <c r="H44" s="125"/>
      <c r="I44" s="125"/>
      <c r="J44" s="125"/>
      <c r="K44" s="126"/>
      <c r="L44" s="220"/>
      <c r="M44" s="5"/>
      <c r="N44" s="5"/>
    </row>
    <row r="45" spans="1:23" ht="19.5">
      <c r="A45" s="5"/>
      <c r="B45" s="5"/>
      <c r="C45" s="351" t="s">
        <v>6</v>
      </c>
      <c r="D45" s="351"/>
      <c r="E45" s="351"/>
      <c r="F45" s="351"/>
      <c r="G45" s="351"/>
      <c r="H45" s="351"/>
      <c r="I45" s="2" t="s">
        <v>261</v>
      </c>
      <c r="J45" s="2" t="s">
        <v>262</v>
      </c>
      <c r="K45" s="2">
        <v>-8</v>
      </c>
      <c r="L45" s="398"/>
      <c r="M45" s="5"/>
      <c r="N45" s="5"/>
    </row>
    <row r="46" spans="1:23" ht="19.5">
      <c r="A46" s="5"/>
      <c r="B46" s="5"/>
      <c r="C46" s="352" t="s">
        <v>264</v>
      </c>
      <c r="D46" s="352"/>
      <c r="E46" s="352"/>
      <c r="F46" s="352"/>
      <c r="G46" s="352"/>
      <c r="H46" s="352"/>
      <c r="I46" s="2" t="s">
        <v>265</v>
      </c>
      <c r="J46" s="2" t="s">
        <v>262</v>
      </c>
      <c r="K46" s="2">
        <v>20</v>
      </c>
      <c r="L46" s="398"/>
      <c r="M46" s="5"/>
      <c r="N46" s="5"/>
    </row>
    <row r="47" spans="1:23" ht="19.5">
      <c r="A47" s="5"/>
      <c r="B47" s="5"/>
      <c r="C47" s="351" t="s">
        <v>266</v>
      </c>
      <c r="D47" s="351"/>
      <c r="E47" s="351"/>
      <c r="F47" s="351"/>
      <c r="G47" s="351"/>
      <c r="H47" s="351"/>
      <c r="I47" s="2" t="s">
        <v>267</v>
      </c>
      <c r="J47" s="2" t="s">
        <v>262</v>
      </c>
      <c r="K47" s="2">
        <f>K46-K45</f>
        <v>28</v>
      </c>
      <c r="L47" s="399"/>
      <c r="M47" s="5"/>
      <c r="N47" s="5"/>
    </row>
    <row r="48" spans="1:23" ht="18.75">
      <c r="A48" s="5"/>
      <c r="B48" s="5"/>
      <c r="C48" s="418" t="s">
        <v>452</v>
      </c>
      <c r="D48" s="356"/>
      <c r="E48" s="356"/>
      <c r="F48" s="356"/>
      <c r="G48" s="356"/>
      <c r="H48" s="356"/>
      <c r="I48" s="356"/>
      <c r="J48" s="356"/>
      <c r="K48" s="356"/>
      <c r="L48" s="273">
        <f>(K47*L43)</f>
        <v>1397.83524187689</v>
      </c>
      <c r="M48" s="2" t="s">
        <v>453</v>
      </c>
      <c r="N48" s="5"/>
    </row>
    <row r="49" spans="1:14">
      <c r="A49" s="5"/>
      <c r="B49" s="5"/>
      <c r="C49" s="235" t="s">
        <v>269</v>
      </c>
      <c r="D49" s="235"/>
      <c r="E49" s="235"/>
      <c r="F49" s="235"/>
      <c r="G49" s="235"/>
      <c r="H49" s="235"/>
      <c r="I49" s="235"/>
      <c r="J49" s="235"/>
      <c r="K49" s="235"/>
      <c r="L49" s="235"/>
      <c r="M49" s="5"/>
      <c r="N49" s="5"/>
    </row>
    <row r="50" spans="1:14">
      <c r="A50" s="5"/>
      <c r="B50" s="5"/>
      <c r="C50" s="348" t="s">
        <v>270</v>
      </c>
      <c r="D50" s="349"/>
      <c r="E50" s="349"/>
      <c r="F50" s="349"/>
      <c r="G50" s="349"/>
      <c r="H50" s="350"/>
      <c r="I50" s="241" t="s">
        <v>271</v>
      </c>
      <c r="J50" s="241" t="s">
        <v>272</v>
      </c>
      <c r="K50" s="242" t="s">
        <v>273</v>
      </c>
      <c r="L50" s="235" t="s">
        <v>274</v>
      </c>
      <c r="M50" s="5"/>
      <c r="N50" s="5"/>
    </row>
    <row r="51" spans="1:14">
      <c r="A51" s="5"/>
      <c r="B51" s="5"/>
      <c r="C51" s="351" t="s">
        <v>498</v>
      </c>
      <c r="D51" s="351"/>
      <c r="E51" s="351"/>
      <c r="F51" s="351"/>
      <c r="G51" s="351"/>
      <c r="H51" s="351"/>
      <c r="I51" s="245">
        <f>Données!E28</f>
        <v>20</v>
      </c>
      <c r="J51" s="245" t="s">
        <v>174</v>
      </c>
      <c r="K51" s="245">
        <f>K46-I51</f>
        <v>0</v>
      </c>
      <c r="L51" s="245" t="s">
        <v>174</v>
      </c>
      <c r="M51" s="5"/>
      <c r="N51" s="5"/>
    </row>
    <row r="52" spans="1:14">
      <c r="A52" s="5"/>
      <c r="B52" s="5"/>
      <c r="C52" s="351" t="s">
        <v>499</v>
      </c>
      <c r="D52" s="351"/>
      <c r="E52" s="351"/>
      <c r="F52" s="351"/>
      <c r="G52" s="351"/>
      <c r="H52" s="351"/>
      <c r="I52" s="245">
        <f>22</f>
        <v>22</v>
      </c>
      <c r="J52" s="245" t="s">
        <v>174</v>
      </c>
      <c r="K52" s="245"/>
      <c r="L52" s="245" t="s">
        <v>174</v>
      </c>
      <c r="M52" s="5"/>
      <c r="N52" s="5"/>
    </row>
    <row r="53" spans="1:14">
      <c r="A53" s="5"/>
      <c r="B53" s="5"/>
      <c r="C53" s="351"/>
      <c r="D53" s="351"/>
      <c r="E53" s="351"/>
      <c r="F53" s="351"/>
      <c r="G53" s="351"/>
      <c r="H53" s="351"/>
      <c r="I53" s="245"/>
      <c r="J53" s="245"/>
      <c r="K53" s="245"/>
      <c r="L53" s="245"/>
      <c r="M53" s="5"/>
      <c r="N53" s="5"/>
    </row>
    <row r="54" spans="1:14">
      <c r="A54" s="5"/>
      <c r="B54" s="5"/>
      <c r="C54" s="352"/>
      <c r="D54" s="352"/>
      <c r="E54" s="352"/>
      <c r="F54" s="352"/>
      <c r="G54" s="352"/>
      <c r="H54" s="352"/>
      <c r="I54" s="245"/>
      <c r="J54" s="245"/>
      <c r="K54" s="245"/>
      <c r="L54" s="245"/>
      <c r="M54" s="5"/>
      <c r="N54" s="5"/>
    </row>
    <row r="55" spans="1:14">
      <c r="A55" s="5"/>
      <c r="B55" s="5"/>
      <c r="C55" s="392" t="s">
        <v>456</v>
      </c>
      <c r="D55" s="393"/>
      <c r="E55" s="393"/>
      <c r="F55" s="393"/>
      <c r="G55" s="393"/>
      <c r="H55" s="394"/>
      <c r="I55" s="260">
        <f>Données!G51</f>
        <v>18</v>
      </c>
      <c r="J55" s="260" t="s">
        <v>174</v>
      </c>
      <c r="K55" s="245">
        <f>K46-I55</f>
        <v>2</v>
      </c>
      <c r="L55" s="260" t="s">
        <v>174</v>
      </c>
      <c r="M55" s="5"/>
      <c r="N55" s="5"/>
    </row>
    <row r="56" spans="1:14">
      <c r="A56" s="5"/>
      <c r="B56" s="5"/>
      <c r="C56" s="392" t="s">
        <v>457</v>
      </c>
      <c r="D56" s="393"/>
      <c r="E56" s="393"/>
      <c r="F56" s="393"/>
      <c r="G56" s="393"/>
      <c r="H56" s="394"/>
      <c r="I56" s="260">
        <f>16</f>
        <v>16</v>
      </c>
      <c r="J56" s="260" t="s">
        <v>174</v>
      </c>
      <c r="K56" s="245">
        <f>K46-I56</f>
        <v>4</v>
      </c>
      <c r="L56" s="260" t="s">
        <v>174</v>
      </c>
      <c r="M56" s="5"/>
      <c r="N56" s="5"/>
    </row>
    <row r="57" spans="1:14">
      <c r="A57" s="5"/>
      <c r="B57" s="5"/>
      <c r="C57" s="392" t="s">
        <v>458</v>
      </c>
      <c r="D57" s="393"/>
      <c r="E57" s="393"/>
      <c r="F57" s="393"/>
      <c r="G57" s="393"/>
      <c r="H57" s="394"/>
      <c r="I57" s="260">
        <f>16</f>
        <v>16</v>
      </c>
      <c r="J57" s="260" t="s">
        <v>174</v>
      </c>
      <c r="K57" s="260">
        <f>K46-I57</f>
        <v>4</v>
      </c>
      <c r="L57" s="260" t="s">
        <v>174</v>
      </c>
      <c r="M57" s="5"/>
      <c r="N57" s="5"/>
    </row>
    <row r="58" spans="1:14">
      <c r="B58" s="5"/>
      <c r="C58" s="392" t="s">
        <v>500</v>
      </c>
      <c r="D58" s="393"/>
      <c r="E58" s="393"/>
      <c r="F58" s="393"/>
      <c r="G58" s="393"/>
      <c r="H58" s="394"/>
      <c r="I58" s="260">
        <f>Données!G45</f>
        <v>16</v>
      </c>
      <c r="J58" s="260" t="s">
        <v>174</v>
      </c>
      <c r="K58" s="260">
        <f>$K46-I58</f>
        <v>4</v>
      </c>
      <c r="L58" s="260" t="s">
        <v>174</v>
      </c>
      <c r="M58" s="5"/>
      <c r="N58" s="5"/>
    </row>
    <row r="59" spans="1:14">
      <c r="B59" s="5"/>
      <c r="C59" s="5" t="s">
        <v>501</v>
      </c>
      <c r="D59" s="5"/>
      <c r="E59" s="5"/>
      <c r="F59" s="5"/>
      <c r="G59" s="5"/>
      <c r="H59" s="5"/>
      <c r="I59" s="5">
        <v>16</v>
      </c>
      <c r="J59" s="5"/>
      <c r="K59" s="260">
        <f>K46-I59</f>
        <v>4</v>
      </c>
      <c r="L59" s="5"/>
      <c r="M59" s="5"/>
      <c r="N59" s="5"/>
    </row>
    <row r="60" spans="1:14">
      <c r="B60" s="5"/>
      <c r="C60" s="5" t="s">
        <v>502</v>
      </c>
      <c r="D60" s="5"/>
      <c r="E60" s="5"/>
      <c r="F60" s="5"/>
      <c r="G60" s="5"/>
      <c r="H60" s="5"/>
      <c r="I60" s="5">
        <v>16</v>
      </c>
      <c r="J60" s="5"/>
      <c r="K60" s="260">
        <f>$K46-I60</f>
        <v>4</v>
      </c>
      <c r="L60" s="5"/>
      <c r="M60" s="5"/>
      <c r="N60" s="5"/>
    </row>
    <row r="61" spans="1:14">
      <c r="B61" s="5"/>
      <c r="C61" s="5" t="s">
        <v>503</v>
      </c>
      <c r="D61" s="5"/>
      <c r="E61" s="5"/>
      <c r="F61" s="5"/>
      <c r="G61" s="5"/>
      <c r="H61" s="5"/>
      <c r="I61" s="5">
        <v>16</v>
      </c>
      <c r="J61" s="5"/>
      <c r="K61" s="260">
        <f>$K46-I61</f>
        <v>4</v>
      </c>
      <c r="L61" s="5"/>
      <c r="M61" s="5"/>
      <c r="N61" s="5"/>
    </row>
    <row r="67" spans="2:15">
      <c r="B67" s="597"/>
      <c r="C67" s="597"/>
      <c r="D67" s="597"/>
      <c r="F67" s="5"/>
      <c r="G67" s="5"/>
      <c r="H67" s="5"/>
      <c r="I67" s="5"/>
      <c r="J67" s="5"/>
      <c r="K67" s="5"/>
      <c r="L67" s="5"/>
      <c r="M67" s="5"/>
      <c r="N67" s="5"/>
      <c r="O67" s="5"/>
    </row>
    <row r="68" spans="2:15">
      <c r="D68" s="5"/>
      <c r="E68" s="1183" t="s">
        <v>462</v>
      </c>
      <c r="F68" s="1183"/>
      <c r="G68" s="1183"/>
      <c r="H68" s="1183"/>
      <c r="I68" s="1183"/>
      <c r="J68" s="1183"/>
      <c r="K68" s="1183"/>
      <c r="L68" s="1183"/>
      <c r="M68" s="1180"/>
      <c r="N68" s="286"/>
      <c r="O68" s="250"/>
    </row>
    <row r="69" spans="2:15" ht="18">
      <c r="D69" s="5"/>
      <c r="E69" s="994" t="s">
        <v>220</v>
      </c>
      <c r="F69" s="994" t="s">
        <v>221</v>
      </c>
      <c r="G69" s="994"/>
      <c r="H69" s="994"/>
      <c r="I69" s="994"/>
      <c r="J69" s="108" t="s">
        <v>222</v>
      </c>
      <c r="K69" s="108" t="s">
        <v>223</v>
      </c>
      <c r="L69" s="108" t="s">
        <v>224</v>
      </c>
      <c r="M69" s="91" t="s">
        <v>225</v>
      </c>
      <c r="N69" s="287"/>
      <c r="O69" s="250"/>
    </row>
    <row r="70" spans="2:15" ht="18.75">
      <c r="D70" s="5"/>
      <c r="E70" s="994"/>
      <c r="F70" s="994"/>
      <c r="G70" s="994"/>
      <c r="H70" s="994"/>
      <c r="I70" s="994"/>
      <c r="J70" s="2" t="s">
        <v>226</v>
      </c>
      <c r="K70" s="89" t="s">
        <v>227</v>
      </c>
      <c r="L70" s="89" t="s">
        <v>228</v>
      </c>
      <c r="M70" s="92" t="s">
        <v>229</v>
      </c>
      <c r="N70" s="287"/>
      <c r="O70" s="250"/>
    </row>
    <row r="71" spans="2:15">
      <c r="D71" s="5"/>
      <c r="E71" s="2"/>
      <c r="F71" s="807"/>
      <c r="G71" s="807"/>
      <c r="H71" s="807"/>
      <c r="I71" s="807"/>
      <c r="J71" s="2"/>
      <c r="K71" s="2"/>
      <c r="L71" s="2"/>
      <c r="M71" s="237"/>
      <c r="N71" s="287"/>
      <c r="O71" s="250"/>
    </row>
    <row r="72" spans="2:15">
      <c r="D72" s="5"/>
      <c r="E72" s="1005"/>
      <c r="F72" s="1006"/>
      <c r="G72" s="1006"/>
      <c r="H72" s="1006"/>
      <c r="I72" s="1006"/>
      <c r="J72" s="1006"/>
      <c r="K72" s="1006"/>
      <c r="L72" s="1007"/>
      <c r="M72" s="105">
        <f>SUM(M71:M71)</f>
        <v>0</v>
      </c>
      <c r="N72" s="287"/>
      <c r="O72" s="250"/>
    </row>
    <row r="73" spans="2:15" ht="18">
      <c r="D73" s="5"/>
      <c r="E73" s="1199" t="s">
        <v>463</v>
      </c>
      <c r="F73" s="1127"/>
      <c r="G73" s="1127"/>
      <c r="H73" s="1127"/>
      <c r="I73" s="1127"/>
      <c r="J73" s="1127"/>
      <c r="K73" s="1028" t="s">
        <v>245</v>
      </c>
      <c r="L73" s="1028"/>
      <c r="M73" s="1129"/>
      <c r="N73" s="287"/>
      <c r="O73" s="250"/>
    </row>
    <row r="74" spans="2:15">
      <c r="D74" s="5"/>
      <c r="E74" s="1183" t="s">
        <v>315</v>
      </c>
      <c r="F74" s="1183"/>
      <c r="G74" s="1183"/>
      <c r="H74" s="1183"/>
      <c r="I74" s="1183"/>
      <c r="J74" s="1183"/>
      <c r="K74" s="1183"/>
      <c r="L74" s="1183"/>
      <c r="M74" s="1180"/>
      <c r="N74" s="287"/>
      <c r="O74" s="250"/>
    </row>
    <row r="75" spans="2:15" ht="18">
      <c r="D75" s="5"/>
      <c r="E75" s="994" t="s">
        <v>220</v>
      </c>
      <c r="F75" s="994" t="s">
        <v>249</v>
      </c>
      <c r="G75" s="994"/>
      <c r="H75" s="994"/>
      <c r="I75" s="994"/>
      <c r="J75" s="108" t="s">
        <v>222</v>
      </c>
      <c r="K75" s="108" t="s">
        <v>223</v>
      </c>
      <c r="L75" s="196" t="s">
        <v>464</v>
      </c>
      <c r="M75" s="231" t="s">
        <v>465</v>
      </c>
      <c r="N75" s="287"/>
      <c r="O75" s="250"/>
    </row>
    <row r="76" spans="2:15" ht="18.75">
      <c r="D76" s="5"/>
      <c r="E76" s="994"/>
      <c r="F76" s="994"/>
      <c r="G76" s="994"/>
      <c r="H76" s="994"/>
      <c r="I76" s="994"/>
      <c r="J76" s="2" t="s">
        <v>226</v>
      </c>
      <c r="K76" s="89" t="s">
        <v>227</v>
      </c>
      <c r="L76" s="89" t="s">
        <v>228</v>
      </c>
      <c r="M76" s="92" t="s">
        <v>229</v>
      </c>
      <c r="N76" s="287"/>
      <c r="O76" s="250"/>
    </row>
    <row r="77" spans="2:15">
      <c r="D77" s="5"/>
      <c r="E77" s="221"/>
      <c r="F77" s="1184"/>
      <c r="G77" s="1185"/>
      <c r="H77" s="1185"/>
      <c r="I77" s="1186"/>
      <c r="J77" s="2"/>
      <c r="K77" s="89"/>
      <c r="L77" s="89"/>
      <c r="M77" s="92"/>
      <c r="N77" s="287"/>
      <c r="O77" s="250"/>
    </row>
    <row r="78" spans="2:15">
      <c r="D78" s="5"/>
      <c r="E78" s="818" t="s">
        <v>318</v>
      </c>
      <c r="F78" s="818"/>
      <c r="G78" s="818"/>
      <c r="H78" s="818"/>
      <c r="I78" s="818"/>
      <c r="J78" s="818"/>
      <c r="K78" s="818"/>
      <c r="L78" s="818"/>
      <c r="M78" s="91"/>
      <c r="N78" s="287"/>
      <c r="O78" s="250"/>
    </row>
    <row r="79" spans="2:15">
      <c r="D79" s="5"/>
      <c r="E79" s="1003" t="s">
        <v>466</v>
      </c>
      <c r="F79" s="1003"/>
      <c r="G79" s="1003"/>
      <c r="H79" s="1003"/>
      <c r="I79" s="1003"/>
      <c r="J79" s="1003"/>
      <c r="K79" s="1003"/>
      <c r="L79" s="1003"/>
      <c r="M79" s="1004"/>
      <c r="N79" s="287"/>
      <c r="O79" s="250"/>
    </row>
    <row r="80" spans="2:15">
      <c r="D80" s="5"/>
      <c r="E80" s="1180" t="s">
        <v>467</v>
      </c>
      <c r="F80" s="1181"/>
      <c r="G80" s="1181"/>
      <c r="H80" s="1181"/>
      <c r="I80" s="1181"/>
      <c r="J80" s="1181"/>
      <c r="K80" s="1181"/>
      <c r="L80" s="1181"/>
      <c r="M80" s="1181"/>
      <c r="N80" s="287"/>
      <c r="O80" s="250"/>
    </row>
    <row r="81" spans="4:15" ht="18">
      <c r="D81" s="5"/>
      <c r="E81" s="994" t="s">
        <v>220</v>
      </c>
      <c r="F81" s="994" t="s">
        <v>249</v>
      </c>
      <c r="G81" s="994"/>
      <c r="H81" s="994"/>
      <c r="I81" s="994"/>
      <c r="J81" s="196" t="s">
        <v>222</v>
      </c>
      <c r="K81" s="196" t="s">
        <v>223</v>
      </c>
      <c r="L81" s="108" t="s">
        <v>468</v>
      </c>
      <c r="M81" s="109" t="s">
        <v>225</v>
      </c>
      <c r="N81" s="287"/>
      <c r="O81" s="250"/>
    </row>
    <row r="82" spans="4:15" ht="18">
      <c r="D82" s="5"/>
      <c r="E82" s="994"/>
      <c r="F82" s="994"/>
      <c r="G82" s="994"/>
      <c r="H82" s="994"/>
      <c r="I82" s="994"/>
      <c r="J82" s="62" t="s">
        <v>226</v>
      </c>
      <c r="K82" s="197" t="s">
        <v>227</v>
      </c>
      <c r="L82" s="197" t="s">
        <v>228</v>
      </c>
      <c r="M82" s="232" t="s">
        <v>229</v>
      </c>
      <c r="N82" s="287"/>
      <c r="O82" s="250"/>
    </row>
    <row r="83" spans="4:15">
      <c r="D83" s="5"/>
      <c r="E83" s="1"/>
      <c r="F83" s="862"/>
      <c r="G83" s="863"/>
      <c r="H83" s="863"/>
      <c r="I83" s="864"/>
      <c r="J83" s="1"/>
      <c r="K83" s="1"/>
      <c r="L83" s="1"/>
      <c r="M83" s="119"/>
      <c r="N83" s="287"/>
      <c r="O83" s="250"/>
    </row>
    <row r="84" spans="4:15" ht="18.75">
      <c r="D84" s="5"/>
      <c r="E84" s="1174" t="s">
        <v>469</v>
      </c>
      <c r="F84" s="1175"/>
      <c r="G84" s="1175"/>
      <c r="H84" s="1175"/>
      <c r="I84" s="1175"/>
      <c r="J84" s="1176"/>
      <c r="K84" s="1030" t="s">
        <v>288</v>
      </c>
      <c r="L84" s="1139"/>
      <c r="M84" s="1139"/>
      <c r="N84" s="287"/>
      <c r="O84" s="250"/>
    </row>
    <row r="85" spans="4:15">
      <c r="D85" s="5"/>
      <c r="E85" s="1177" t="s">
        <v>470</v>
      </c>
      <c r="F85" s="1178"/>
      <c r="G85" s="1178"/>
      <c r="H85" s="1178"/>
      <c r="I85" s="1178"/>
      <c r="J85" s="1178"/>
      <c r="K85" s="1179"/>
      <c r="L85" s="101"/>
      <c r="M85" s="227"/>
      <c r="N85" s="287"/>
      <c r="O85" s="250"/>
    </row>
    <row r="86" spans="4:15" ht="18">
      <c r="D86" s="5"/>
      <c r="E86" s="1008" t="s">
        <v>220</v>
      </c>
      <c r="F86" s="1009" t="s">
        <v>221</v>
      </c>
      <c r="G86" s="1010"/>
      <c r="H86" s="1010"/>
      <c r="I86" s="1010"/>
      <c r="J86" s="196" t="s">
        <v>232</v>
      </c>
      <c r="K86" s="196" t="s">
        <v>222</v>
      </c>
      <c r="L86" s="196" t="s">
        <v>223</v>
      </c>
      <c r="M86" s="231" t="s">
        <v>233</v>
      </c>
      <c r="N86" s="287"/>
      <c r="O86" s="250"/>
    </row>
    <row r="87" spans="4:15" ht="18">
      <c r="D87" s="5"/>
      <c r="E87" s="976"/>
      <c r="F87" s="979"/>
      <c r="G87" s="980"/>
      <c r="H87" s="980"/>
      <c r="I87" s="980"/>
      <c r="J87" s="62" t="s">
        <v>228</v>
      </c>
      <c r="K87" s="62" t="s">
        <v>226</v>
      </c>
      <c r="L87" s="197" t="s">
        <v>227</v>
      </c>
      <c r="M87" s="232" t="s">
        <v>229</v>
      </c>
      <c r="N87" s="287"/>
      <c r="O87" s="250"/>
    </row>
    <row r="88" spans="4:15">
      <c r="D88" s="5"/>
      <c r="E88" s="155"/>
      <c r="F88" t="s">
        <v>490</v>
      </c>
      <c r="J88">
        <f>(M102-25)/M103</f>
        <v>0.16666666666666666</v>
      </c>
      <c r="K88">
        <f>(2.275+5.575)*3.78</f>
        <v>29.672999999999998</v>
      </c>
      <c r="L88">
        <f>L92</f>
        <v>2.642391922017747</v>
      </c>
      <c r="M88">
        <f t="shared" ref="M88:M97" si="0">PRODUCT(J88:L88)</f>
        <v>13.067949250338765</v>
      </c>
      <c r="N88" s="287"/>
      <c r="O88" s="250"/>
    </row>
    <row r="89" spans="4:15">
      <c r="D89" s="5"/>
      <c r="F89" s="1227" t="s">
        <v>491</v>
      </c>
      <c r="G89" s="1228"/>
      <c r="H89" s="1228"/>
      <c r="I89" s="1229"/>
      <c r="J89" s="213">
        <f>(M102-26)/M103</f>
        <v>0</v>
      </c>
      <c r="K89" s="220">
        <f>I35</f>
        <v>5.1209999999999996</v>
      </c>
      <c r="L89" s="298">
        <f>J35</f>
        <v>1.8029884788127315</v>
      </c>
      <c r="M89">
        <f t="shared" si="0"/>
        <v>0</v>
      </c>
    </row>
    <row r="90" spans="4:15">
      <c r="D90" s="5"/>
      <c r="F90" s="198" t="s">
        <v>493</v>
      </c>
      <c r="G90" s="442"/>
      <c r="H90" s="442"/>
      <c r="I90" s="442"/>
      <c r="J90" s="227">
        <v>0</v>
      </c>
      <c r="K90" s="227">
        <f>2.4*3.78-K89</f>
        <v>3.9509999999999996</v>
      </c>
      <c r="L90" s="227">
        <f>L95</f>
        <v>1.8115853807007718</v>
      </c>
      <c r="M90">
        <f t="shared" si="0"/>
        <v>0</v>
      </c>
    </row>
    <row r="91" spans="4:15">
      <c r="D91" s="5"/>
      <c r="F91" s="443" t="s">
        <v>494</v>
      </c>
      <c r="G91" s="443"/>
      <c r="H91" s="443"/>
      <c r="I91" s="443"/>
      <c r="J91" s="119">
        <f>(M102-20)/M103</f>
        <v>1</v>
      </c>
      <c r="K91" s="119">
        <f>(1.05*3.675)*3.78</f>
        <v>14.586074999999999</v>
      </c>
      <c r="L91" s="119">
        <f>J37</f>
        <v>2.9148684813270003</v>
      </c>
      <c r="M91">
        <f t="shared" si="0"/>
        <v>42.516490283771724</v>
      </c>
    </row>
    <row r="92" spans="4:15" ht="15.75" customHeight="1">
      <c r="D92" s="5"/>
      <c r="F92" s="972" t="s">
        <v>496</v>
      </c>
      <c r="G92" s="973"/>
      <c r="H92" s="973"/>
      <c r="I92" s="974"/>
      <c r="J92">
        <f>(M102-25)/M103</f>
        <v>0.16666666666666666</v>
      </c>
      <c r="K92" s="2">
        <f>(1.85*3.78)-(0.81*2.03)</f>
        <v>5.3487000000000009</v>
      </c>
      <c r="L92" s="92">
        <f>J38</f>
        <v>2.642391922017747</v>
      </c>
      <c r="M92">
        <f t="shared" si="0"/>
        <v>2.3555602788827206</v>
      </c>
    </row>
    <row r="93" spans="4:15">
      <c r="D93" s="5"/>
      <c r="F93" t="s">
        <v>497</v>
      </c>
      <c r="J93">
        <f>0</f>
        <v>0</v>
      </c>
      <c r="K93">
        <f>(1.645+2.05)*3.78-((0.81*2.03)*2)</f>
        <v>10.6785</v>
      </c>
      <c r="L93">
        <f>L90</f>
        <v>1.8115853807007718</v>
      </c>
      <c r="M93">
        <f t="shared" si="0"/>
        <v>0</v>
      </c>
    </row>
    <row r="94" spans="4:15" ht="15.75" customHeight="1">
      <c r="D94" s="5"/>
      <c r="F94" t="s">
        <v>340</v>
      </c>
      <c r="J94">
        <f>(M102-20)/M103</f>
        <v>1</v>
      </c>
      <c r="K94">
        <f>2.275*2.4+3.75*2.7+4.725*2.2+5.3*4.8+1.7*0.975+1.495*1.45+1.45*2.725+1.595*2.05</f>
        <v>62.466250000000002</v>
      </c>
      <c r="L94">
        <f>J40</f>
        <v>0.39937430012814151</v>
      </c>
      <c r="M94">
        <f t="shared" si="0"/>
        <v>24.947414875379522</v>
      </c>
    </row>
    <row r="95" spans="4:15" ht="15.75" customHeight="1">
      <c r="D95" s="5"/>
      <c r="F95" s="972" t="s">
        <v>197</v>
      </c>
      <c r="G95" s="973"/>
      <c r="H95" s="973"/>
      <c r="I95" s="974"/>
      <c r="K95" s="2">
        <f>((2.3+2+1.5)*3.945)-((0.81*2.03))-(1.01*2.03)</f>
        <v>19.186399999999995</v>
      </c>
      <c r="L95" s="92">
        <f>I15</f>
        <v>1.8115853807007718</v>
      </c>
      <c r="M95">
        <f t="shared" si="0"/>
        <v>34.757801748277281</v>
      </c>
    </row>
    <row r="96" spans="4:15">
      <c r="D96" s="5"/>
      <c r="F96" s="972" t="s">
        <v>194</v>
      </c>
      <c r="G96" s="973"/>
      <c r="H96" s="973"/>
      <c r="I96" s="974"/>
      <c r="J96">
        <v>0</v>
      </c>
      <c r="K96" s="2">
        <f>(10)*3.945</f>
        <v>39.449999999999996</v>
      </c>
      <c r="L96" s="92">
        <f>I17</f>
        <v>1.7703177837995205</v>
      </c>
      <c r="M96">
        <f t="shared" si="0"/>
        <v>0</v>
      </c>
    </row>
    <row r="97" spans="4:15">
      <c r="D97" s="5"/>
      <c r="F97" s="972" t="s">
        <v>216</v>
      </c>
      <c r="G97" s="973"/>
      <c r="H97" s="973"/>
      <c r="I97" s="974"/>
      <c r="K97" s="2">
        <f>((0.81*2.03))+(1.01*2.03)</f>
        <v>3.6945999999999999</v>
      </c>
      <c r="L97" s="92">
        <f>2.5</f>
        <v>2.5</v>
      </c>
      <c r="M97">
        <f t="shared" si="0"/>
        <v>9.2364999999999995</v>
      </c>
    </row>
    <row r="98" spans="4:15" ht="18">
      <c r="D98" s="5"/>
      <c r="E98" s="1221" t="s">
        <v>475</v>
      </c>
      <c r="F98" s="1222"/>
      <c r="G98" s="1222"/>
      <c r="H98" s="1222"/>
      <c r="I98" s="1222"/>
      <c r="J98" s="1222"/>
      <c r="K98" s="1223"/>
      <c r="L98" s="88" t="s">
        <v>256</v>
      </c>
      <c r="M98" s="1">
        <f>SUM(M88:M97)</f>
        <v>126.88171643665001</v>
      </c>
      <c r="N98" s="287"/>
      <c r="O98" s="250"/>
    </row>
    <row r="99" spans="4:15" ht="18">
      <c r="D99" s="5"/>
      <c r="E99" s="1224" t="s">
        <v>476</v>
      </c>
      <c r="F99" s="1225"/>
      <c r="G99" s="1225"/>
      <c r="H99" s="1225"/>
      <c r="I99" s="1226"/>
      <c r="J99" s="999" t="s">
        <v>259</v>
      </c>
      <c r="K99" s="999"/>
      <c r="L99" s="999"/>
      <c r="M99" s="119">
        <f>M98</f>
        <v>126.88171643665001</v>
      </c>
      <c r="N99" s="287"/>
      <c r="O99" s="250"/>
    </row>
    <row r="100" spans="4:15">
      <c r="D100" s="5"/>
      <c r="E100" s="104" t="s">
        <v>260</v>
      </c>
      <c r="F100" s="103"/>
      <c r="G100" s="103"/>
      <c r="H100" s="103"/>
      <c r="I100" s="103"/>
      <c r="J100" s="103"/>
      <c r="K100" s="103"/>
      <c r="L100" s="103"/>
      <c r="M100" s="103"/>
      <c r="N100" s="287"/>
      <c r="O100" s="250"/>
    </row>
    <row r="101" spans="4:15" ht="19.5">
      <c r="D101" s="5"/>
      <c r="E101" s="818" t="s">
        <v>6</v>
      </c>
      <c r="F101" s="818"/>
      <c r="G101" s="818"/>
      <c r="H101" s="818"/>
      <c r="I101" s="818"/>
      <c r="J101" s="818"/>
      <c r="K101" s="1" t="s">
        <v>261</v>
      </c>
      <c r="L101" s="1" t="s">
        <v>262</v>
      </c>
      <c r="M101" s="119">
        <v>32</v>
      </c>
      <c r="N101" s="287"/>
      <c r="O101" s="250"/>
    </row>
    <row r="102" spans="4:15" ht="19.5">
      <c r="E102" s="971" t="s">
        <v>264</v>
      </c>
      <c r="F102" s="971"/>
      <c r="G102" s="971"/>
      <c r="H102" s="971"/>
      <c r="I102" s="971"/>
      <c r="J102" s="971"/>
      <c r="K102" s="1" t="s">
        <v>265</v>
      </c>
      <c r="L102" s="1" t="s">
        <v>262</v>
      </c>
      <c r="M102" s="119">
        <v>26</v>
      </c>
      <c r="N102" s="287"/>
      <c r="O102" s="250"/>
    </row>
    <row r="103" spans="4:15" ht="19.5">
      <c r="E103" s="997" t="s">
        <v>266</v>
      </c>
      <c r="F103" s="997"/>
      <c r="G103" s="997"/>
      <c r="H103" s="997"/>
      <c r="I103" s="997"/>
      <c r="J103" s="997"/>
      <c r="K103" s="101" t="s">
        <v>267</v>
      </c>
      <c r="L103" s="101" t="s">
        <v>262</v>
      </c>
      <c r="M103" s="227">
        <f>ABS(M102-M101)</f>
        <v>6</v>
      </c>
      <c r="N103" s="287"/>
      <c r="O103" s="250"/>
    </row>
    <row r="104" spans="4:15" ht="19.5">
      <c r="E104" s="862" t="s">
        <v>477</v>
      </c>
      <c r="F104" s="863"/>
      <c r="G104" s="863"/>
      <c r="H104" s="863"/>
      <c r="I104" s="863"/>
      <c r="J104" s="864"/>
      <c r="K104" s="351" t="s">
        <v>478</v>
      </c>
      <c r="L104" s="101" t="s">
        <v>262</v>
      </c>
      <c r="M104" s="119">
        <v>0</v>
      </c>
      <c r="N104" s="288"/>
      <c r="O104" s="250"/>
    </row>
    <row r="105" spans="4:15">
      <c r="E105" s="988" t="s">
        <v>479</v>
      </c>
      <c r="F105" s="988"/>
      <c r="G105" s="988"/>
      <c r="H105" s="988"/>
      <c r="I105" s="988"/>
      <c r="J105" s="988"/>
      <c r="K105" s="988"/>
      <c r="L105" s="988"/>
      <c r="M105" s="988"/>
      <c r="N105" s="603">
        <f>M103*M99</f>
        <v>761.29029861990011</v>
      </c>
      <c r="O105" s="251" t="s">
        <v>263</v>
      </c>
    </row>
    <row r="106" spans="4:15">
      <c r="E106" s="989" t="s">
        <v>269</v>
      </c>
      <c r="F106" s="989"/>
      <c r="G106" s="989"/>
      <c r="H106" s="989"/>
      <c r="I106" s="989"/>
      <c r="J106" s="989"/>
      <c r="K106" s="989"/>
      <c r="L106" s="989"/>
      <c r="M106" s="989"/>
      <c r="N106" s="989"/>
      <c r="O106" s="250"/>
    </row>
    <row r="107" spans="4:15">
      <c r="E107" s="348" t="s">
        <v>270</v>
      </c>
      <c r="F107" s="349"/>
      <c r="G107" s="349"/>
      <c r="H107" s="349"/>
      <c r="I107" s="349"/>
      <c r="J107" s="350"/>
      <c r="K107" s="241" t="s">
        <v>271</v>
      </c>
      <c r="L107" s="241" t="s">
        <v>272</v>
      </c>
      <c r="M107" s="242" t="s">
        <v>273</v>
      </c>
      <c r="N107" s="235" t="s">
        <v>274</v>
      </c>
      <c r="O107" s="250"/>
    </row>
    <row r="108" spans="4:15">
      <c r="E108" s="536"/>
      <c r="F108" s="537"/>
      <c r="G108" s="537"/>
      <c r="H108" s="537"/>
      <c r="I108" s="537"/>
      <c r="J108" s="538"/>
      <c r="K108" s="245" t="s">
        <v>174</v>
      </c>
      <c r="L108" s="246"/>
      <c r="M108" s="245" t="s">
        <v>174</v>
      </c>
      <c r="N108" s="245">
        <f>L108-$X$35</f>
        <v>0</v>
      </c>
      <c r="O108" s="250"/>
    </row>
    <row r="109" spans="4:15">
      <c r="E109" s="354" t="s">
        <v>483</v>
      </c>
      <c r="F109" s="354"/>
      <c r="G109" s="354"/>
      <c r="H109" s="354"/>
      <c r="I109" s="354"/>
      <c r="J109" s="354"/>
      <c r="K109" s="354"/>
      <c r="L109" s="354"/>
      <c r="M109" s="354"/>
      <c r="N109" s="249">
        <v>0</v>
      </c>
      <c r="O109" s="251" t="s">
        <v>263</v>
      </c>
    </row>
    <row r="110" spans="4:15" ht="18.75">
      <c r="E110" s="345" t="s">
        <v>484</v>
      </c>
      <c r="F110" s="345"/>
      <c r="G110" s="345"/>
      <c r="H110" s="345"/>
      <c r="I110" s="345"/>
      <c r="J110" s="345"/>
      <c r="K110" s="345"/>
      <c r="L110" s="345"/>
      <c r="M110" s="345"/>
      <c r="N110" s="690">
        <f>N105+N109</f>
        <v>761.29029861990011</v>
      </c>
      <c r="O110" s="253" t="s">
        <v>263</v>
      </c>
    </row>
  </sheetData>
  <mergeCells count="77">
    <mergeCell ref="D18:G18"/>
    <mergeCell ref="C20:J20"/>
    <mergeCell ref="C21:C22"/>
    <mergeCell ref="D21:G22"/>
    <mergeCell ref="D23:G23"/>
    <mergeCell ref="C31:K31"/>
    <mergeCell ref="L31:L35"/>
    <mergeCell ref="C32:C33"/>
    <mergeCell ref="D32:G33"/>
    <mergeCell ref="D35:G35"/>
    <mergeCell ref="L26:L29"/>
    <mergeCell ref="C27:C28"/>
    <mergeCell ref="D27:G28"/>
    <mergeCell ref="D29:G29"/>
    <mergeCell ref="I30:K30"/>
    <mergeCell ref="P35:S35"/>
    <mergeCell ref="C43:G43"/>
    <mergeCell ref="H43:K43"/>
    <mergeCell ref="C11:H11"/>
    <mergeCell ref="I11:K11"/>
    <mergeCell ref="C12:K12"/>
    <mergeCell ref="L12:L24"/>
    <mergeCell ref="C13:C14"/>
    <mergeCell ref="D13:G14"/>
    <mergeCell ref="D15:G15"/>
    <mergeCell ref="D38:G38"/>
    <mergeCell ref="D16:G16"/>
    <mergeCell ref="D17:G17"/>
    <mergeCell ref="C25:J25"/>
    <mergeCell ref="C26:K26"/>
    <mergeCell ref="C42:J42"/>
    <mergeCell ref="C2:K2"/>
    <mergeCell ref="L2:L10"/>
    <mergeCell ref="C3:C4"/>
    <mergeCell ref="D3:G4"/>
    <mergeCell ref="D5:G5"/>
    <mergeCell ref="C6:J6"/>
    <mergeCell ref="C7:C8"/>
    <mergeCell ref="D7:G8"/>
    <mergeCell ref="D9:G9"/>
    <mergeCell ref="C10:J10"/>
    <mergeCell ref="E68:M68"/>
    <mergeCell ref="E69:E70"/>
    <mergeCell ref="F69:I70"/>
    <mergeCell ref="F71:I71"/>
    <mergeCell ref="E72:L72"/>
    <mergeCell ref="E73:J73"/>
    <mergeCell ref="K73:M73"/>
    <mergeCell ref="E74:M74"/>
    <mergeCell ref="E75:E76"/>
    <mergeCell ref="F75:I76"/>
    <mergeCell ref="F77:I77"/>
    <mergeCell ref="E78:L78"/>
    <mergeCell ref="E79:M79"/>
    <mergeCell ref="E80:M80"/>
    <mergeCell ref="E81:E82"/>
    <mergeCell ref="F81:I82"/>
    <mergeCell ref="F83:I83"/>
    <mergeCell ref="E84:J84"/>
    <mergeCell ref="K84:M84"/>
    <mergeCell ref="E85:K85"/>
    <mergeCell ref="E86:E87"/>
    <mergeCell ref="F86:I87"/>
    <mergeCell ref="E98:K98"/>
    <mergeCell ref="E99:I99"/>
    <mergeCell ref="J99:L99"/>
    <mergeCell ref="E101:J101"/>
    <mergeCell ref="F89:I89"/>
    <mergeCell ref="F92:I92"/>
    <mergeCell ref="F95:I95"/>
    <mergeCell ref="F96:I96"/>
    <mergeCell ref="F97:I97"/>
    <mergeCell ref="E102:J102"/>
    <mergeCell ref="E103:J103"/>
    <mergeCell ref="E104:J104"/>
    <mergeCell ref="E105:M105"/>
    <mergeCell ref="E106:N10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0BC8AA-EF28-A24A-8010-135D7D97884A}">
  <sheetPr codeName="Feuil11"/>
  <dimension ref="A1:BK152"/>
  <sheetViews>
    <sheetView topLeftCell="B1" zoomScale="40" zoomScaleNormal="40" workbookViewId="0">
      <selection activeCell="Q113" sqref="Q113"/>
    </sheetView>
  </sheetViews>
  <sheetFormatPr baseColWidth="10" defaultColWidth="11" defaultRowHeight="15.75"/>
  <sheetData>
    <row r="1" spans="1:62">
      <c r="A1" s="5"/>
      <c r="B1" s="5"/>
      <c r="C1" s="5"/>
      <c r="D1" s="5"/>
      <c r="E1" s="5"/>
      <c r="F1" s="5"/>
      <c r="G1" s="5"/>
      <c r="H1" s="5"/>
      <c r="I1" s="5"/>
      <c r="J1" s="5"/>
      <c r="K1" s="5"/>
      <c r="L1" s="5"/>
      <c r="M1" s="5"/>
      <c r="N1" s="5"/>
      <c r="O1" s="5"/>
      <c r="P1" s="5"/>
      <c r="Q1" s="5"/>
      <c r="R1" s="5"/>
      <c r="S1" s="5"/>
      <c r="T1" s="5"/>
      <c r="U1" s="5"/>
      <c r="V1" s="5"/>
      <c r="W1" s="5"/>
      <c r="X1" s="5"/>
      <c r="Y1" s="5"/>
      <c r="Z1" s="5"/>
    </row>
    <row r="2" spans="1:62" ht="16.5" thickBot="1">
      <c r="A2" s="5"/>
      <c r="B2" s="5"/>
      <c r="C2" s="5"/>
      <c r="D2" s="5"/>
      <c r="E2" s="5"/>
      <c r="F2" s="5"/>
      <c r="G2" s="5"/>
      <c r="H2" s="5"/>
      <c r="I2" s="5"/>
      <c r="J2" s="5"/>
      <c r="K2" s="5"/>
      <c r="L2" s="5"/>
      <c r="M2" s="5"/>
      <c r="Z2" s="5"/>
      <c r="AC2" s="5"/>
      <c r="AD2" s="5"/>
      <c r="AE2" s="5"/>
      <c r="AF2" s="5"/>
      <c r="AG2" s="5"/>
      <c r="AH2" s="5"/>
      <c r="AI2" s="5"/>
      <c r="AJ2" s="5"/>
      <c r="AK2" s="5"/>
      <c r="AL2" s="5"/>
      <c r="AM2" s="5"/>
      <c r="AN2" s="5"/>
    </row>
    <row r="3" spans="1:62" ht="16.5" thickBot="1">
      <c r="A3" s="5"/>
      <c r="B3" s="157" t="s">
        <v>504</v>
      </c>
      <c r="C3" s="158"/>
      <c r="D3" s="158"/>
      <c r="E3" s="158"/>
      <c r="F3" s="158"/>
      <c r="G3" s="158"/>
      <c r="H3" s="158"/>
      <c r="I3" s="158"/>
      <c r="J3" s="158"/>
      <c r="K3" s="158"/>
      <c r="L3" s="191"/>
      <c r="M3" s="5"/>
      <c r="Z3" s="5"/>
    </row>
    <row r="4" spans="1:62">
      <c r="A4" s="5"/>
      <c r="B4" s="158" t="s">
        <v>505</v>
      </c>
      <c r="C4" s="1001" t="s">
        <v>219</v>
      </c>
      <c r="D4" s="1001"/>
      <c r="E4" s="1001"/>
      <c r="F4" s="1001"/>
      <c r="G4" s="1001"/>
      <c r="H4" s="1001"/>
      <c r="I4" s="1001"/>
      <c r="J4" s="1001"/>
      <c r="K4" s="1002"/>
      <c r="L4" s="286"/>
      <c r="M4" s="250"/>
      <c r="Z4" s="5"/>
    </row>
    <row r="5" spans="1:62" ht="18.75" thickBot="1">
      <c r="A5" s="5"/>
      <c r="B5" s="158"/>
      <c r="C5" s="994" t="s">
        <v>220</v>
      </c>
      <c r="D5" s="994" t="s">
        <v>221</v>
      </c>
      <c r="E5" s="994"/>
      <c r="F5" s="994"/>
      <c r="G5" s="994"/>
      <c r="H5" s="108" t="s">
        <v>222</v>
      </c>
      <c r="I5" s="108" t="s">
        <v>223</v>
      </c>
      <c r="J5" s="108" t="s">
        <v>224</v>
      </c>
      <c r="K5" s="91" t="s">
        <v>225</v>
      </c>
      <c r="L5" s="287"/>
      <c r="M5" s="250"/>
      <c r="Y5" s="158"/>
      <c r="Z5" s="5"/>
      <c r="AA5" s="5"/>
      <c r="AB5" s="5"/>
      <c r="AC5" s="5"/>
      <c r="AD5" s="5"/>
      <c r="AE5" s="5"/>
      <c r="AF5" s="5"/>
      <c r="AG5" s="5"/>
      <c r="AH5" s="5"/>
      <c r="AI5" s="5"/>
      <c r="AJ5" s="250"/>
      <c r="AK5" s="5"/>
    </row>
    <row r="6" spans="1:62" ht="19.5" thickBot="1">
      <c r="A6" s="5"/>
      <c r="B6" s="158"/>
      <c r="C6" s="994"/>
      <c r="D6" s="994"/>
      <c r="E6" s="994"/>
      <c r="F6" s="994"/>
      <c r="G6" s="994"/>
      <c r="H6" s="2" t="s">
        <v>226</v>
      </c>
      <c r="I6" s="89" t="s">
        <v>227</v>
      </c>
      <c r="J6" s="89" t="s">
        <v>228</v>
      </c>
      <c r="K6" s="92" t="s">
        <v>229</v>
      </c>
      <c r="L6" s="287"/>
      <c r="M6" s="250"/>
      <c r="Y6" s="319" t="s">
        <v>506</v>
      </c>
      <c r="Z6" s="284"/>
      <c r="AA6" s="284"/>
      <c r="AB6" s="284"/>
      <c r="AC6" s="284"/>
      <c r="AD6" s="284"/>
      <c r="AE6" s="284"/>
      <c r="AF6" s="284"/>
      <c r="AG6" s="284"/>
      <c r="AH6" s="284"/>
      <c r="AI6" s="285"/>
      <c r="AJ6" s="250"/>
      <c r="AK6" s="5"/>
    </row>
    <row r="7" spans="1:62" ht="16.5" thickBot="1">
      <c r="A7" s="5"/>
      <c r="B7" s="158"/>
      <c r="C7" s="2" t="s">
        <v>295</v>
      </c>
      <c r="D7" s="818" t="s">
        <v>381</v>
      </c>
      <c r="E7" s="818"/>
      <c r="F7" s="818"/>
      <c r="G7" s="818"/>
      <c r="H7" s="1">
        <f>7.115*3.94</f>
        <v>28.033100000000001</v>
      </c>
      <c r="I7" s="1">
        <f>Parois!L13</f>
        <v>0.31196948579298983</v>
      </c>
      <c r="J7" s="1">
        <v>1</v>
      </c>
      <c r="K7" s="230">
        <f>H7*I7*J7</f>
        <v>8.7454717921834639</v>
      </c>
      <c r="L7" s="287"/>
      <c r="M7" s="250"/>
      <c r="Y7" s="158" t="s">
        <v>507</v>
      </c>
      <c r="Z7" s="1001" t="s">
        <v>219</v>
      </c>
      <c r="AA7" s="1001"/>
      <c r="AB7" s="1001"/>
      <c r="AC7" s="1001"/>
      <c r="AD7" s="1001"/>
      <c r="AE7" s="1001"/>
      <c r="AF7" s="1001"/>
      <c r="AG7" s="1001"/>
      <c r="AH7" s="1002"/>
      <c r="AI7" s="101"/>
      <c r="AJ7" s="250"/>
      <c r="AK7" s="5"/>
    </row>
    <row r="8" spans="1:62" ht="18.75" thickBot="1">
      <c r="A8" s="5"/>
      <c r="B8" s="158"/>
      <c r="C8" s="1" t="s">
        <v>337</v>
      </c>
      <c r="D8" s="862" t="s">
        <v>381</v>
      </c>
      <c r="E8" s="863"/>
      <c r="F8" s="863"/>
      <c r="G8" s="864"/>
      <c r="H8" s="1">
        <f>4.915*3.78-Parois!AB9-Parois!AC9</f>
        <v>15.226199999999999</v>
      </c>
      <c r="I8" s="1">
        <f>Parois!L13</f>
        <v>0.31196948579298983</v>
      </c>
      <c r="J8" s="1">
        <v>1</v>
      </c>
      <c r="K8" s="230">
        <f>H8*I8*J8</f>
        <v>4.7501097845812215</v>
      </c>
      <c r="L8" s="287"/>
      <c r="M8" s="250"/>
      <c r="Y8" s="158"/>
      <c r="Z8" s="994" t="s">
        <v>220</v>
      </c>
      <c r="AA8" s="994" t="s">
        <v>221</v>
      </c>
      <c r="AB8" s="994"/>
      <c r="AC8" s="994"/>
      <c r="AD8" s="994"/>
      <c r="AE8" s="108" t="s">
        <v>222</v>
      </c>
      <c r="AF8" s="108" t="s">
        <v>223</v>
      </c>
      <c r="AG8" s="108" t="s">
        <v>224</v>
      </c>
      <c r="AH8" s="91" t="s">
        <v>225</v>
      </c>
      <c r="AI8" s="489"/>
      <c r="AJ8" s="250"/>
      <c r="AK8" s="5"/>
      <c r="AX8" s="154" t="s">
        <v>508</v>
      </c>
      <c r="AY8" s="157" t="s">
        <v>509</v>
      </c>
      <c r="AZ8" s="158"/>
      <c r="BA8" s="158"/>
      <c r="BB8" s="158"/>
      <c r="BC8" s="158"/>
      <c r="BD8" s="158"/>
      <c r="BE8" s="158"/>
      <c r="BF8" s="158"/>
      <c r="BG8" s="158"/>
      <c r="BH8" s="158"/>
      <c r="BI8" s="191"/>
      <c r="BJ8" s="5"/>
    </row>
    <row r="9" spans="1:62" ht="18.75">
      <c r="A9" s="5"/>
      <c r="B9" s="158"/>
      <c r="C9" s="1" t="s">
        <v>510</v>
      </c>
      <c r="D9" s="818" t="s">
        <v>511</v>
      </c>
      <c r="E9" s="818"/>
      <c r="F9" s="818"/>
      <c r="G9" s="818"/>
      <c r="H9" s="1">
        <f>Parois!AB9+Parois!AC9</f>
        <v>3.3525</v>
      </c>
      <c r="I9" s="1">
        <f>Parois!AG9</f>
        <v>1.405672503174296</v>
      </c>
      <c r="J9" s="1">
        <v>1</v>
      </c>
      <c r="K9" s="230">
        <f>H9*I9*J9</f>
        <v>4.7125170668918273</v>
      </c>
      <c r="L9" s="287"/>
      <c r="M9" s="250"/>
      <c r="N9">
        <f>Parois!AB9+Parois!AC9</f>
        <v>3.3525</v>
      </c>
      <c r="Y9" s="158"/>
      <c r="Z9" s="994"/>
      <c r="AA9" s="994"/>
      <c r="AB9" s="994"/>
      <c r="AC9" s="994"/>
      <c r="AD9" s="994"/>
      <c r="AE9" s="2" t="s">
        <v>226</v>
      </c>
      <c r="AF9" s="89" t="s">
        <v>227</v>
      </c>
      <c r="AG9" s="89" t="s">
        <v>228</v>
      </c>
      <c r="AH9" s="92" t="s">
        <v>229</v>
      </c>
      <c r="AI9" s="489"/>
      <c r="AJ9" s="250"/>
      <c r="AK9" s="5"/>
      <c r="AY9" s="284"/>
      <c r="AZ9" s="1001" t="s">
        <v>219</v>
      </c>
      <c r="BA9" s="1001"/>
      <c r="BB9" s="1001"/>
      <c r="BC9" s="1001"/>
      <c r="BD9" s="1001"/>
      <c r="BE9" s="1001"/>
      <c r="BF9" s="1001"/>
      <c r="BG9" s="1001"/>
      <c r="BH9" s="1002"/>
      <c r="BI9" s="286"/>
      <c r="BJ9" s="250"/>
    </row>
    <row r="10" spans="1:62" ht="18">
      <c r="A10" s="5"/>
      <c r="B10" s="158"/>
      <c r="C10" s="1"/>
      <c r="D10" s="818"/>
      <c r="E10" s="818"/>
      <c r="F10" s="818"/>
      <c r="G10" s="818"/>
      <c r="H10" s="1"/>
      <c r="I10" s="1"/>
      <c r="J10" s="1"/>
      <c r="K10" s="230">
        <f>H10*I10*J10</f>
        <v>0</v>
      </c>
      <c r="L10" s="287"/>
      <c r="M10" s="250"/>
      <c r="Y10" s="158"/>
      <c r="Z10" s="2" t="s">
        <v>437</v>
      </c>
      <c r="AA10" s="818" t="s">
        <v>296</v>
      </c>
      <c r="AB10" s="818"/>
      <c r="AC10" s="818"/>
      <c r="AD10" s="818"/>
      <c r="AE10" s="1"/>
      <c r="AF10" s="1"/>
      <c r="AG10" s="1">
        <v>1</v>
      </c>
      <c r="AH10" s="230"/>
      <c r="AI10" s="489"/>
      <c r="AJ10" s="250"/>
      <c r="AK10" s="5"/>
      <c r="AY10" s="284"/>
      <c r="AZ10" s="994" t="s">
        <v>220</v>
      </c>
      <c r="BA10" s="994" t="s">
        <v>221</v>
      </c>
      <c r="BB10" s="994"/>
      <c r="BC10" s="994"/>
      <c r="BD10" s="994"/>
      <c r="BE10" s="108" t="s">
        <v>222</v>
      </c>
      <c r="BF10" s="108" t="s">
        <v>223</v>
      </c>
      <c r="BG10" s="108" t="s">
        <v>224</v>
      </c>
      <c r="BH10" s="91" t="s">
        <v>225</v>
      </c>
      <c r="BI10" s="287"/>
      <c r="BJ10" s="250"/>
    </row>
    <row r="11" spans="1:62" ht="18.75">
      <c r="A11" s="5"/>
      <c r="B11" s="158"/>
      <c r="C11" s="1005"/>
      <c r="D11" s="1006"/>
      <c r="E11" s="1006"/>
      <c r="F11" s="1006"/>
      <c r="G11" s="1006"/>
      <c r="H11" s="1006"/>
      <c r="I11" s="1006"/>
      <c r="J11" s="1007"/>
      <c r="K11" s="105">
        <f>K7+K9+K10+K8</f>
        <v>18.208098643656513</v>
      </c>
      <c r="L11" s="287"/>
      <c r="M11" s="250"/>
      <c r="Y11" s="158"/>
      <c r="Z11" s="1"/>
      <c r="AA11" s="862" t="s">
        <v>206</v>
      </c>
      <c r="AB11" s="863"/>
      <c r="AC11" s="863"/>
      <c r="AD11" s="864"/>
      <c r="AE11" s="1">
        <f>Données!G29</f>
        <v>32.174999999999997</v>
      </c>
      <c r="AF11" s="1">
        <f>Parois!L59</f>
        <v>0.14630087903826619</v>
      </c>
      <c r="AG11" s="1">
        <v>1</v>
      </c>
      <c r="AH11" s="230"/>
      <c r="AI11" s="489"/>
      <c r="AJ11" s="250"/>
      <c r="AK11" s="5"/>
      <c r="AY11" s="284"/>
      <c r="AZ11" s="994"/>
      <c r="BA11" s="994"/>
      <c r="BB11" s="994"/>
      <c r="BC11" s="994"/>
      <c r="BD11" s="994"/>
      <c r="BE11" s="2" t="s">
        <v>226</v>
      </c>
      <c r="BF11" s="89" t="s">
        <v>227</v>
      </c>
      <c r="BG11" s="89" t="s">
        <v>228</v>
      </c>
      <c r="BH11" s="92" t="s">
        <v>229</v>
      </c>
      <c r="BI11" s="287"/>
      <c r="BJ11" s="250"/>
    </row>
    <row r="12" spans="1:62" ht="18">
      <c r="A12" s="5"/>
      <c r="B12" s="158"/>
      <c r="C12" s="1008" t="s">
        <v>220</v>
      </c>
      <c r="D12" s="1009" t="s">
        <v>302</v>
      </c>
      <c r="E12" s="1010"/>
      <c r="F12" s="1010"/>
      <c r="G12" s="1121"/>
      <c r="H12" s="114" t="s">
        <v>303</v>
      </c>
      <c r="I12" s="114" t="s">
        <v>304</v>
      </c>
      <c r="J12" s="114" t="s">
        <v>224</v>
      </c>
      <c r="K12" s="90" t="s">
        <v>305</v>
      </c>
      <c r="L12" s="287"/>
      <c r="M12" s="250"/>
      <c r="Y12" s="158"/>
      <c r="Z12" s="1"/>
      <c r="AA12" s="818"/>
      <c r="AB12" s="818"/>
      <c r="AC12" s="818"/>
      <c r="AD12" s="818"/>
      <c r="AE12" s="1"/>
      <c r="AF12" s="1"/>
      <c r="AG12" s="1">
        <v>1</v>
      </c>
      <c r="AH12" s="230">
        <f>AE12*AF12*AG12</f>
        <v>0</v>
      </c>
      <c r="AI12" s="489"/>
      <c r="AJ12" s="250"/>
      <c r="AK12" s="5"/>
      <c r="AY12" s="284"/>
      <c r="AZ12" s="2" t="s">
        <v>295</v>
      </c>
      <c r="BA12" s="818" t="s">
        <v>381</v>
      </c>
      <c r="BB12" s="818"/>
      <c r="BC12" s="818"/>
      <c r="BD12" s="818"/>
      <c r="BE12" s="1">
        <f>4.65*3.78--Parois!AB15-Parois!AC15</f>
        <v>19.513200000000005</v>
      </c>
      <c r="BF12" s="1">
        <f>Parois!L13</f>
        <v>0.31196948579298983</v>
      </c>
      <c r="BG12" s="1">
        <v>1</v>
      </c>
      <c r="BH12" s="230">
        <f>BE12*BF12*BG12</f>
        <v>6.0875229701757707</v>
      </c>
      <c r="BI12" s="287"/>
      <c r="BJ12" s="250"/>
    </row>
    <row r="13" spans="1:62">
      <c r="A13" s="5"/>
      <c r="B13" s="158"/>
      <c r="C13" s="976"/>
      <c r="D13" s="979"/>
      <c r="E13" s="980"/>
      <c r="F13" s="980"/>
      <c r="G13" s="1122"/>
      <c r="H13" s="57" t="s">
        <v>307</v>
      </c>
      <c r="I13" s="57" t="s">
        <v>308</v>
      </c>
      <c r="J13" s="57" t="s">
        <v>228</v>
      </c>
      <c r="K13" s="58" t="s">
        <v>229</v>
      </c>
      <c r="L13" s="287"/>
      <c r="M13" s="250"/>
      <c r="Y13" s="158"/>
      <c r="Z13" s="1"/>
      <c r="AA13" s="818"/>
      <c r="AB13" s="818"/>
      <c r="AC13" s="818"/>
      <c r="AD13" s="818"/>
      <c r="AE13" s="1"/>
      <c r="AF13" s="1"/>
      <c r="AG13" s="1">
        <v>1</v>
      </c>
      <c r="AH13" s="230">
        <f>AE13*AF13*AG13</f>
        <v>0</v>
      </c>
      <c r="AI13" s="489"/>
      <c r="AJ13" s="250"/>
      <c r="AK13" s="5"/>
      <c r="AY13" s="284"/>
      <c r="AZ13" s="1"/>
      <c r="BA13" s="862"/>
      <c r="BB13" s="863"/>
      <c r="BC13" s="863"/>
      <c r="BD13" s="864"/>
      <c r="BE13" s="1">
        <f>Données!G31</f>
        <v>0</v>
      </c>
      <c r="BF13" s="1"/>
      <c r="BG13" s="1">
        <v>1</v>
      </c>
      <c r="BH13" s="230"/>
      <c r="BI13" s="287"/>
      <c r="BJ13" s="250"/>
    </row>
    <row r="14" spans="1:62">
      <c r="A14" s="5"/>
      <c r="B14" s="158"/>
      <c r="C14" s="57"/>
      <c r="D14" s="1123"/>
      <c r="E14" s="1124"/>
      <c r="F14" s="1124"/>
      <c r="G14" s="1125"/>
      <c r="H14" s="57"/>
      <c r="I14" s="59"/>
      <c r="J14" s="59"/>
      <c r="K14" s="94"/>
      <c r="L14" s="287"/>
      <c r="M14" s="250"/>
      <c r="Y14" s="158"/>
      <c r="Z14" s="1005"/>
      <c r="AA14" s="1006"/>
      <c r="AB14" s="1006"/>
      <c r="AC14" s="1006"/>
      <c r="AD14" s="1006"/>
      <c r="AE14" s="1006"/>
      <c r="AF14" s="1006"/>
      <c r="AG14" s="1007"/>
      <c r="AH14" s="105">
        <f>SUM(AH10:AH13)</f>
        <v>0</v>
      </c>
      <c r="AI14" s="489"/>
      <c r="AJ14" s="250"/>
      <c r="AK14" s="5"/>
      <c r="AY14" s="284"/>
      <c r="AZ14" s="1" t="s">
        <v>512</v>
      </c>
      <c r="BA14" s="818" t="s">
        <v>513</v>
      </c>
      <c r="BB14" s="818"/>
      <c r="BC14" s="818"/>
      <c r="BD14" s="818"/>
      <c r="BE14" s="1">
        <f>Parois!AB15+Parois!AC15</f>
        <v>3.8949999999999996</v>
      </c>
      <c r="BF14" s="1">
        <f>Parois!AE15</f>
        <v>1.9125011553273426</v>
      </c>
      <c r="BG14" s="1">
        <v>1</v>
      </c>
      <c r="BH14" s="230">
        <f>BE14*BF14*BG14</f>
        <v>7.4491919999999983</v>
      </c>
      <c r="BI14" s="287"/>
      <c r="BJ14" s="250"/>
    </row>
    <row r="15" spans="1:62" ht="18.75">
      <c r="A15" s="5"/>
      <c r="B15" s="158"/>
      <c r="C15" s="1029" t="s">
        <v>282</v>
      </c>
      <c r="D15" s="1126"/>
      <c r="E15" s="1126"/>
      <c r="F15" s="1126"/>
      <c r="G15" s="1126"/>
      <c r="H15" s="1126"/>
      <c r="I15" s="1127"/>
      <c r="J15" s="1128"/>
      <c r="K15" s="95">
        <f>0</f>
        <v>0</v>
      </c>
      <c r="L15" s="287"/>
      <c r="M15" s="250"/>
      <c r="Q15" s="1000" t="e" vm="1">
        <v>#VALUE!</v>
      </c>
      <c r="R15" s="1000"/>
      <c r="S15" s="1000"/>
      <c r="T15" s="1000"/>
      <c r="Y15" s="158"/>
      <c r="Z15" s="1008" t="s">
        <v>220</v>
      </c>
      <c r="AA15" s="1009" t="s">
        <v>302</v>
      </c>
      <c r="AB15" s="1010"/>
      <c r="AC15" s="1010"/>
      <c r="AD15" s="1121"/>
      <c r="AE15" s="114" t="s">
        <v>303</v>
      </c>
      <c r="AF15" s="114" t="s">
        <v>304</v>
      </c>
      <c r="AG15" s="114" t="s">
        <v>224</v>
      </c>
      <c r="AH15" s="90" t="s">
        <v>305</v>
      </c>
      <c r="AI15" s="489"/>
      <c r="AJ15" s="250"/>
      <c r="AK15" s="5"/>
      <c r="AY15" s="284"/>
      <c r="AZ15" s="1"/>
      <c r="BA15" s="862"/>
      <c r="BB15" s="863"/>
      <c r="BC15" s="863"/>
      <c r="BD15" s="864"/>
      <c r="BE15" s="1"/>
      <c r="BF15" s="1"/>
      <c r="BG15" s="1"/>
      <c r="BH15" s="230">
        <f>BE15*BF15*BG15</f>
        <v>0</v>
      </c>
      <c r="BI15" s="287"/>
      <c r="BJ15" s="250"/>
    </row>
    <row r="16" spans="1:62" ht="18">
      <c r="A16" s="5"/>
      <c r="B16" s="158"/>
      <c r="C16" s="995" t="s">
        <v>244</v>
      </c>
      <c r="D16" s="996"/>
      <c r="E16" s="996"/>
      <c r="F16" s="996"/>
      <c r="G16" s="996"/>
      <c r="H16" s="996"/>
      <c r="I16" s="1028" t="s">
        <v>245</v>
      </c>
      <c r="J16" s="1028"/>
      <c r="K16" s="1129"/>
      <c r="L16" s="7">
        <f>K11+K15</f>
        <v>18.208098643656513</v>
      </c>
      <c r="M16" s="250"/>
      <c r="Q16" s="1000"/>
      <c r="R16" s="1000"/>
      <c r="S16" s="1000"/>
      <c r="T16" s="1000"/>
      <c r="Y16" s="158"/>
      <c r="Z16" s="976"/>
      <c r="AA16" s="979"/>
      <c r="AB16" s="980"/>
      <c r="AC16" s="980"/>
      <c r="AD16" s="1122"/>
      <c r="AE16" s="57" t="s">
        <v>307</v>
      </c>
      <c r="AF16" s="57" t="s">
        <v>308</v>
      </c>
      <c r="AG16" s="57" t="s">
        <v>228</v>
      </c>
      <c r="AH16" s="58" t="s">
        <v>229</v>
      </c>
      <c r="AI16" s="489"/>
      <c r="AJ16" s="250"/>
      <c r="AK16" s="5"/>
      <c r="AY16" s="284"/>
      <c r="AZ16" s="1"/>
      <c r="BA16" s="818"/>
      <c r="BB16" s="818"/>
      <c r="BC16" s="818"/>
      <c r="BD16" s="818"/>
      <c r="BE16" s="1"/>
      <c r="BF16" s="1"/>
      <c r="BG16" s="1">
        <v>1</v>
      </c>
      <c r="BH16" s="230">
        <f>BE16*BF16*BG16</f>
        <v>0</v>
      </c>
      <c r="BI16" s="287"/>
      <c r="BJ16" s="250"/>
    </row>
    <row r="17" spans="1:62">
      <c r="A17" s="5"/>
      <c r="B17" s="158"/>
      <c r="C17" s="1001" t="s">
        <v>247</v>
      </c>
      <c r="D17" s="1001"/>
      <c r="E17" s="1001"/>
      <c r="F17" s="1001"/>
      <c r="G17" s="1001"/>
      <c r="H17" s="1001"/>
      <c r="I17" s="1001"/>
      <c r="J17" s="1001"/>
      <c r="K17" s="1002"/>
      <c r="L17" s="287"/>
      <c r="M17" s="250"/>
      <c r="Q17" s="1000"/>
      <c r="R17" s="1000"/>
      <c r="S17" s="1000"/>
      <c r="T17" s="1000"/>
      <c r="Y17" s="158"/>
      <c r="Z17" s="57"/>
      <c r="AA17" s="1123" t="s">
        <v>174</v>
      </c>
      <c r="AB17" s="1124"/>
      <c r="AC17" s="1124"/>
      <c r="AD17" s="1125"/>
      <c r="AE17" s="57"/>
      <c r="AF17" s="59"/>
      <c r="AG17" s="59"/>
      <c r="AH17" s="94"/>
      <c r="AI17" s="489"/>
      <c r="AJ17" s="250"/>
      <c r="AK17" s="5"/>
      <c r="AY17" s="284"/>
      <c r="AZ17" s="1005"/>
      <c r="BA17" s="1006"/>
      <c r="BB17" s="1006"/>
      <c r="BC17" s="1006"/>
      <c r="BD17" s="1006"/>
      <c r="BE17" s="1006"/>
      <c r="BF17" s="1006"/>
      <c r="BG17" s="1007"/>
      <c r="BH17" s="105">
        <f>SUM(BH12:BH16)</f>
        <v>13.536714970175769</v>
      </c>
      <c r="BI17" s="287"/>
      <c r="BJ17" s="250"/>
    </row>
    <row r="18" spans="1:62" ht="18.75">
      <c r="A18" s="5"/>
      <c r="B18" s="158"/>
      <c r="C18" s="994" t="s">
        <v>220</v>
      </c>
      <c r="D18" s="994" t="s">
        <v>249</v>
      </c>
      <c r="E18" s="994"/>
      <c r="F18" s="994"/>
      <c r="G18" s="994"/>
      <c r="H18" s="108" t="s">
        <v>222</v>
      </c>
      <c r="I18" s="108" t="s">
        <v>223</v>
      </c>
      <c r="J18" s="313" t="s">
        <v>250</v>
      </c>
      <c r="K18" s="109" t="s">
        <v>251</v>
      </c>
      <c r="L18" s="287"/>
      <c r="M18" s="250"/>
      <c r="Q18" s="1000"/>
      <c r="R18" s="1000"/>
      <c r="S18" s="1000"/>
      <c r="T18" s="1000"/>
      <c r="Y18" s="158"/>
      <c r="Z18" s="1029" t="s">
        <v>282</v>
      </c>
      <c r="AA18" s="1126"/>
      <c r="AB18" s="1126"/>
      <c r="AC18" s="1126"/>
      <c r="AD18" s="1126"/>
      <c r="AE18" s="1126"/>
      <c r="AF18" s="1127"/>
      <c r="AG18" s="1128"/>
      <c r="AH18" s="95">
        <f>0</f>
        <v>0</v>
      </c>
      <c r="AI18" s="489"/>
      <c r="AJ18" s="250"/>
      <c r="AK18" s="5"/>
      <c r="AY18" s="284"/>
      <c r="AZ18" s="1008" t="s">
        <v>220</v>
      </c>
      <c r="BA18" s="1009" t="s">
        <v>302</v>
      </c>
      <c r="BB18" s="1010"/>
      <c r="BC18" s="1010"/>
      <c r="BD18" s="1121"/>
      <c r="BE18" s="114" t="s">
        <v>303</v>
      </c>
      <c r="BF18" s="114" t="s">
        <v>304</v>
      </c>
      <c r="BG18" s="114" t="s">
        <v>224</v>
      </c>
      <c r="BH18" s="90" t="s">
        <v>305</v>
      </c>
      <c r="BI18" s="287"/>
      <c r="BJ18" s="250"/>
    </row>
    <row r="19" spans="1:62" ht="19.5">
      <c r="A19" s="5"/>
      <c r="B19" s="158"/>
      <c r="C19" s="994"/>
      <c r="D19" s="994"/>
      <c r="E19" s="994"/>
      <c r="F19" s="994"/>
      <c r="G19" s="994"/>
      <c r="H19" s="2" t="s">
        <v>226</v>
      </c>
      <c r="I19" s="89" t="s">
        <v>227</v>
      </c>
      <c r="J19" s="89" t="s">
        <v>228</v>
      </c>
      <c r="K19" s="92" t="s">
        <v>229</v>
      </c>
      <c r="L19" s="287"/>
      <c r="M19" s="250"/>
      <c r="Q19" s="1000"/>
      <c r="R19" s="1000"/>
      <c r="S19" s="1000"/>
      <c r="T19" s="1000"/>
      <c r="Y19" s="158"/>
      <c r="Z19" s="995" t="s">
        <v>244</v>
      </c>
      <c r="AA19" s="996"/>
      <c r="AB19" s="996"/>
      <c r="AC19" s="996"/>
      <c r="AD19" s="996"/>
      <c r="AE19" s="996"/>
      <c r="AF19" s="1028" t="s">
        <v>245</v>
      </c>
      <c r="AG19" s="1028"/>
      <c r="AH19" s="1129"/>
      <c r="AI19" s="489"/>
      <c r="AJ19" s="250"/>
      <c r="AK19" s="5"/>
      <c r="AY19" s="284"/>
      <c r="AZ19" s="976"/>
      <c r="BA19" s="979"/>
      <c r="BB19" s="980"/>
      <c r="BC19" s="980"/>
      <c r="BD19" s="1122"/>
      <c r="BE19" s="57" t="s">
        <v>307</v>
      </c>
      <c r="BF19" s="57" t="s">
        <v>308</v>
      </c>
      <c r="BG19" s="57" t="s">
        <v>228</v>
      </c>
      <c r="BH19" s="58" t="s">
        <v>229</v>
      </c>
      <c r="BI19" s="287"/>
      <c r="BJ19" s="250"/>
    </row>
    <row r="20" spans="1:62">
      <c r="A20" s="5"/>
      <c r="B20" s="158"/>
      <c r="C20" s="221" t="s">
        <v>342</v>
      </c>
      <c r="D20" t="s">
        <v>514</v>
      </c>
      <c r="H20" s="245">
        <f>5*3.94</f>
        <v>19.7</v>
      </c>
      <c r="I20" s="257">
        <f>Parois!L28</f>
        <v>2.642391922017747</v>
      </c>
      <c r="J20" s="257">
        <f>(Données!E23-Données!G45)/(Données!E23-Données!G11)</f>
        <v>0.2</v>
      </c>
      <c r="K20" s="258">
        <f>H20*I20*J20</f>
        <v>10.411024172749924</v>
      </c>
      <c r="L20" s="287"/>
      <c r="M20" s="250"/>
      <c r="Q20" s="1000"/>
      <c r="R20" s="1000"/>
      <c r="S20" s="1000"/>
      <c r="T20" s="1000"/>
      <c r="Y20" s="158"/>
      <c r="Z20" s="1001" t="s">
        <v>247</v>
      </c>
      <c r="AA20" s="1001"/>
      <c r="AB20" s="1001"/>
      <c r="AC20" s="1001"/>
      <c r="AD20" s="1001"/>
      <c r="AE20" s="1001"/>
      <c r="AF20" s="1001"/>
      <c r="AG20" s="1001"/>
      <c r="AH20" s="1002"/>
      <c r="AI20" s="489"/>
      <c r="AJ20" s="250"/>
      <c r="AK20" s="5"/>
      <c r="AY20" s="284"/>
      <c r="AZ20" s="57"/>
      <c r="BA20" s="1159" t="s">
        <v>513</v>
      </c>
      <c r="BB20" s="1231"/>
      <c r="BC20" s="1231"/>
      <c r="BD20" s="1232"/>
      <c r="BE20" s="57">
        <v>0.12</v>
      </c>
      <c r="BF20" s="500">
        <f>2*(Parois!Z15+Parois!AA15)</f>
        <v>10.1</v>
      </c>
      <c r="BG20" s="59">
        <f>1</f>
        <v>1</v>
      </c>
      <c r="BH20" s="94">
        <f>BE20*BF20*BG20</f>
        <v>1.212</v>
      </c>
      <c r="BI20" s="287"/>
      <c r="BJ20" s="250" t="s">
        <v>515</v>
      </c>
    </row>
    <row r="21" spans="1:62" ht="18">
      <c r="A21" s="5"/>
      <c r="B21" s="158"/>
      <c r="C21" s="221" t="s">
        <v>357</v>
      </c>
      <c r="D21" s="1235" t="s">
        <v>516</v>
      </c>
      <c r="E21" s="1236"/>
      <c r="F21" s="1236"/>
      <c r="G21" s="1237"/>
      <c r="H21" s="245">
        <f>3.84*3.94</f>
        <v>15.1296</v>
      </c>
      <c r="I21" s="257">
        <f>Parois!L28</f>
        <v>2.642391922017747</v>
      </c>
      <c r="J21" s="257">
        <f>(Données!E24-Données!G45)/(Données!E24-Données!G11)</f>
        <v>0.2</v>
      </c>
      <c r="K21" s="258">
        <f>H21*I21*J21</f>
        <v>7.995666564671942</v>
      </c>
      <c r="L21" s="287"/>
      <c r="M21" s="250"/>
      <c r="Q21" s="1000"/>
      <c r="R21" s="1000"/>
      <c r="S21" s="1000"/>
      <c r="T21" s="1000"/>
      <c r="Y21" s="158"/>
      <c r="Z21" s="994" t="s">
        <v>220</v>
      </c>
      <c r="AA21" s="994" t="s">
        <v>249</v>
      </c>
      <c r="AB21" s="994"/>
      <c r="AC21" s="994"/>
      <c r="AD21" s="994"/>
      <c r="AE21" s="108" t="s">
        <v>222</v>
      </c>
      <c r="AF21" s="108" t="s">
        <v>223</v>
      </c>
      <c r="AG21" s="313" t="s">
        <v>250</v>
      </c>
      <c r="AH21" s="109" t="s">
        <v>251</v>
      </c>
      <c r="AI21" s="489"/>
      <c r="AJ21" s="250"/>
      <c r="AK21" s="5"/>
      <c r="AY21" s="284"/>
      <c r="AZ21" s="58"/>
      <c r="BA21" s="865"/>
      <c r="BB21" s="866"/>
      <c r="BC21" s="866"/>
      <c r="BD21" s="867"/>
      <c r="BE21" s="493"/>
      <c r="BF21" s="494"/>
      <c r="BG21" s="495"/>
      <c r="BH21" s="94"/>
      <c r="BI21" s="287"/>
      <c r="BJ21" s="250"/>
    </row>
    <row r="22" spans="1:62" ht="18.75">
      <c r="A22" s="5"/>
      <c r="B22" s="158"/>
      <c r="C22" s="221" t="s">
        <v>358</v>
      </c>
      <c r="D22" s="1235" t="s">
        <v>294</v>
      </c>
      <c r="E22" s="1236"/>
      <c r="F22" s="1236"/>
      <c r="G22" s="1237"/>
      <c r="H22" s="245">
        <f>(4.94*4.915)+(4.84*2.075)</f>
        <v>34.323100000000004</v>
      </c>
      <c r="I22" s="257">
        <f>Parois!L49</f>
        <v>0.39937430012814151</v>
      </c>
      <c r="J22" s="257">
        <f>(22-10)/(22--8)</f>
        <v>0.4</v>
      </c>
      <c r="K22" s="258">
        <f>H22*I22*J22</f>
        <v>5.4831056162912866</v>
      </c>
      <c r="L22" s="287"/>
      <c r="M22" s="250"/>
      <c r="Q22" s="1000"/>
      <c r="R22" s="1000"/>
      <c r="S22" s="1000"/>
      <c r="T22" s="1000"/>
      <c r="Y22" s="158"/>
      <c r="Z22" s="994"/>
      <c r="AA22" s="994"/>
      <c r="AB22" s="994"/>
      <c r="AC22" s="994"/>
      <c r="AD22" s="994"/>
      <c r="AE22" s="2" t="s">
        <v>226</v>
      </c>
      <c r="AF22" s="89" t="s">
        <v>227</v>
      </c>
      <c r="AG22" s="89" t="s">
        <v>228</v>
      </c>
      <c r="AH22" s="92" t="s">
        <v>229</v>
      </c>
      <c r="AI22" s="489"/>
      <c r="AJ22" s="250"/>
      <c r="AK22" s="5"/>
      <c r="AY22" s="284"/>
      <c r="AZ22" s="58"/>
      <c r="BA22" s="809"/>
      <c r="BB22" s="917"/>
      <c r="BC22" s="917"/>
      <c r="BD22" s="918"/>
      <c r="BE22" s="493"/>
      <c r="BF22" s="494"/>
      <c r="BG22" s="495"/>
      <c r="BH22" s="94"/>
      <c r="BI22" s="287"/>
      <c r="BJ22" s="250"/>
    </row>
    <row r="23" spans="1:62" ht="18.75">
      <c r="A23" s="5"/>
      <c r="B23" s="158"/>
      <c r="C23" s="818" t="s">
        <v>318</v>
      </c>
      <c r="D23" s="818"/>
      <c r="E23" s="818"/>
      <c r="F23" s="818"/>
      <c r="G23" s="818"/>
      <c r="H23" s="818"/>
      <c r="I23" s="818"/>
      <c r="J23" s="818"/>
      <c r="K23" s="91">
        <f>SUM(K20:K22)</f>
        <v>23.889796353713152</v>
      </c>
      <c r="L23" s="287"/>
      <c r="M23" s="250"/>
      <c r="Q23" s="1000"/>
      <c r="R23" s="1000"/>
      <c r="S23" s="1000"/>
      <c r="T23" s="1000"/>
      <c r="Y23" s="158"/>
      <c r="Z23" s="1"/>
      <c r="AA23" s="862" t="s">
        <v>517</v>
      </c>
      <c r="AB23" s="863"/>
      <c r="AC23" s="863"/>
      <c r="AD23" s="864"/>
      <c r="AE23" s="1">
        <f>3.505*3.78</f>
        <v>13.248899999999999</v>
      </c>
      <c r="AF23" s="1">
        <f>Parois!L42</f>
        <v>1.8115853807007718</v>
      </c>
      <c r="AG23" s="1">
        <f>(Données!E28-Données!G47)/(Données!E28-Données!G11)</f>
        <v>0.14285714285714285</v>
      </c>
      <c r="AH23" s="119">
        <f>AE23*AF23*AG23</f>
        <v>3.4287876500523504</v>
      </c>
      <c r="AI23" s="489"/>
      <c r="AJ23" s="250"/>
      <c r="AK23" s="5"/>
      <c r="AY23" s="284"/>
      <c r="AZ23" s="1029" t="s">
        <v>282</v>
      </c>
      <c r="BA23" s="1233"/>
      <c r="BB23" s="1233"/>
      <c r="BC23" s="1233"/>
      <c r="BD23" s="1233"/>
      <c r="BE23" s="1126"/>
      <c r="BF23" s="1127"/>
      <c r="BG23" s="1127"/>
      <c r="BH23" s="88">
        <f>0</f>
        <v>0</v>
      </c>
      <c r="BI23" s="5"/>
      <c r="BJ23" s="250"/>
    </row>
    <row r="24" spans="1:62" ht="18">
      <c r="A24" s="5"/>
      <c r="B24" s="158"/>
      <c r="C24" s="1130" t="s">
        <v>220</v>
      </c>
      <c r="D24" s="1132" t="s">
        <v>302</v>
      </c>
      <c r="E24" s="1133"/>
      <c r="F24" s="1133"/>
      <c r="G24" s="1134"/>
      <c r="H24" s="86" t="s">
        <v>303</v>
      </c>
      <c r="I24" s="86" t="s">
        <v>304</v>
      </c>
      <c r="J24" s="313" t="s">
        <v>250</v>
      </c>
      <c r="K24" s="90" t="s">
        <v>319</v>
      </c>
      <c r="L24" s="287"/>
      <c r="M24" s="250"/>
      <c r="Q24" s="1000"/>
      <c r="R24" s="1000"/>
      <c r="S24" s="1000"/>
      <c r="T24" s="1000"/>
      <c r="Y24" s="158"/>
      <c r="Z24" s="1"/>
      <c r="AA24" s="862"/>
      <c r="AB24" s="863"/>
      <c r="AC24" s="863"/>
      <c r="AD24" s="864"/>
      <c r="AE24" s="1"/>
      <c r="AF24" s="1"/>
      <c r="AG24" s="1">
        <v>1</v>
      </c>
      <c r="AH24" s="119">
        <f>AE24*AF24*AG24</f>
        <v>0</v>
      </c>
      <c r="AI24" s="489"/>
      <c r="AJ24" s="250"/>
      <c r="AK24" s="5"/>
      <c r="AY24" s="284"/>
      <c r="AZ24" s="995" t="s">
        <v>244</v>
      </c>
      <c r="BA24" s="996"/>
      <c r="BB24" s="996"/>
      <c r="BC24" s="996"/>
      <c r="BD24" s="996"/>
      <c r="BE24" s="996"/>
      <c r="BF24" s="1028" t="s">
        <v>245</v>
      </c>
      <c r="BG24" s="1028"/>
      <c r="BH24" s="1234"/>
      <c r="BI24" s="7">
        <f>BH17+BH23</f>
        <v>13.536714970175769</v>
      </c>
      <c r="BJ24" s="250"/>
    </row>
    <row r="25" spans="1:62">
      <c r="A25" s="5"/>
      <c r="B25" s="158"/>
      <c r="C25" s="1131"/>
      <c r="D25" s="1135"/>
      <c r="E25" s="1136"/>
      <c r="F25" s="1136"/>
      <c r="G25" s="1137"/>
      <c r="H25" s="59" t="s">
        <v>307</v>
      </c>
      <c r="I25" s="59" t="s">
        <v>308</v>
      </c>
      <c r="J25" s="59" t="s">
        <v>228</v>
      </c>
      <c r="K25" s="94" t="s">
        <v>229</v>
      </c>
      <c r="L25" s="287"/>
      <c r="M25" s="250"/>
      <c r="Q25" s="1000"/>
      <c r="R25" s="1000"/>
      <c r="S25" s="1000"/>
      <c r="T25" s="1000"/>
      <c r="Y25" s="158"/>
      <c r="Z25" s="818" t="s">
        <v>318</v>
      </c>
      <c r="AA25" s="818"/>
      <c r="AB25" s="818"/>
      <c r="AC25" s="818"/>
      <c r="AD25" s="818"/>
      <c r="AE25" s="818"/>
      <c r="AF25" s="818"/>
      <c r="AG25" s="818"/>
      <c r="AH25" s="91">
        <f>AH24+AH23</f>
        <v>3.4287876500523504</v>
      </c>
      <c r="AI25" s="489"/>
      <c r="AJ25" s="250"/>
      <c r="AK25" s="5"/>
      <c r="AY25" s="284"/>
      <c r="AZ25" s="1001" t="s">
        <v>247</v>
      </c>
      <c r="BA25" s="1001"/>
      <c r="BB25" s="1001"/>
      <c r="BC25" s="1001"/>
      <c r="BD25" s="1001"/>
      <c r="BE25" s="1001"/>
      <c r="BF25" s="1001"/>
      <c r="BG25" s="1001"/>
      <c r="BH25" s="1002"/>
      <c r="BI25" s="287"/>
      <c r="BJ25" s="250"/>
    </row>
    <row r="26" spans="1:62" ht="18">
      <c r="A26" s="5"/>
      <c r="B26" s="158"/>
      <c r="C26" s="1"/>
      <c r="D26" s="810" t="s">
        <v>174</v>
      </c>
      <c r="E26" s="810"/>
      <c r="F26" s="810"/>
      <c r="G26" s="810"/>
      <c r="H26" s="1"/>
      <c r="I26" s="1"/>
      <c r="J26" s="1"/>
      <c r="K26" s="119"/>
      <c r="L26" s="287"/>
      <c r="M26" s="250"/>
      <c r="Q26" s="1000"/>
      <c r="R26" s="1000"/>
      <c r="S26" s="1000"/>
      <c r="T26" s="1000"/>
      <c r="Y26" s="158"/>
      <c r="Z26" s="1130" t="s">
        <v>220</v>
      </c>
      <c r="AA26" s="1132" t="s">
        <v>302</v>
      </c>
      <c r="AB26" s="1133"/>
      <c r="AC26" s="1133"/>
      <c r="AD26" s="1134"/>
      <c r="AE26" s="86" t="s">
        <v>303</v>
      </c>
      <c r="AF26" s="86" t="s">
        <v>304</v>
      </c>
      <c r="AG26" s="313" t="s">
        <v>250</v>
      </c>
      <c r="AH26" s="90" t="s">
        <v>319</v>
      </c>
      <c r="AI26" s="489"/>
      <c r="AJ26" s="250"/>
      <c r="AK26" s="5"/>
      <c r="AY26" s="284"/>
      <c r="AZ26" s="994" t="s">
        <v>220</v>
      </c>
      <c r="BA26" s="994" t="s">
        <v>249</v>
      </c>
      <c r="BB26" s="994"/>
      <c r="BC26" s="994"/>
      <c r="BD26" s="994"/>
      <c r="BE26" s="108" t="s">
        <v>222</v>
      </c>
      <c r="BF26" s="108" t="s">
        <v>223</v>
      </c>
      <c r="BG26" s="313" t="s">
        <v>250</v>
      </c>
      <c r="BH26" s="109" t="s">
        <v>251</v>
      </c>
      <c r="BI26" s="287"/>
      <c r="BJ26" s="250"/>
    </row>
    <row r="27" spans="1:62" ht="18.75">
      <c r="A27" s="5"/>
      <c r="B27" s="158"/>
      <c r="C27" s="1003" t="s">
        <v>254</v>
      </c>
      <c r="D27" s="1003"/>
      <c r="E27" s="1003"/>
      <c r="F27" s="1003"/>
      <c r="G27" s="1003"/>
      <c r="H27" s="1003"/>
      <c r="I27" s="1003"/>
      <c r="J27" s="1003"/>
      <c r="K27" s="1004"/>
      <c r="L27" s="287"/>
      <c r="M27" s="250"/>
      <c r="Y27" s="158"/>
      <c r="Z27" s="1131"/>
      <c r="AA27" s="1135"/>
      <c r="AB27" s="1136"/>
      <c r="AC27" s="1136"/>
      <c r="AD27" s="1137"/>
      <c r="AE27" s="59" t="s">
        <v>307</v>
      </c>
      <c r="AF27" s="59" t="s">
        <v>308</v>
      </c>
      <c r="AG27" s="59" t="s">
        <v>228</v>
      </c>
      <c r="AH27" s="94" t="s">
        <v>229</v>
      </c>
      <c r="AI27" s="489"/>
      <c r="AJ27" s="250"/>
      <c r="AK27" s="5"/>
      <c r="AY27" s="284"/>
      <c r="AZ27" s="994"/>
      <c r="BA27" s="994"/>
      <c r="BB27" s="994"/>
      <c r="BC27" s="994"/>
      <c r="BD27" s="994"/>
      <c r="BE27" s="2" t="s">
        <v>226</v>
      </c>
      <c r="BF27" s="89" t="s">
        <v>227</v>
      </c>
      <c r="BG27" s="89" t="s">
        <v>228</v>
      </c>
      <c r="BH27" s="92" t="s">
        <v>229</v>
      </c>
      <c r="BI27" s="287"/>
      <c r="BJ27" s="250"/>
    </row>
    <row r="28" spans="1:62">
      <c r="A28" s="5"/>
      <c r="B28" s="158"/>
      <c r="C28" s="1002" t="s">
        <v>321</v>
      </c>
      <c r="D28" s="1138"/>
      <c r="E28" s="1138"/>
      <c r="F28" s="1138"/>
      <c r="G28" s="1138"/>
      <c r="H28" s="1138"/>
      <c r="I28" s="1138"/>
      <c r="J28" s="1138"/>
      <c r="K28" s="1138"/>
      <c r="L28" s="287"/>
      <c r="M28" s="250"/>
      <c r="Y28" s="158"/>
      <c r="Z28" s="1"/>
      <c r="AA28" s="810" t="s">
        <v>174</v>
      </c>
      <c r="AB28" s="810"/>
      <c r="AC28" s="810"/>
      <c r="AD28" s="810"/>
      <c r="AE28" s="1"/>
      <c r="AF28" s="1"/>
      <c r="AG28" s="1"/>
      <c r="AH28" s="119"/>
      <c r="AI28" s="489"/>
      <c r="AJ28" s="250"/>
      <c r="AK28" s="5"/>
      <c r="AY28" s="284"/>
      <c r="AZ28" s="1" t="s">
        <v>518</v>
      </c>
      <c r="BA28" s="862" t="s">
        <v>519</v>
      </c>
      <c r="BB28" s="863"/>
      <c r="BC28" s="863"/>
      <c r="BD28" s="864"/>
      <c r="BE28" s="245">
        <f>2.25 *3.94</f>
        <v>8.8650000000000002</v>
      </c>
      <c r="BF28">
        <f>Parois!L42</f>
        <v>1.8115853807007718</v>
      </c>
      <c r="BG28" s="245">
        <f>(20-16)/(20--8)</f>
        <v>0.14285714285714285</v>
      </c>
      <c r="BH28" s="119">
        <f>BE28*BF30*BG28</f>
        <v>3.3464006269553321</v>
      </c>
      <c r="BI28" s="287"/>
      <c r="BJ28" s="250"/>
    </row>
    <row r="29" spans="1:62" ht="18">
      <c r="A29" s="5"/>
      <c r="B29" s="158"/>
      <c r="C29" s="994" t="s">
        <v>220</v>
      </c>
      <c r="D29" s="994" t="s">
        <v>249</v>
      </c>
      <c r="E29" s="994"/>
      <c r="F29" s="994"/>
      <c r="G29" s="994"/>
      <c r="H29" s="196" t="s">
        <v>222</v>
      </c>
      <c r="I29" s="196" t="s">
        <v>223</v>
      </c>
      <c r="J29" s="196" t="s">
        <v>224</v>
      </c>
      <c r="K29" s="231" t="s">
        <v>225</v>
      </c>
      <c r="L29" s="287"/>
      <c r="M29" s="250"/>
      <c r="Y29" s="158"/>
      <c r="Z29" s="1003" t="s">
        <v>254</v>
      </c>
      <c r="AA29" s="1003"/>
      <c r="AB29" s="1003"/>
      <c r="AC29" s="1003"/>
      <c r="AD29" s="1003"/>
      <c r="AE29" s="1003"/>
      <c r="AF29" s="1003"/>
      <c r="AG29" s="1003"/>
      <c r="AH29" s="1004"/>
      <c r="AI29" s="489"/>
      <c r="AJ29" s="250"/>
      <c r="AK29" s="5"/>
      <c r="AY29" s="284"/>
      <c r="AZ29" s="1" t="s">
        <v>344</v>
      </c>
      <c r="BA29" s="862" t="s">
        <v>520</v>
      </c>
      <c r="BB29" s="863"/>
      <c r="BC29" s="863"/>
      <c r="BD29" s="864"/>
      <c r="BE29" s="245">
        <f>4.67*3.94</f>
        <v>18.399799999999999</v>
      </c>
      <c r="BF29">
        <f>Parois!L35</f>
        <v>1.7703177837995205</v>
      </c>
      <c r="BG29" s="245">
        <f>(20-16)/(20--8)</f>
        <v>0.14285714285714285</v>
      </c>
      <c r="BH29" s="119">
        <f>BE29*BF29*BG29</f>
        <v>4.6533561654792024</v>
      </c>
      <c r="BI29" s="287"/>
      <c r="BJ29" s="250"/>
    </row>
    <row r="30" spans="1:62" ht="18">
      <c r="A30" s="5"/>
      <c r="B30" s="158"/>
      <c r="C30" s="994"/>
      <c r="D30" s="994"/>
      <c r="E30" s="994"/>
      <c r="F30" s="994"/>
      <c r="G30" s="994"/>
      <c r="H30" s="62" t="s">
        <v>226</v>
      </c>
      <c r="I30" s="197" t="s">
        <v>227</v>
      </c>
      <c r="J30" s="197" t="s">
        <v>228</v>
      </c>
      <c r="K30" s="232" t="s">
        <v>229</v>
      </c>
      <c r="L30" s="287"/>
      <c r="M30" s="250"/>
      <c r="Y30" s="158"/>
      <c r="Z30" s="1002" t="s">
        <v>321</v>
      </c>
      <c r="AA30" s="1138"/>
      <c r="AB30" s="1138"/>
      <c r="AC30" s="1138"/>
      <c r="AD30" s="1138"/>
      <c r="AE30" s="1138"/>
      <c r="AF30" s="1138"/>
      <c r="AG30" s="1138"/>
      <c r="AH30" s="1138"/>
      <c r="AI30" s="489"/>
      <c r="AJ30" s="250"/>
      <c r="AK30" s="5"/>
      <c r="AY30" s="284"/>
      <c r="AZ30" s="1" t="s">
        <v>337</v>
      </c>
      <c r="BA30" s="862" t="s">
        <v>521</v>
      </c>
      <c r="BB30" s="863"/>
      <c r="BC30" s="863"/>
      <c r="BD30" s="864"/>
      <c r="BE30" s="245">
        <f>3.89*3.94</f>
        <v>15.326600000000001</v>
      </c>
      <c r="BF30" s="245">
        <f>Parois!L28</f>
        <v>2.642391922017747</v>
      </c>
      <c r="BG30" s="245">
        <f>(20-16)/(20--8)</f>
        <v>0.14285714285714285</v>
      </c>
      <c r="BH30" s="119">
        <f>BE30*BF30*BG30</f>
        <v>5.7855548617138854</v>
      </c>
      <c r="BI30" s="287"/>
      <c r="BJ30" s="250"/>
    </row>
    <row r="31" spans="1:62" ht="18">
      <c r="A31" s="5"/>
      <c r="B31" s="158"/>
      <c r="C31" s="1"/>
      <c r="D31" s="862" t="s">
        <v>174</v>
      </c>
      <c r="E31" s="863"/>
      <c r="F31" s="863"/>
      <c r="G31" s="864"/>
      <c r="H31" s="1"/>
      <c r="I31" s="1"/>
      <c r="J31" s="1"/>
      <c r="K31" s="119"/>
      <c r="L31" s="287"/>
      <c r="M31" s="250"/>
      <c r="Y31" s="158"/>
      <c r="Z31" s="994" t="s">
        <v>220</v>
      </c>
      <c r="AA31" s="994" t="s">
        <v>249</v>
      </c>
      <c r="AB31" s="994"/>
      <c r="AC31" s="994"/>
      <c r="AD31" s="994"/>
      <c r="AE31" s="196" t="s">
        <v>222</v>
      </c>
      <c r="AF31" s="196" t="s">
        <v>223</v>
      </c>
      <c r="AG31" s="196" t="s">
        <v>224</v>
      </c>
      <c r="AH31" s="231" t="s">
        <v>225</v>
      </c>
      <c r="AI31" s="489"/>
      <c r="AJ31" s="250"/>
      <c r="AK31" s="5"/>
      <c r="AY31" s="284"/>
      <c r="AZ31" s="1" t="s">
        <v>522</v>
      </c>
      <c r="BA31" s="1238" t="s">
        <v>340</v>
      </c>
      <c r="BB31" s="1239"/>
      <c r="BC31" s="1239"/>
      <c r="BD31" s="1240"/>
      <c r="BE31" s="1">
        <f>(5.84*4.72)-(0.1*1.95)</f>
        <v>27.369799999999998</v>
      </c>
      <c r="BF31" s="1">
        <f>Parois!L49</f>
        <v>0.39937430012814151</v>
      </c>
      <c r="BG31" s="1">
        <f>(20-16)/(20--8)</f>
        <v>0.14285714285714285</v>
      </c>
      <c r="BH31">
        <f>BE31*BF31*BG31</f>
        <v>1.5615421028067438</v>
      </c>
      <c r="BI31" s="91">
        <f>SUM(BH28:BH31)</f>
        <v>15.346853756955163</v>
      </c>
      <c r="BJ31" s="250"/>
    </row>
    <row r="32" spans="1:62" ht="18.75">
      <c r="A32" s="5"/>
      <c r="B32" s="158"/>
      <c r="C32" s="98" t="s">
        <v>287</v>
      </c>
      <c r="D32" s="98"/>
      <c r="E32" s="98"/>
      <c r="F32" s="98"/>
      <c r="G32" s="98"/>
      <c r="H32" s="98"/>
      <c r="I32" s="1030" t="s">
        <v>288</v>
      </c>
      <c r="J32" s="1139"/>
      <c r="K32" s="1139"/>
      <c r="L32" s="287"/>
      <c r="M32" s="250"/>
      <c r="Y32" s="158"/>
      <c r="Z32" s="994"/>
      <c r="AA32" s="994"/>
      <c r="AB32" s="994"/>
      <c r="AC32" s="994"/>
      <c r="AD32" s="994"/>
      <c r="AE32" s="62" t="s">
        <v>226</v>
      </c>
      <c r="AF32" s="197" t="s">
        <v>227</v>
      </c>
      <c r="AG32" s="197" t="s">
        <v>228</v>
      </c>
      <c r="AH32" s="232" t="s">
        <v>229</v>
      </c>
      <c r="AI32" s="489"/>
      <c r="AJ32" s="250"/>
      <c r="AK32" s="5"/>
      <c r="AY32" s="284"/>
      <c r="AZ32" s="1130" t="s">
        <v>220</v>
      </c>
      <c r="BA32" s="1132" t="s">
        <v>302</v>
      </c>
      <c r="BB32" s="1133"/>
      <c r="BC32" s="1133"/>
      <c r="BD32" s="1134"/>
      <c r="BE32" s="86" t="s">
        <v>303</v>
      </c>
      <c r="BF32" s="86" t="s">
        <v>304</v>
      </c>
      <c r="BG32" s="313" t="s">
        <v>250</v>
      </c>
      <c r="BH32" s="90" t="s">
        <v>319</v>
      </c>
      <c r="BI32" s="287"/>
      <c r="BJ32" s="250"/>
    </row>
    <row r="33" spans="1:62">
      <c r="A33" s="5"/>
      <c r="B33" s="158"/>
      <c r="C33" s="118" t="s">
        <v>257</v>
      </c>
      <c r="D33" s="97"/>
      <c r="E33" s="97"/>
      <c r="F33" s="97"/>
      <c r="G33" s="97"/>
      <c r="H33" s="99"/>
      <c r="I33" s="100"/>
      <c r="J33" s="101"/>
      <c r="K33" s="227"/>
      <c r="L33" s="287"/>
      <c r="M33" s="250"/>
      <c r="Y33" s="158"/>
      <c r="Z33" s="1"/>
      <c r="AA33" s="862"/>
      <c r="AB33" s="863"/>
      <c r="AC33" s="863"/>
      <c r="AD33" s="864"/>
      <c r="AE33" s="1"/>
      <c r="AF33" s="1"/>
      <c r="AG33" s="1"/>
      <c r="AH33" s="119"/>
      <c r="AI33" s="489"/>
      <c r="AJ33" s="250"/>
      <c r="AK33" s="5"/>
      <c r="AY33" s="284"/>
      <c r="AZ33" s="1131"/>
      <c r="BA33" s="1135"/>
      <c r="BB33" s="1136"/>
      <c r="BC33" s="1136"/>
      <c r="BD33" s="1137"/>
      <c r="BE33" s="59" t="s">
        <v>307</v>
      </c>
      <c r="BF33" s="59" t="s">
        <v>308</v>
      </c>
      <c r="BG33" s="59" t="s">
        <v>228</v>
      </c>
      <c r="BH33" s="94" t="s">
        <v>229</v>
      </c>
      <c r="BI33" s="287"/>
      <c r="BJ33" s="250"/>
    </row>
    <row r="34" spans="1:62" ht="18.75">
      <c r="A34" s="5"/>
      <c r="B34" s="158"/>
      <c r="C34" s="1008" t="s">
        <v>220</v>
      </c>
      <c r="D34" s="1009" t="s">
        <v>221</v>
      </c>
      <c r="E34" s="1010"/>
      <c r="F34" s="1010"/>
      <c r="G34" s="1010"/>
      <c r="H34" s="196" t="s">
        <v>232</v>
      </c>
      <c r="I34" s="196" t="s">
        <v>222</v>
      </c>
      <c r="J34" s="196" t="s">
        <v>223</v>
      </c>
      <c r="K34" s="231" t="s">
        <v>233</v>
      </c>
      <c r="L34" s="287"/>
      <c r="M34" s="250"/>
      <c r="Y34" s="158"/>
      <c r="Z34" s="98" t="s">
        <v>287</v>
      </c>
      <c r="AA34" s="98"/>
      <c r="AB34" s="98"/>
      <c r="AC34" s="98"/>
      <c r="AD34" s="98"/>
      <c r="AE34" s="98"/>
      <c r="AF34" s="1030" t="s">
        <v>288</v>
      </c>
      <c r="AG34" s="1139"/>
      <c r="AH34" s="1139"/>
      <c r="AI34" s="489"/>
      <c r="AJ34" s="250"/>
      <c r="AK34" s="5"/>
      <c r="AY34" s="284"/>
      <c r="AZ34" s="1"/>
      <c r="BA34" s="810" t="s">
        <v>174</v>
      </c>
      <c r="BB34" s="810"/>
      <c r="BC34" s="810"/>
      <c r="BD34" s="810"/>
      <c r="BE34" s="1"/>
      <c r="BF34" s="1"/>
      <c r="BG34" s="1"/>
      <c r="BH34" s="119"/>
      <c r="BI34" s="287"/>
      <c r="BJ34" s="250"/>
    </row>
    <row r="35" spans="1:62" ht="18">
      <c r="A35" s="5"/>
      <c r="B35" s="158"/>
      <c r="C35" s="976"/>
      <c r="D35" s="979"/>
      <c r="E35" s="980"/>
      <c r="F35" s="980"/>
      <c r="G35" s="980"/>
      <c r="H35" s="62"/>
      <c r="I35" s="62" t="s">
        <v>226</v>
      </c>
      <c r="J35" s="197" t="s">
        <v>227</v>
      </c>
      <c r="K35" s="232" t="s">
        <v>229</v>
      </c>
      <c r="L35" s="287"/>
      <c r="M35" s="250"/>
      <c r="Y35" s="158"/>
      <c r="Z35" s="118" t="s">
        <v>257</v>
      </c>
      <c r="AA35" s="97"/>
      <c r="AB35" s="97"/>
      <c r="AC35" s="97"/>
      <c r="AD35" s="97"/>
      <c r="AE35" s="99"/>
      <c r="AF35" s="100"/>
      <c r="AG35" s="101"/>
      <c r="AH35" s="227"/>
      <c r="AI35" s="489"/>
      <c r="AJ35" s="250"/>
      <c r="AK35" s="5"/>
      <c r="AY35" s="284"/>
      <c r="AZ35" s="1003" t="s">
        <v>254</v>
      </c>
      <c r="BA35" s="1003"/>
      <c r="BB35" s="1003"/>
      <c r="BC35" s="1003"/>
      <c r="BD35" s="1003"/>
      <c r="BE35" s="1003"/>
      <c r="BF35" s="1003"/>
      <c r="BG35" s="1003"/>
      <c r="BH35" s="1004"/>
      <c r="BI35" s="287"/>
      <c r="BJ35" s="250"/>
    </row>
    <row r="36" spans="1:62" ht="18">
      <c r="A36" s="5"/>
      <c r="B36" s="158"/>
      <c r="C36" s="155"/>
      <c r="D36" s="981" t="s">
        <v>523</v>
      </c>
      <c r="E36" s="982"/>
      <c r="F36" s="982"/>
      <c r="G36" s="983"/>
      <c r="H36" s="62">
        <f>(22-18)/(22--8)</f>
        <v>0.13333333333333333</v>
      </c>
      <c r="I36" s="62">
        <f>(0.925+2.075)*3.94</f>
        <v>11.82</v>
      </c>
      <c r="J36" s="197">
        <f>Parois!L42</f>
        <v>1.8115853807007718</v>
      </c>
      <c r="K36" s="92">
        <f>H36*I36*J36</f>
        <v>2.8550585599844163</v>
      </c>
      <c r="L36" s="287"/>
      <c r="M36" s="250"/>
      <c r="Y36" s="158"/>
      <c r="Z36" s="1008" t="s">
        <v>220</v>
      </c>
      <c r="AA36" s="1009" t="s">
        <v>221</v>
      </c>
      <c r="AB36" s="1010"/>
      <c r="AC36" s="1010"/>
      <c r="AD36" s="1010"/>
      <c r="AE36" s="196" t="s">
        <v>232</v>
      </c>
      <c r="AF36" s="196" t="s">
        <v>222</v>
      </c>
      <c r="AG36" s="196" t="s">
        <v>223</v>
      </c>
      <c r="AH36" s="231" t="s">
        <v>233</v>
      </c>
      <c r="AI36" s="489"/>
      <c r="AJ36" s="250"/>
      <c r="AK36" s="5"/>
      <c r="AY36" s="284"/>
      <c r="AZ36" s="1002" t="s">
        <v>321</v>
      </c>
      <c r="BA36" s="1138"/>
      <c r="BB36" s="1138"/>
      <c r="BC36" s="1138"/>
      <c r="BD36" s="1138"/>
      <c r="BE36" s="1138"/>
      <c r="BF36" s="1138"/>
      <c r="BG36" s="1138"/>
      <c r="BH36" s="1138"/>
      <c r="BI36" s="287"/>
      <c r="BJ36" s="250"/>
    </row>
    <row r="37" spans="1:62" ht="18">
      <c r="A37" s="5"/>
      <c r="B37" s="158"/>
      <c r="C37" s="155"/>
      <c r="D37" s="981" t="s">
        <v>524</v>
      </c>
      <c r="E37" s="982"/>
      <c r="F37" s="982"/>
      <c r="G37" s="983"/>
      <c r="H37" s="62">
        <f>(22-18)/(22--8)</f>
        <v>0.13333333333333333</v>
      </c>
      <c r="I37" s="62">
        <f>1.64</f>
        <v>1.64</v>
      </c>
      <c r="J37" s="259">
        <v>2.5</v>
      </c>
      <c r="K37" s="92">
        <f>H37*I37*J37</f>
        <v>0.54666666666666663</v>
      </c>
      <c r="L37" s="287"/>
      <c r="M37" s="250"/>
      <c r="Y37" s="158"/>
      <c r="Z37" s="976"/>
      <c r="AA37" s="979"/>
      <c r="AB37" s="980"/>
      <c r="AC37" s="980"/>
      <c r="AD37" s="980"/>
      <c r="AE37" s="62" t="s">
        <v>228</v>
      </c>
      <c r="AF37" s="62" t="s">
        <v>226</v>
      </c>
      <c r="AG37" s="197" t="s">
        <v>227</v>
      </c>
      <c r="AH37" s="232" t="s">
        <v>229</v>
      </c>
      <c r="AI37" s="489"/>
      <c r="AJ37" s="250"/>
      <c r="AK37" s="5"/>
      <c r="AY37" s="284"/>
      <c r="AZ37" s="994" t="s">
        <v>220</v>
      </c>
      <c r="BA37" s="994" t="s">
        <v>249</v>
      </c>
      <c r="BB37" s="994"/>
      <c r="BC37" s="994"/>
      <c r="BD37" s="994"/>
      <c r="BE37" s="196" t="s">
        <v>222</v>
      </c>
      <c r="BF37" s="196" t="s">
        <v>223</v>
      </c>
      <c r="BG37" s="196" t="s">
        <v>224</v>
      </c>
      <c r="BH37" s="231" t="s">
        <v>225</v>
      </c>
      <c r="BI37" s="287"/>
      <c r="BJ37" s="250"/>
    </row>
    <row r="38" spans="1:62" ht="18">
      <c r="A38" s="5"/>
      <c r="B38" s="158"/>
      <c r="C38" s="57"/>
      <c r="D38" s="984"/>
      <c r="E38" s="985"/>
      <c r="F38" s="985"/>
      <c r="G38" s="985"/>
      <c r="H38" s="2"/>
      <c r="I38" s="89"/>
      <c r="J38" s="89"/>
      <c r="K38" s="92">
        <f>H38*I38*J38</f>
        <v>0</v>
      </c>
      <c r="L38" s="287"/>
      <c r="M38" s="250"/>
      <c r="Y38" s="158"/>
      <c r="Z38" s="155" t="s">
        <v>387</v>
      </c>
      <c r="AA38" s="981" t="s">
        <v>525</v>
      </c>
      <c r="AB38" s="982"/>
      <c r="AC38" s="982"/>
      <c r="AD38" s="983"/>
      <c r="AE38" s="2">
        <f>ABS((AH45-AF51)/AH46)</f>
        <v>7.1428571428571425E-2</v>
      </c>
      <c r="AF38" s="62">
        <f>5.1*3.78</f>
        <v>19.277999999999999</v>
      </c>
      <c r="AG38" s="197">
        <f>Parois!L42</f>
        <v>1.8115853807007718</v>
      </c>
      <c r="AH38" s="92">
        <f>AE38*AF38*AG38</f>
        <v>2.4945530692249624</v>
      </c>
      <c r="AI38" s="489"/>
      <c r="AY38" s="284"/>
      <c r="AZ38" s="994"/>
      <c r="BA38" s="994"/>
      <c r="BB38" s="994"/>
      <c r="BC38" s="994"/>
      <c r="BD38" s="994"/>
      <c r="BE38" s="62" t="s">
        <v>226</v>
      </c>
      <c r="BF38" s="197" t="s">
        <v>227</v>
      </c>
      <c r="BG38" s="197" t="s">
        <v>228</v>
      </c>
      <c r="BH38" s="232" t="s">
        <v>229</v>
      </c>
      <c r="BI38" s="287"/>
      <c r="BJ38" s="250"/>
    </row>
    <row r="39" spans="1:62">
      <c r="A39" s="5"/>
      <c r="B39" s="158"/>
      <c r="C39" s="57" t="s">
        <v>255</v>
      </c>
      <c r="D39" s="57"/>
      <c r="E39" s="57"/>
      <c r="F39" s="57"/>
      <c r="G39" s="58"/>
      <c r="H39" s="1"/>
      <c r="I39" s="1"/>
      <c r="J39" s="1"/>
      <c r="K39" s="91">
        <f>K36+K37</f>
        <v>3.4017252266510827</v>
      </c>
      <c r="L39" s="287"/>
      <c r="M39" s="250"/>
      <c r="Y39" s="284"/>
      <c r="Z39" s="155"/>
      <c r="AA39" s="981" t="s">
        <v>294</v>
      </c>
      <c r="AB39" s="982"/>
      <c r="AC39" s="982"/>
      <c r="AD39" s="983"/>
      <c r="AE39" s="2">
        <f>(AH45-10)/AH46</f>
        <v>0.35714285714285715</v>
      </c>
      <c r="AF39" s="62">
        <f>5.1*10.7-1.875*5.1</f>
        <v>45.007499999999993</v>
      </c>
      <c r="AG39" s="259">
        <f>Parois!L49</f>
        <v>0.39937430012814151</v>
      </c>
      <c r="AH39" s="92">
        <f>AE39*AF39*AG39</f>
        <v>6.4195852903633313</v>
      </c>
      <c r="AI39" s="489"/>
      <c r="AJ39" s="250" t="s">
        <v>526</v>
      </c>
      <c r="AK39" s="5"/>
      <c r="AY39" s="284"/>
      <c r="AZ39" s="1"/>
      <c r="BA39" s="862"/>
      <c r="BB39" s="863"/>
      <c r="BC39" s="863"/>
      <c r="BD39" s="864"/>
      <c r="BE39" s="1"/>
      <c r="BF39" s="1"/>
      <c r="BG39" s="1"/>
      <c r="BH39" s="119"/>
      <c r="BI39" s="287"/>
      <c r="BJ39" s="250"/>
    </row>
    <row r="40" spans="1:62" ht="18.75">
      <c r="A40" s="5"/>
      <c r="B40" s="158"/>
      <c r="C40" s="83" t="s">
        <v>258</v>
      </c>
      <c r="D40" s="84"/>
      <c r="E40" s="84"/>
      <c r="F40" s="84"/>
      <c r="G40" s="102"/>
      <c r="H40" s="999" t="s">
        <v>259</v>
      </c>
      <c r="I40" s="999"/>
      <c r="J40" s="999"/>
      <c r="K40" s="124">
        <f>L16+K23+K39</f>
        <v>45.499620224020745</v>
      </c>
      <c r="L40" s="287"/>
      <c r="M40" s="250"/>
      <c r="Y40" s="5"/>
      <c r="Z40" s="57"/>
      <c r="AA40" s="984"/>
      <c r="AB40" s="985"/>
      <c r="AC40" s="985"/>
      <c r="AD40" s="985"/>
      <c r="AE40" s="2"/>
      <c r="AF40" s="89"/>
      <c r="AG40" s="89"/>
      <c r="AH40" s="92">
        <f>SUM(AH38:AH39)</f>
        <v>8.9141383595882928</v>
      </c>
      <c r="AI40" s="489"/>
      <c r="AJ40" s="250"/>
      <c r="AK40" s="5"/>
      <c r="AY40" s="284"/>
      <c r="AZ40" s="98" t="s">
        <v>287</v>
      </c>
      <c r="BA40" s="98"/>
      <c r="BB40" s="98"/>
      <c r="BC40" s="98"/>
      <c r="BD40" s="98"/>
      <c r="BE40" s="98"/>
      <c r="BF40" s="1030" t="s">
        <v>288</v>
      </c>
      <c r="BG40" s="1139"/>
      <c r="BH40" s="1139"/>
      <c r="BI40" s="287"/>
      <c r="BJ40" s="250"/>
    </row>
    <row r="41" spans="1:62" ht="18">
      <c r="A41" s="5"/>
      <c r="B41" s="158"/>
      <c r="C41" s="104" t="s">
        <v>260</v>
      </c>
      <c r="D41" s="103"/>
      <c r="E41" s="103"/>
      <c r="F41" s="103"/>
      <c r="G41" s="103"/>
      <c r="H41" s="103"/>
      <c r="I41" s="103"/>
      <c r="J41" s="103"/>
      <c r="K41" s="103"/>
      <c r="L41" s="287"/>
      <c r="M41" s="250"/>
      <c r="Y41" s="5"/>
      <c r="Z41" s="57" t="s">
        <v>255</v>
      </c>
      <c r="AA41" s="57"/>
      <c r="AB41" s="57"/>
      <c r="AC41" s="57"/>
      <c r="AD41" s="58"/>
      <c r="AE41" s="1"/>
      <c r="AF41" s="1"/>
      <c r="AG41" s="1"/>
      <c r="AH41" s="91" t="s">
        <v>256</v>
      </c>
      <c r="AI41" s="489"/>
      <c r="AJ41" s="250"/>
      <c r="AK41" s="5"/>
      <c r="AY41" s="284"/>
      <c r="AZ41" s="118" t="s">
        <v>257</v>
      </c>
      <c r="BA41" s="97"/>
      <c r="BB41" s="97"/>
      <c r="BC41" s="97"/>
      <c r="BD41" s="97"/>
      <c r="BE41" s="99"/>
      <c r="BF41" s="100"/>
      <c r="BG41" s="101"/>
      <c r="BH41" s="227"/>
      <c r="BI41" s="287"/>
      <c r="BJ41" s="250"/>
    </row>
    <row r="42" spans="1:62" ht="19.5">
      <c r="A42" s="5"/>
      <c r="B42" s="158"/>
      <c r="C42" s="818" t="s">
        <v>6</v>
      </c>
      <c r="D42" s="818"/>
      <c r="E42" s="818"/>
      <c r="F42" s="818"/>
      <c r="G42" s="818"/>
      <c r="H42" s="818"/>
      <c r="I42" s="1" t="s">
        <v>261</v>
      </c>
      <c r="J42" s="1" t="s">
        <v>262</v>
      </c>
      <c r="K42" s="119">
        <v>-8</v>
      </c>
      <c r="L42" s="287"/>
      <c r="M42" s="250"/>
      <c r="Y42" s="5"/>
      <c r="Z42" s="83" t="s">
        <v>258</v>
      </c>
      <c r="AA42" s="84"/>
      <c r="AB42" s="84"/>
      <c r="AC42" s="84"/>
      <c r="AD42" s="102"/>
      <c r="AE42" s="999" t="s">
        <v>259</v>
      </c>
      <c r="AF42" s="999"/>
      <c r="AG42" s="999"/>
      <c r="AH42" s="119"/>
      <c r="AI42" s="489"/>
      <c r="AJ42" s="250"/>
      <c r="AK42" s="5"/>
      <c r="AY42" s="284"/>
      <c r="AZ42" s="1008" t="s">
        <v>220</v>
      </c>
      <c r="BA42" s="1009" t="s">
        <v>221</v>
      </c>
      <c r="BB42" s="1010"/>
      <c r="BC42" s="1010"/>
      <c r="BD42" s="1010"/>
      <c r="BE42" s="196" t="s">
        <v>232</v>
      </c>
      <c r="BF42" s="196" t="s">
        <v>222</v>
      </c>
      <c r="BG42" s="196" t="s">
        <v>223</v>
      </c>
      <c r="BH42" s="231" t="s">
        <v>233</v>
      </c>
      <c r="BI42" s="287"/>
      <c r="BJ42" s="250"/>
    </row>
    <row r="43" spans="1:62" ht="19.5">
      <c r="A43" s="5"/>
      <c r="B43" s="158"/>
      <c r="C43" s="971" t="s">
        <v>264</v>
      </c>
      <c r="D43" s="971"/>
      <c r="E43" s="971"/>
      <c r="F43" s="971"/>
      <c r="G43" s="971"/>
      <c r="H43" s="971"/>
      <c r="I43" s="1" t="s">
        <v>265</v>
      </c>
      <c r="J43" s="1" t="s">
        <v>262</v>
      </c>
      <c r="K43" s="119">
        <v>22</v>
      </c>
      <c r="L43" s="287"/>
      <c r="M43" s="250"/>
      <c r="Y43" s="5"/>
      <c r="Z43" s="104" t="s">
        <v>260</v>
      </c>
      <c r="AA43" s="103"/>
      <c r="AB43" s="103"/>
      <c r="AC43" s="103"/>
      <c r="AD43" s="103"/>
      <c r="AE43" s="103"/>
      <c r="AF43" s="103"/>
      <c r="AG43" s="103"/>
      <c r="AH43" s="103"/>
      <c r="AI43" s="489"/>
      <c r="AJ43" s="250"/>
      <c r="AK43" s="5"/>
      <c r="AY43" s="284"/>
      <c r="AZ43" s="976"/>
      <c r="BA43" s="979"/>
      <c r="BB43" s="980"/>
      <c r="BC43" s="980"/>
      <c r="BD43" s="980"/>
      <c r="BE43" s="62" t="s">
        <v>228</v>
      </c>
      <c r="BF43" s="62" t="s">
        <v>226</v>
      </c>
      <c r="BG43" s="197" t="s">
        <v>227</v>
      </c>
      <c r="BH43" s="232" t="s">
        <v>229</v>
      </c>
      <c r="BI43" s="287"/>
      <c r="BJ43" s="250"/>
    </row>
    <row r="44" spans="1:62" ht="19.5">
      <c r="A44" s="5"/>
      <c r="B44" s="158"/>
      <c r="C44" s="997" t="s">
        <v>266</v>
      </c>
      <c r="D44" s="997"/>
      <c r="E44" s="997"/>
      <c r="F44" s="997"/>
      <c r="G44" s="997"/>
      <c r="H44" s="997"/>
      <c r="I44" s="101" t="s">
        <v>267</v>
      </c>
      <c r="J44" s="101" t="s">
        <v>262</v>
      </c>
      <c r="K44" s="227">
        <f>K43-K42</f>
        <v>30</v>
      </c>
      <c r="L44" s="287"/>
      <c r="M44" s="5"/>
      <c r="Y44" s="5"/>
      <c r="Z44" s="818" t="s">
        <v>6</v>
      </c>
      <c r="AA44" s="818"/>
      <c r="AB44" s="818"/>
      <c r="AC44" s="818"/>
      <c r="AD44" s="818"/>
      <c r="AE44" s="818"/>
      <c r="AF44" s="1" t="s">
        <v>261</v>
      </c>
      <c r="AG44" s="1" t="s">
        <v>262</v>
      </c>
      <c r="AH44" s="119">
        <v>-8</v>
      </c>
      <c r="AI44" s="489"/>
      <c r="AJ44" s="5"/>
      <c r="AK44" s="5"/>
      <c r="AY44" s="284"/>
      <c r="AZ44" s="155" t="s">
        <v>342</v>
      </c>
      <c r="BA44" s="981" t="s">
        <v>345</v>
      </c>
      <c r="BB44" s="982"/>
      <c r="BC44" s="982"/>
      <c r="BD44" s="983"/>
      <c r="BE44" s="2">
        <f>(20-18)/(20--8)</f>
        <v>7.1428571428571425E-2</v>
      </c>
      <c r="BF44" s="62">
        <f>1.95*3.94</f>
        <v>7.6829999999999998</v>
      </c>
      <c r="BG44" s="197">
        <f>Parois!L28</f>
        <v>2.642391922017747</v>
      </c>
      <c r="BH44" s="92">
        <f>BE44*BF44*BG44</f>
        <v>1.4501069383473104</v>
      </c>
      <c r="BI44" s="287"/>
      <c r="BJ44" s="250"/>
    </row>
    <row r="45" spans="1:62" ht="19.5">
      <c r="A45" s="5"/>
      <c r="B45" s="5"/>
      <c r="C45" s="988" t="s">
        <v>527</v>
      </c>
      <c r="D45" s="988"/>
      <c r="E45" s="988"/>
      <c r="F45" s="988"/>
      <c r="G45" s="988"/>
      <c r="H45" s="988"/>
      <c r="I45" s="988"/>
      <c r="J45" s="988"/>
      <c r="K45" s="988"/>
      <c r="L45" s="287"/>
      <c r="M45" s="250"/>
      <c r="Y45" s="5"/>
      <c r="Z45" s="971" t="s">
        <v>264</v>
      </c>
      <c r="AA45" s="971"/>
      <c r="AB45" s="971"/>
      <c r="AC45" s="971"/>
      <c r="AD45" s="971"/>
      <c r="AE45" s="971"/>
      <c r="AF45" s="1" t="s">
        <v>265</v>
      </c>
      <c r="AG45" s="1" t="s">
        <v>262</v>
      </c>
      <c r="AH45" s="119">
        <v>20</v>
      </c>
      <c r="AI45" s="489"/>
      <c r="AJ45" s="250"/>
      <c r="AK45" s="5"/>
      <c r="AY45" s="284"/>
      <c r="AZ45" s="155" t="s">
        <v>358</v>
      </c>
      <c r="BA45" s="981" t="s">
        <v>528</v>
      </c>
      <c r="BB45" s="982"/>
      <c r="BC45" s="982"/>
      <c r="BD45" s="983"/>
      <c r="BE45" s="2">
        <f>(20-16)/(20--8)</f>
        <v>0.14285714285714285</v>
      </c>
      <c r="BF45" s="62">
        <f>3.54*3.94</f>
        <v>13.9476</v>
      </c>
      <c r="BG45" s="259">
        <f>Parois!L28</f>
        <v>2.642391922017747</v>
      </c>
      <c r="BH45" s="92">
        <f>BE45*BF45*BG45</f>
        <v>5.2650036530763886</v>
      </c>
      <c r="BI45" s="287"/>
      <c r="BJ45" s="250"/>
    </row>
    <row r="46" spans="1:62" ht="19.5">
      <c r="A46" s="5"/>
      <c r="B46" s="5"/>
      <c r="C46" s="492" t="s">
        <v>269</v>
      </c>
      <c r="D46" s="492"/>
      <c r="E46" s="492"/>
      <c r="F46" s="492"/>
      <c r="G46" s="492"/>
      <c r="H46" s="492"/>
      <c r="I46" s="492"/>
      <c r="J46" s="492"/>
      <c r="K46" s="492"/>
      <c r="L46" s="288"/>
      <c r="M46" s="250"/>
      <c r="Y46" s="5"/>
      <c r="Z46" s="997" t="s">
        <v>266</v>
      </c>
      <c r="AA46" s="997"/>
      <c r="AB46" s="997"/>
      <c r="AC46" s="997"/>
      <c r="AD46" s="997"/>
      <c r="AE46" s="997"/>
      <c r="AF46" s="101" t="s">
        <v>267</v>
      </c>
      <c r="AG46" s="101" t="s">
        <v>262</v>
      </c>
      <c r="AH46" s="227">
        <f>AH45-AH44</f>
        <v>28</v>
      </c>
      <c r="AI46" s="454"/>
      <c r="AJ46" s="250"/>
      <c r="AK46" s="5"/>
      <c r="AY46" s="284"/>
      <c r="AZ46" s="57"/>
      <c r="BA46" s="984"/>
      <c r="BB46" s="985"/>
      <c r="BC46" s="985"/>
      <c r="BD46" s="985"/>
      <c r="BE46" s="2"/>
      <c r="BF46" s="89"/>
      <c r="BG46" s="89"/>
      <c r="BH46" s="92"/>
      <c r="BI46" s="287"/>
      <c r="BJ46" s="250"/>
    </row>
    <row r="47" spans="1:62">
      <c r="A47" s="5"/>
      <c r="B47" s="5"/>
      <c r="C47" s="990" t="s">
        <v>270</v>
      </c>
      <c r="D47" s="991"/>
      <c r="E47" s="991"/>
      <c r="F47" s="991"/>
      <c r="G47" s="991"/>
      <c r="H47" s="992"/>
      <c r="I47" s="241" t="s">
        <v>271</v>
      </c>
      <c r="J47" s="241" t="s">
        <v>272</v>
      </c>
      <c r="K47" s="242" t="s">
        <v>273</v>
      </c>
      <c r="L47" s="518">
        <f>K44*(L16+K23+K39)</f>
        <v>1364.9886067206223</v>
      </c>
      <c r="M47" s="251" t="s">
        <v>263</v>
      </c>
      <c r="Y47" s="5"/>
      <c r="Z47" s="988" t="s">
        <v>529</v>
      </c>
      <c r="AA47" s="988"/>
      <c r="AB47" s="988"/>
      <c r="AC47" s="988"/>
      <c r="AD47" s="988"/>
      <c r="AE47" s="988"/>
      <c r="AF47" s="988"/>
      <c r="AG47" s="988"/>
      <c r="AH47" s="988"/>
      <c r="AI47" s="234">
        <f>(AH40+AH25)*AH46</f>
        <v>345.60192826993796</v>
      </c>
      <c r="AJ47" s="251" t="s">
        <v>263</v>
      </c>
      <c r="AK47" s="5"/>
      <c r="AY47" s="284"/>
      <c r="AZ47" s="57" t="s">
        <v>255</v>
      </c>
      <c r="BA47" s="57"/>
      <c r="BB47" s="57"/>
      <c r="BC47" s="57"/>
      <c r="BD47" s="58"/>
      <c r="BE47" s="1"/>
      <c r="BF47" s="1"/>
      <c r="BG47" s="1"/>
      <c r="BH47" s="91">
        <f>BH44+BH45</f>
        <v>6.7151105914236986</v>
      </c>
      <c r="BI47" s="287"/>
      <c r="BJ47" s="250"/>
    </row>
    <row r="48" spans="1:62" ht="18">
      <c r="A48" s="5"/>
      <c r="B48" s="5"/>
      <c r="C48" s="844" t="s">
        <v>530</v>
      </c>
      <c r="D48" s="845"/>
      <c r="E48" s="845"/>
      <c r="F48" s="845"/>
      <c r="G48" s="845"/>
      <c r="H48" s="846"/>
      <c r="I48" s="246">
        <f>Données!G45</f>
        <v>16</v>
      </c>
      <c r="J48" s="246" t="s">
        <v>174</v>
      </c>
      <c r="K48" s="245">
        <f>$K$43-I48</f>
        <v>6</v>
      </c>
      <c r="L48" s="492"/>
      <c r="M48" s="250"/>
      <c r="Y48" s="5"/>
      <c r="Z48" s="1140" t="s">
        <v>269</v>
      </c>
      <c r="AA48" s="1140"/>
      <c r="AB48" s="1140"/>
      <c r="AC48" s="1140"/>
      <c r="AD48" s="1140"/>
      <c r="AE48" s="1140"/>
      <c r="AF48" s="1140"/>
      <c r="AG48" s="1140"/>
      <c r="AH48" s="1140"/>
      <c r="AI48" s="1140"/>
      <c r="AJ48" s="250"/>
      <c r="AK48" s="5"/>
      <c r="AY48" s="284"/>
      <c r="AZ48" s="83" t="s">
        <v>258</v>
      </c>
      <c r="BA48" s="84"/>
      <c r="BB48" s="84"/>
      <c r="BC48" s="84"/>
      <c r="BD48" s="102"/>
      <c r="BE48" s="999" t="s">
        <v>259</v>
      </c>
      <c r="BF48" s="999"/>
      <c r="BG48" s="999"/>
      <c r="BH48" s="119"/>
      <c r="BI48" s="287"/>
      <c r="BJ48" s="250"/>
    </row>
    <row r="49" spans="1:62">
      <c r="A49" s="5"/>
      <c r="B49" s="5"/>
      <c r="C49" s="818" t="s">
        <v>339</v>
      </c>
      <c r="D49" s="818"/>
      <c r="E49" s="818"/>
      <c r="F49" s="818"/>
      <c r="G49" s="818"/>
      <c r="H49" s="818"/>
      <c r="I49" s="245">
        <f>16</f>
        <v>16</v>
      </c>
      <c r="J49" s="246" t="s">
        <v>174</v>
      </c>
      <c r="K49" s="245">
        <f>$K$43-I49</f>
        <v>6</v>
      </c>
      <c r="L49" s="235" t="s">
        <v>274</v>
      </c>
      <c r="M49" s="250"/>
      <c r="Y49" s="5"/>
      <c r="Z49" s="990" t="s">
        <v>270</v>
      </c>
      <c r="AA49" s="991"/>
      <c r="AB49" s="991"/>
      <c r="AC49" s="991"/>
      <c r="AD49" s="991"/>
      <c r="AE49" s="992"/>
      <c r="AF49" s="241" t="s">
        <v>271</v>
      </c>
      <c r="AG49" s="241" t="s">
        <v>272</v>
      </c>
      <c r="AH49" s="242" t="s">
        <v>273</v>
      </c>
      <c r="AI49" s="235" t="s">
        <v>274</v>
      </c>
      <c r="AJ49" s="250"/>
      <c r="AK49" s="5"/>
      <c r="AY49" s="284"/>
      <c r="AZ49" s="104" t="s">
        <v>260</v>
      </c>
      <c r="BA49" s="103"/>
      <c r="BB49" s="103"/>
      <c r="BC49" s="103"/>
      <c r="BD49" s="103"/>
      <c r="BE49" s="103"/>
      <c r="BF49" s="103"/>
      <c r="BG49" s="103"/>
      <c r="BH49" s="103"/>
      <c r="BI49" s="287"/>
      <c r="BJ49" s="250"/>
    </row>
    <row r="50" spans="1:62" ht="19.5">
      <c r="A50" s="5"/>
      <c r="B50" s="5"/>
      <c r="C50" s="971" t="s">
        <v>397</v>
      </c>
      <c r="D50" s="971"/>
      <c r="E50" s="971"/>
      <c r="F50" s="971"/>
      <c r="G50" s="971"/>
      <c r="H50" s="971"/>
      <c r="I50" s="245">
        <f>Données!G46</f>
        <v>16</v>
      </c>
      <c r="J50" s="246" t="s">
        <v>174</v>
      </c>
      <c r="K50" s="245">
        <f>$K$43-I50</f>
        <v>6</v>
      </c>
      <c r="L50" s="245" t="e">
        <f>$BE$95-J48</f>
        <v>#VALUE!</v>
      </c>
      <c r="M50" s="250"/>
      <c r="Y50" s="5"/>
      <c r="Z50" s="844" t="s">
        <v>531</v>
      </c>
      <c r="AA50" s="845"/>
      <c r="AB50" s="845"/>
      <c r="AC50" s="845"/>
      <c r="AD50" s="845"/>
      <c r="AE50" s="846"/>
      <c r="AF50" s="246">
        <f>Données!G47</f>
        <v>16</v>
      </c>
      <c r="AG50" s="246" t="s">
        <v>174</v>
      </c>
      <c r="AH50" s="245">
        <f>$AH$45-AF50</f>
        <v>4</v>
      </c>
      <c r="AI50" s="245" t="e">
        <f>$AH$45-AG50</f>
        <v>#VALUE!</v>
      </c>
      <c r="AJ50" s="250"/>
      <c r="AK50" s="5"/>
      <c r="AY50" s="284"/>
      <c r="AZ50" s="818" t="s">
        <v>6</v>
      </c>
      <c r="BA50" s="818"/>
      <c r="BB50" s="818"/>
      <c r="BC50" s="818"/>
      <c r="BD50" s="818"/>
      <c r="BE50" s="818"/>
      <c r="BF50" s="1" t="s">
        <v>261</v>
      </c>
      <c r="BG50" s="1" t="s">
        <v>262</v>
      </c>
      <c r="BH50" s="119">
        <v>-8</v>
      </c>
      <c r="BI50" s="287"/>
      <c r="BJ50" s="250"/>
    </row>
    <row r="51" spans="1:62" ht="19.5">
      <c r="A51" s="5"/>
      <c r="B51" s="5"/>
      <c r="C51" s="997" t="s">
        <v>275</v>
      </c>
      <c r="D51" s="997"/>
      <c r="E51" s="997"/>
      <c r="F51" s="997"/>
      <c r="G51" s="997"/>
      <c r="H51" s="997"/>
      <c r="I51" s="247" t="e">
        <f>Données!#REF!</f>
        <v>#REF!</v>
      </c>
      <c r="J51" s="246" t="s">
        <v>174</v>
      </c>
      <c r="K51" s="245" t="e">
        <f>$K$43-I51</f>
        <v>#REF!</v>
      </c>
      <c r="L51" s="245" t="e">
        <f>$BE$95-J49</f>
        <v>#VALUE!</v>
      </c>
      <c r="M51" s="5"/>
      <c r="Y51" s="5"/>
      <c r="Z51" s="818" t="s">
        <v>283</v>
      </c>
      <c r="AA51" s="818"/>
      <c r="AB51" s="818"/>
      <c r="AC51" s="818"/>
      <c r="AD51" s="818"/>
      <c r="AE51" s="818"/>
      <c r="AF51" s="245">
        <f>Données!E29</f>
        <v>22</v>
      </c>
      <c r="AG51" s="245">
        <f>Données!F29</f>
        <v>26</v>
      </c>
      <c r="AH51" s="245"/>
      <c r="AI51" s="245">
        <f>$AH$45-AG51</f>
        <v>-6</v>
      </c>
      <c r="AJ51" s="5"/>
      <c r="AK51" s="5"/>
      <c r="AY51" s="284"/>
      <c r="AZ51" s="971" t="s">
        <v>264</v>
      </c>
      <c r="BA51" s="971"/>
      <c r="BB51" s="971"/>
      <c r="BC51" s="971"/>
      <c r="BD51" s="971"/>
      <c r="BE51" s="971"/>
      <c r="BF51" s="1" t="s">
        <v>265</v>
      </c>
      <c r="BG51" s="1" t="s">
        <v>262</v>
      </c>
      <c r="BH51">
        <f>20</f>
        <v>20</v>
      </c>
      <c r="BI51" s="287"/>
      <c r="BJ51" s="5"/>
    </row>
    <row r="52" spans="1:62" ht="19.5">
      <c r="A52" s="5"/>
      <c r="B52" s="5"/>
      <c r="C52" s="993" t="s">
        <v>278</v>
      </c>
      <c r="D52" s="993"/>
      <c r="E52" s="993"/>
      <c r="F52" s="993"/>
      <c r="G52" s="993"/>
      <c r="H52" s="993"/>
      <c r="I52" s="993"/>
      <c r="J52" s="993"/>
      <c r="K52" s="993"/>
      <c r="L52" s="245" t="e">
        <f>$BE$95-J50</f>
        <v>#VALUE!</v>
      </c>
      <c r="M52" s="5"/>
      <c r="Y52" s="5"/>
      <c r="Z52" s="971"/>
      <c r="AA52" s="971"/>
      <c r="AB52" s="971"/>
      <c r="AC52" s="971"/>
      <c r="AD52" s="971"/>
      <c r="AE52" s="971"/>
      <c r="AF52" s="245"/>
      <c r="AG52" s="245"/>
      <c r="AH52" s="245">
        <f>$AH$45-AF52</f>
        <v>20</v>
      </c>
      <c r="AI52" s="245">
        <f>$AH$45-AG52</f>
        <v>20</v>
      </c>
      <c r="AJ52" s="5"/>
      <c r="AK52" s="5"/>
      <c r="AY52" s="5"/>
      <c r="AZ52" s="997" t="s">
        <v>266</v>
      </c>
      <c r="BA52" s="997"/>
      <c r="BB52" s="997"/>
      <c r="BC52" s="997"/>
      <c r="BD52" s="997"/>
      <c r="BE52" s="997"/>
      <c r="BF52" s="101" t="s">
        <v>267</v>
      </c>
      <c r="BG52" s="101" t="s">
        <v>262</v>
      </c>
      <c r="BH52" s="227">
        <f>BH51-BH50</f>
        <v>28</v>
      </c>
      <c r="BI52" s="288"/>
      <c r="BJ52" s="250"/>
    </row>
    <row r="53" spans="1:62" ht="18.75">
      <c r="A53" s="5"/>
      <c r="B53" s="5"/>
      <c r="C53" s="987" t="s">
        <v>279</v>
      </c>
      <c r="D53" s="987"/>
      <c r="E53" s="987"/>
      <c r="F53" s="987"/>
      <c r="G53" s="987"/>
      <c r="H53" s="987"/>
      <c r="I53" s="987"/>
      <c r="J53" s="987"/>
      <c r="K53" s="987"/>
      <c r="L53" s="247" t="e">
        <f>$BE$95-J51</f>
        <v>#VALUE!</v>
      </c>
      <c r="M53" s="5"/>
      <c r="Y53" s="5"/>
      <c r="Z53" s="997"/>
      <c r="AA53" s="997"/>
      <c r="AB53" s="997"/>
      <c r="AC53" s="997"/>
      <c r="AD53" s="997"/>
      <c r="AE53" s="997"/>
      <c r="AF53" s="247"/>
      <c r="AG53" s="247"/>
      <c r="AH53" s="245">
        <f>$AH$45-AF53</f>
        <v>20</v>
      </c>
      <c r="AI53" s="245">
        <f>$AH$45-AG53</f>
        <v>20</v>
      </c>
      <c r="AJ53" s="5"/>
      <c r="AK53" s="5"/>
      <c r="AY53" s="5"/>
      <c r="AZ53" s="988" t="s">
        <v>268</v>
      </c>
      <c r="BA53" s="988"/>
      <c r="BB53" s="988"/>
      <c r="BC53" s="988"/>
      <c r="BD53" s="988"/>
      <c r="BE53" s="988"/>
      <c r="BF53" s="988"/>
      <c r="BG53" s="988"/>
      <c r="BH53" s="988"/>
      <c r="BI53" s="234">
        <f>BH52*(BI24)</f>
        <v>379.02801916492155</v>
      </c>
      <c r="BJ53" s="251" t="s">
        <v>263</v>
      </c>
    </row>
    <row r="54" spans="1:62">
      <c r="A54" s="5"/>
      <c r="B54" s="5"/>
      <c r="C54" s="5"/>
      <c r="D54" s="5"/>
      <c r="E54" s="5"/>
      <c r="F54" s="5"/>
      <c r="G54" s="5"/>
      <c r="H54" s="5"/>
      <c r="I54" s="5"/>
      <c r="J54" s="5"/>
      <c r="K54" s="5"/>
      <c r="L54" s="249"/>
      <c r="M54" s="251" t="s">
        <v>263</v>
      </c>
      <c r="Y54" s="5"/>
      <c r="Z54" s="993" t="s">
        <v>278</v>
      </c>
      <c r="AA54" s="993"/>
      <c r="AB54" s="993"/>
      <c r="AC54" s="993"/>
      <c r="AD54" s="993"/>
      <c r="AE54" s="993"/>
      <c r="AF54" s="993"/>
      <c r="AG54" s="993"/>
      <c r="AH54" s="993"/>
      <c r="AI54" s="249"/>
      <c r="AJ54" s="251" t="s">
        <v>263</v>
      </c>
      <c r="AK54" s="5"/>
      <c r="AY54" s="5"/>
      <c r="AZ54" s="1140" t="s">
        <v>269</v>
      </c>
      <c r="BA54" s="1140"/>
      <c r="BB54" s="1140"/>
      <c r="BC54" s="1140"/>
      <c r="BD54" s="1140"/>
      <c r="BE54" s="1140"/>
      <c r="BF54" s="1140"/>
      <c r="BG54" s="1140"/>
      <c r="BH54" s="1140"/>
      <c r="BI54" s="1140"/>
      <c r="BJ54" s="250"/>
    </row>
    <row r="55" spans="1:62" ht="18.75">
      <c r="A55" s="5"/>
      <c r="B55" s="5"/>
      <c r="C55" s="5"/>
      <c r="D55" s="5"/>
      <c r="E55" s="5"/>
      <c r="F55" s="5"/>
      <c r="G55" s="5"/>
      <c r="H55" s="5"/>
      <c r="I55" s="5"/>
      <c r="J55" s="5"/>
      <c r="K55" s="5"/>
      <c r="L55" s="271">
        <f>L47</f>
        <v>1364.9886067206223</v>
      </c>
      <c r="M55" s="253" t="s">
        <v>263</v>
      </c>
      <c r="N55" s="5"/>
      <c r="O55" s="5"/>
      <c r="P55" s="5"/>
      <c r="Q55" s="5"/>
      <c r="R55" s="5"/>
      <c r="S55" s="5"/>
      <c r="T55" s="5"/>
      <c r="U55" s="5"/>
      <c r="V55" s="5"/>
      <c r="W55" s="5"/>
      <c r="X55" s="5"/>
      <c r="Y55" s="5"/>
      <c r="Z55" s="987" t="s">
        <v>279</v>
      </c>
      <c r="AA55" s="987"/>
      <c r="AB55" s="987"/>
      <c r="AC55" s="987"/>
      <c r="AD55" s="987"/>
      <c r="AE55" s="987"/>
      <c r="AF55" s="987"/>
      <c r="AG55" s="987"/>
      <c r="AH55" s="987"/>
      <c r="AI55" s="271">
        <f>AI47</f>
        <v>345.60192826993796</v>
      </c>
      <c r="AJ55" s="253" t="s">
        <v>263</v>
      </c>
      <c r="AK55" s="5"/>
      <c r="AY55" s="5"/>
      <c r="AZ55" s="990" t="s">
        <v>270</v>
      </c>
      <c r="BA55" s="991"/>
      <c r="BB55" s="991"/>
      <c r="BC55" s="991"/>
      <c r="BD55" s="991"/>
      <c r="BE55" s="992"/>
      <c r="BF55" s="241" t="s">
        <v>271</v>
      </c>
      <c r="BG55" s="241" t="s">
        <v>272</v>
      </c>
      <c r="BH55" s="242" t="s">
        <v>273</v>
      </c>
      <c r="BI55" s="235" t="s">
        <v>274</v>
      </c>
      <c r="BJ55" s="250"/>
    </row>
    <row r="56" spans="1:62">
      <c r="A56" s="5"/>
      <c r="B56" s="5"/>
      <c r="C56" s="5"/>
      <c r="D56" s="5"/>
      <c r="E56" s="5"/>
      <c r="F56" s="5"/>
      <c r="G56" s="5"/>
      <c r="H56" s="5"/>
      <c r="I56" s="5"/>
      <c r="J56" s="5"/>
      <c r="K56" s="5"/>
      <c r="L56" s="5"/>
      <c r="M56" s="5"/>
      <c r="N56" s="5"/>
      <c r="O56" s="5"/>
      <c r="P56" s="5"/>
      <c r="Q56" s="5"/>
      <c r="R56" s="5"/>
      <c r="S56" s="5"/>
      <c r="T56" s="5"/>
      <c r="U56" s="5"/>
      <c r="V56" s="5"/>
      <c r="W56" s="5"/>
      <c r="X56" s="5"/>
      <c r="Y56" s="5"/>
      <c r="Z56" s="5"/>
      <c r="AA56" s="5"/>
      <c r="AB56" s="5"/>
      <c r="AC56" s="5"/>
      <c r="AD56" s="5"/>
      <c r="AE56" s="5"/>
      <c r="AF56" s="5"/>
      <c r="AG56" s="5"/>
      <c r="AH56" s="5"/>
      <c r="AI56" s="5"/>
      <c r="AJ56" s="5"/>
      <c r="AK56" s="5"/>
      <c r="AY56" s="5"/>
      <c r="AZ56" s="844" t="s">
        <v>532</v>
      </c>
      <c r="BA56" s="845"/>
      <c r="BB56" s="845"/>
      <c r="BC56" s="845"/>
      <c r="BD56" s="845"/>
      <c r="BE56" s="846"/>
      <c r="BF56" s="246">
        <f>Données!G53</f>
        <v>18</v>
      </c>
      <c r="BG56" s="246" t="s">
        <v>174</v>
      </c>
      <c r="BI56" s="245" t="e">
        <f>$BH$50-BG56</f>
        <v>#VALUE!</v>
      </c>
      <c r="BJ56" s="250"/>
    </row>
    <row r="57" spans="1:62">
      <c r="A57" s="5"/>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c r="AD57" s="5"/>
      <c r="AE57" s="5"/>
      <c r="AF57" s="5"/>
      <c r="AG57" s="5"/>
      <c r="AH57" s="5"/>
      <c r="AI57" s="5"/>
      <c r="AJ57" s="5"/>
      <c r="AK57" s="5"/>
      <c r="AY57" s="5"/>
      <c r="AZ57" s="818" t="s">
        <v>275</v>
      </c>
      <c r="BA57" s="818"/>
      <c r="BB57" s="818"/>
      <c r="BC57" s="818"/>
      <c r="BD57" s="818"/>
      <c r="BE57" s="818"/>
      <c r="BF57" s="245">
        <f>18</f>
        <v>18</v>
      </c>
      <c r="BG57" s="246" t="s">
        <v>174</v>
      </c>
      <c r="BH57" s="245"/>
      <c r="BI57" s="245" t="e">
        <f>$BH$50-BG57</f>
        <v>#VALUE!</v>
      </c>
      <c r="BJ57" s="250"/>
    </row>
    <row r="58" spans="1:62">
      <c r="A58" s="5"/>
      <c r="L58" s="5"/>
      <c r="M58" s="5"/>
      <c r="N58" s="5"/>
      <c r="O58" s="5"/>
      <c r="P58" s="5"/>
      <c r="Q58" s="5"/>
      <c r="R58" s="5"/>
      <c r="S58" s="5"/>
      <c r="T58" s="5"/>
      <c r="U58" s="5"/>
      <c r="V58" s="5"/>
      <c r="W58" s="5"/>
      <c r="X58" s="5"/>
      <c r="Y58" s="5"/>
      <c r="Z58" s="5"/>
      <c r="AA58" s="5"/>
      <c r="AB58" s="5"/>
      <c r="AC58" s="5"/>
      <c r="AD58" s="5"/>
      <c r="AE58" s="5"/>
      <c r="AF58" s="5"/>
      <c r="AG58" s="5"/>
      <c r="AH58" s="5"/>
      <c r="AI58" s="5"/>
      <c r="AJ58" s="5"/>
      <c r="AK58" s="5"/>
      <c r="AY58" s="5"/>
      <c r="AZ58" s="971"/>
      <c r="BA58" s="971"/>
      <c r="BB58" s="971"/>
      <c r="BC58" s="971"/>
      <c r="BD58" s="971"/>
      <c r="BE58" s="971"/>
      <c r="BF58" s="245">
        <f>0</f>
        <v>0</v>
      </c>
      <c r="BG58" s="245">
        <f>0</f>
        <v>0</v>
      </c>
      <c r="BH58" s="245"/>
      <c r="BI58" s="245">
        <f>$BH$50-BG58</f>
        <v>-8</v>
      </c>
      <c r="BJ58" s="5"/>
    </row>
    <row r="59" spans="1:62">
      <c r="A59" s="5"/>
      <c r="B59" s="158"/>
      <c r="L59" s="5"/>
      <c r="M59" s="250"/>
      <c r="N59" s="5"/>
      <c r="O59" s="5"/>
      <c r="P59" s="5"/>
      <c r="Q59" s="5"/>
      <c r="R59" s="5"/>
      <c r="S59" s="5"/>
      <c r="T59" s="5"/>
      <c r="U59" s="5"/>
      <c r="V59" s="5"/>
      <c r="W59" s="5"/>
      <c r="X59" s="5"/>
      <c r="Y59" s="5"/>
      <c r="Z59" s="5"/>
      <c r="AY59" s="5"/>
      <c r="AZ59" s="997"/>
      <c r="BA59" s="997"/>
      <c r="BB59" s="997"/>
      <c r="BC59" s="997"/>
      <c r="BD59" s="997"/>
      <c r="BE59" s="997"/>
      <c r="BF59" s="247"/>
      <c r="BG59" s="247"/>
      <c r="BH59" s="245"/>
      <c r="BI59" s="245"/>
      <c r="BJ59" s="5"/>
    </row>
    <row r="60" spans="1:62">
      <c r="A60" s="5"/>
      <c r="AY60" s="5"/>
      <c r="AZ60" s="993" t="s">
        <v>278</v>
      </c>
      <c r="BA60" s="993"/>
      <c r="BB60" s="993"/>
      <c r="BC60" s="993"/>
      <c r="BD60" s="993"/>
      <c r="BE60" s="993"/>
      <c r="BF60" s="993"/>
      <c r="BG60" s="993"/>
      <c r="BH60" s="993"/>
      <c r="BI60" s="249">
        <f>(BI31+BH47)*BH52</f>
        <v>617.73500175460811</v>
      </c>
      <c r="BJ60" s="251" t="s">
        <v>263</v>
      </c>
    </row>
    <row r="61" spans="1:62" ht="18.75">
      <c r="A61" s="5"/>
      <c r="AY61" s="5"/>
      <c r="AZ61" s="987" t="s">
        <v>279</v>
      </c>
      <c r="BA61" s="987"/>
      <c r="BB61" s="987"/>
      <c r="BC61" s="987"/>
      <c r="BD61" s="987"/>
      <c r="BE61" s="987"/>
      <c r="BF61" s="987"/>
      <c r="BG61" s="987"/>
      <c r="BH61" s="987"/>
      <c r="BI61" s="271">
        <f>BI53+BI60</f>
        <v>996.76302091952971</v>
      </c>
      <c r="BJ61" s="253" t="s">
        <v>263</v>
      </c>
    </row>
    <row r="62" spans="1:62">
      <c r="A62" s="5"/>
    </row>
    <row r="63" spans="1:62">
      <c r="A63" s="5"/>
    </row>
    <row r="64" spans="1:62">
      <c r="A64" s="5"/>
    </row>
    <row r="65" spans="1:63">
      <c r="A65" s="5"/>
    </row>
    <row r="66" spans="1:63">
      <c r="A66" s="5"/>
    </row>
    <row r="67" spans="1:63">
      <c r="A67" s="5"/>
    </row>
    <row r="68" spans="1:63">
      <c r="A68" s="5"/>
    </row>
    <row r="69" spans="1:63">
      <c r="A69" s="5"/>
    </row>
    <row r="70" spans="1:63">
      <c r="A70" s="5"/>
    </row>
    <row r="71" spans="1:63">
      <c r="A71" s="5"/>
      <c r="C71" s="5"/>
      <c r="D71" s="5"/>
      <c r="E71" s="5"/>
      <c r="F71" s="5"/>
      <c r="G71" s="5"/>
      <c r="H71" s="5"/>
      <c r="I71" s="5"/>
      <c r="J71" s="5"/>
      <c r="K71" s="5"/>
      <c r="L71" s="5"/>
      <c r="M71" s="5"/>
      <c r="N71" s="5"/>
      <c r="O71" s="5"/>
      <c r="P71" s="5"/>
      <c r="AY71" s="585" t="s">
        <v>533</v>
      </c>
      <c r="AZ71" s="5"/>
      <c r="BA71" s="5"/>
      <c r="BB71" s="5"/>
      <c r="BC71" s="5"/>
      <c r="BD71" s="5"/>
      <c r="BE71" s="5"/>
      <c r="BF71" s="5"/>
      <c r="BG71" s="5"/>
      <c r="BH71" s="5"/>
      <c r="BI71" s="5"/>
      <c r="BJ71" s="5"/>
      <c r="BK71" s="5"/>
    </row>
    <row r="72" spans="1:63">
      <c r="A72" s="5"/>
      <c r="C72" s="5"/>
      <c r="D72" s="5"/>
      <c r="E72" s="5"/>
      <c r="F72" s="5"/>
      <c r="G72" s="5"/>
      <c r="H72" s="5"/>
      <c r="I72" s="5"/>
      <c r="J72" s="5"/>
      <c r="K72" s="5"/>
      <c r="L72" s="5"/>
      <c r="M72" s="5"/>
      <c r="N72" s="5"/>
      <c r="O72" s="5"/>
      <c r="P72" s="5"/>
      <c r="Z72" s="5"/>
      <c r="AA72" s="5"/>
      <c r="AB72" s="5"/>
      <c r="AC72" s="5"/>
      <c r="AD72" s="5"/>
      <c r="AE72" s="5"/>
      <c r="AF72" s="5"/>
      <c r="AG72" s="5"/>
      <c r="AH72" s="5"/>
      <c r="AI72" s="5"/>
      <c r="AJ72" s="5"/>
      <c r="AK72" s="5"/>
      <c r="AY72" s="5"/>
      <c r="AZ72" s="1183" t="s">
        <v>462</v>
      </c>
      <c r="BA72" s="1183"/>
      <c r="BB72" s="1183"/>
      <c r="BC72" s="1183"/>
      <c r="BD72" s="1183"/>
      <c r="BE72" s="1183"/>
      <c r="BF72" s="1183"/>
      <c r="BG72" s="1183"/>
      <c r="BH72" s="1180"/>
      <c r="BI72" s="286"/>
      <c r="BJ72" s="250"/>
      <c r="BK72" s="5"/>
    </row>
    <row r="73" spans="1:63" ht="18">
      <c r="A73" s="5"/>
      <c r="C73" s="5"/>
      <c r="D73" s="585" t="s">
        <v>504</v>
      </c>
      <c r="E73" s="5"/>
      <c r="F73" s="5"/>
      <c r="G73" s="5"/>
      <c r="H73" s="5"/>
      <c r="I73" s="5"/>
      <c r="J73" s="5"/>
      <c r="K73" s="5"/>
      <c r="L73" s="5"/>
      <c r="M73" s="5"/>
      <c r="N73" s="5"/>
      <c r="O73" s="5"/>
      <c r="P73" s="5"/>
      <c r="Z73" s="5"/>
      <c r="AA73" s="5"/>
      <c r="AB73" s="5"/>
      <c r="AC73" s="5"/>
      <c r="AD73" s="5"/>
      <c r="AE73" s="5"/>
      <c r="AF73" s="5"/>
      <c r="AG73" s="5"/>
      <c r="AH73" s="5"/>
      <c r="AI73" s="5"/>
      <c r="AJ73" s="5"/>
      <c r="AK73" s="5"/>
      <c r="AY73" s="5"/>
      <c r="AZ73" s="994" t="s">
        <v>220</v>
      </c>
      <c r="BA73" s="994" t="s">
        <v>221</v>
      </c>
      <c r="BB73" s="994"/>
      <c r="BC73" s="994"/>
      <c r="BD73" s="994"/>
      <c r="BE73" s="108" t="s">
        <v>222</v>
      </c>
      <c r="BF73" s="108" t="s">
        <v>223</v>
      </c>
      <c r="BG73" s="108" t="s">
        <v>224</v>
      </c>
      <c r="BH73" s="91" t="s">
        <v>225</v>
      </c>
      <c r="BI73" s="287"/>
      <c r="BJ73" s="250"/>
      <c r="BK73" s="5"/>
    </row>
    <row r="74" spans="1:63" ht="18.75">
      <c r="A74" s="5"/>
      <c r="C74" s="5"/>
      <c r="D74" s="5"/>
      <c r="E74" s="1183" t="s">
        <v>462</v>
      </c>
      <c r="F74" s="1183"/>
      <c r="G74" s="1183"/>
      <c r="H74" s="1183"/>
      <c r="I74" s="1183"/>
      <c r="J74" s="1183"/>
      <c r="K74" s="1183"/>
      <c r="L74" s="1183"/>
      <c r="M74" s="1180"/>
      <c r="N74" s="286"/>
      <c r="O74" s="250"/>
      <c r="P74" s="5"/>
      <c r="Z74" s="585" t="s">
        <v>506</v>
      </c>
      <c r="AA74" s="5"/>
      <c r="AB74" s="5"/>
      <c r="AC74" s="5"/>
      <c r="AD74" s="5"/>
      <c r="AE74" s="5"/>
      <c r="AF74" s="5"/>
      <c r="AG74" s="5"/>
      <c r="AH74" s="5"/>
      <c r="AI74" s="5"/>
      <c r="AJ74" s="5"/>
      <c r="AY74" s="5"/>
      <c r="AZ74" s="994"/>
      <c r="BA74" s="994"/>
      <c r="BB74" s="994"/>
      <c r="BC74" s="994"/>
      <c r="BD74" s="994"/>
      <c r="BE74" s="2" t="s">
        <v>226</v>
      </c>
      <c r="BF74" s="89" t="s">
        <v>227</v>
      </c>
      <c r="BG74" s="89" t="s">
        <v>228</v>
      </c>
      <c r="BH74" s="299" t="s">
        <v>229</v>
      </c>
      <c r="BI74" s="287"/>
      <c r="BJ74" s="250"/>
      <c r="BK74" s="5"/>
    </row>
    <row r="75" spans="1:63" ht="18">
      <c r="A75" s="5"/>
      <c r="D75" s="5"/>
      <c r="E75" s="994" t="s">
        <v>220</v>
      </c>
      <c r="F75" s="994" t="s">
        <v>221</v>
      </c>
      <c r="G75" s="994"/>
      <c r="H75" s="994"/>
      <c r="I75" s="994"/>
      <c r="J75" s="108" t="s">
        <v>222</v>
      </c>
      <c r="K75" s="108" t="s">
        <v>223</v>
      </c>
      <c r="L75" s="108" t="s">
        <v>224</v>
      </c>
      <c r="M75" s="91" t="s">
        <v>225</v>
      </c>
      <c r="N75" s="287"/>
      <c r="O75" s="250"/>
      <c r="P75" s="5"/>
      <c r="Z75" s="5"/>
      <c r="AA75" s="546" t="s">
        <v>462</v>
      </c>
      <c r="AB75" s="546"/>
      <c r="AC75" s="546"/>
      <c r="AD75" s="546"/>
      <c r="AE75" s="546"/>
      <c r="AF75" s="546"/>
      <c r="AG75" s="546"/>
      <c r="AH75" s="546"/>
      <c r="AI75" s="547"/>
      <c r="AJ75" s="286"/>
      <c r="AK75" s="250"/>
      <c r="AY75" s="5"/>
      <c r="AZ75" s="220"/>
      <c r="BA75" s="815"/>
      <c r="BB75" s="815"/>
      <c r="BC75" s="815"/>
      <c r="BD75" s="815"/>
      <c r="BE75" s="220"/>
      <c r="BF75" s="220"/>
      <c r="BG75" s="543"/>
      <c r="BH75" s="2"/>
      <c r="BI75" s="592"/>
      <c r="BJ75" s="250"/>
      <c r="BK75" s="5"/>
    </row>
    <row r="76" spans="1:63" ht="19.5">
      <c r="A76" s="5"/>
      <c r="C76" s="5"/>
      <c r="D76" s="5"/>
      <c r="E76" s="994"/>
      <c r="F76" s="994"/>
      <c r="G76" s="994"/>
      <c r="H76" s="994"/>
      <c r="I76" s="994"/>
      <c r="J76" s="2" t="s">
        <v>226</v>
      </c>
      <c r="K76" s="89" t="s">
        <v>227</v>
      </c>
      <c r="L76" s="89" t="s">
        <v>228</v>
      </c>
      <c r="M76" s="92" t="s">
        <v>229</v>
      </c>
      <c r="N76" s="287"/>
      <c r="O76" s="250"/>
      <c r="P76" s="5"/>
      <c r="Z76" s="5"/>
      <c r="AA76" s="221" t="s">
        <v>220</v>
      </c>
      <c r="AB76" s="221" t="s">
        <v>221</v>
      </c>
      <c r="AC76" s="221"/>
      <c r="AD76" s="221"/>
      <c r="AE76" s="221"/>
      <c r="AF76" s="108" t="s">
        <v>222</v>
      </c>
      <c r="AG76" s="108" t="s">
        <v>223</v>
      </c>
      <c r="AH76" s="108" t="s">
        <v>224</v>
      </c>
      <c r="AI76" s="91" t="s">
        <v>225</v>
      </c>
      <c r="AJ76" s="287"/>
      <c r="AK76" s="250"/>
      <c r="AY76" s="5"/>
      <c r="AZ76" s="220"/>
      <c r="BA76" s="815"/>
      <c r="BB76" s="815"/>
      <c r="BC76" s="815"/>
      <c r="BD76" s="815"/>
      <c r="BE76" s="220"/>
      <c r="BF76" s="220"/>
      <c r="BG76" s="543"/>
      <c r="BH76" s="2"/>
      <c r="BI76" s="592"/>
      <c r="BJ76" s="250"/>
      <c r="BK76" s="5"/>
    </row>
    <row r="77" spans="1:63" ht="18.75">
      <c r="A77" s="5"/>
      <c r="C77" s="5"/>
      <c r="D77" s="5"/>
      <c r="E77" s="2" t="s">
        <v>432</v>
      </c>
      <c r="F77" s="807" t="s">
        <v>534</v>
      </c>
      <c r="G77" s="807"/>
      <c r="H77" s="807"/>
      <c r="I77" s="807"/>
      <c r="J77" s="2">
        <f>4.575*3.61</f>
        <v>16.515750000000001</v>
      </c>
      <c r="K77" s="2">
        <v>0</v>
      </c>
      <c r="L77" s="2">
        <v>1</v>
      </c>
      <c r="M77" s="237"/>
      <c r="N77" s="287"/>
      <c r="O77" s="250"/>
      <c r="P77" s="5"/>
      <c r="Z77" s="5"/>
      <c r="AA77" s="221"/>
      <c r="AB77" s="221"/>
      <c r="AC77" s="221"/>
      <c r="AD77" s="221"/>
      <c r="AE77" s="221"/>
      <c r="AF77" s="2" t="s">
        <v>226</v>
      </c>
      <c r="AG77" s="89" t="s">
        <v>227</v>
      </c>
      <c r="AH77" s="89" t="s">
        <v>228</v>
      </c>
      <c r="AI77" s="92" t="s">
        <v>229</v>
      </c>
      <c r="AJ77" s="287"/>
      <c r="AK77" s="250"/>
      <c r="AY77" s="5"/>
      <c r="AZ77" s="220"/>
      <c r="BA77" s="815"/>
      <c r="BB77" s="815"/>
      <c r="BC77" s="815"/>
      <c r="BD77" s="815"/>
      <c r="BE77" s="220"/>
      <c r="BF77" s="220"/>
      <c r="BG77" s="543"/>
      <c r="BH77" s="2"/>
      <c r="BI77" s="592"/>
      <c r="BJ77" s="250"/>
      <c r="BK77" s="5"/>
    </row>
    <row r="78" spans="1:63">
      <c r="A78" s="5"/>
      <c r="C78" s="5"/>
      <c r="D78" s="5"/>
      <c r="E78" s="1005"/>
      <c r="F78" s="1006"/>
      <c r="G78" s="1006"/>
      <c r="H78" s="1006"/>
      <c r="I78" s="1006"/>
      <c r="J78" s="1006"/>
      <c r="K78" s="1006"/>
      <c r="L78" s="1007"/>
      <c r="M78" s="105">
        <f>SUM(M77:M77)</f>
        <v>0</v>
      </c>
      <c r="N78" s="287"/>
      <c r="O78" s="250"/>
      <c r="P78" s="5"/>
      <c r="Z78" s="5"/>
      <c r="AA78" s="2"/>
      <c r="AB78" s="2"/>
      <c r="AC78" s="2"/>
      <c r="AD78" s="2"/>
      <c r="AE78" s="2"/>
      <c r="AF78" s="2"/>
      <c r="AG78" s="2"/>
      <c r="AH78" s="2">
        <v>1</v>
      </c>
      <c r="AI78" s="237"/>
      <c r="AJ78" s="287"/>
      <c r="AK78" s="250"/>
      <c r="AY78" s="5"/>
      <c r="AZ78" s="2"/>
      <c r="BA78" s="807"/>
      <c r="BB78" s="807"/>
      <c r="BC78" s="807"/>
      <c r="BD78" s="865"/>
      <c r="BE78" s="120"/>
      <c r="BF78" s="2"/>
      <c r="BG78" s="122"/>
      <c r="BH78" s="399"/>
      <c r="BI78" s="592"/>
      <c r="BJ78" s="250"/>
      <c r="BK78" s="5"/>
    </row>
    <row r="79" spans="1:63" ht="18">
      <c r="A79" s="5"/>
      <c r="C79" s="5"/>
      <c r="D79" s="5"/>
      <c r="E79" s="995" t="s">
        <v>463</v>
      </c>
      <c r="F79" s="996"/>
      <c r="G79" s="996"/>
      <c r="H79" s="996"/>
      <c r="I79" s="996"/>
      <c r="J79" s="996"/>
      <c r="K79" s="1028" t="s">
        <v>245</v>
      </c>
      <c r="L79" s="1028"/>
      <c r="M79" s="1129"/>
      <c r="N79" s="287"/>
      <c r="O79" s="250"/>
      <c r="P79" s="5"/>
      <c r="Z79" s="5"/>
      <c r="AA79" s="533"/>
      <c r="AB79" s="534"/>
      <c r="AC79" s="534"/>
      <c r="AD79" s="534"/>
      <c r="AE79" s="534"/>
      <c r="AF79" s="534"/>
      <c r="AG79" s="534"/>
      <c r="AH79" s="535"/>
      <c r="AI79" s="105">
        <f>SUM(AI78:AI78)</f>
        <v>0</v>
      </c>
      <c r="AJ79" s="287"/>
      <c r="AK79" s="250"/>
      <c r="AY79" s="5"/>
      <c r="AZ79" s="1005"/>
      <c r="BA79" s="1006"/>
      <c r="BB79" s="1006"/>
      <c r="BC79" s="1006"/>
      <c r="BD79" s="1006"/>
      <c r="BE79" s="1006"/>
      <c r="BF79" s="1006"/>
      <c r="BG79" s="1007"/>
      <c r="BH79" s="606"/>
      <c r="BI79" s="287"/>
      <c r="BJ79" s="250"/>
      <c r="BK79" s="5"/>
    </row>
    <row r="80" spans="1:63" ht="18">
      <c r="A80" s="5"/>
      <c r="C80" s="5"/>
      <c r="D80" s="5"/>
      <c r="E80" s="1183" t="s">
        <v>315</v>
      </c>
      <c r="F80" s="1183"/>
      <c r="G80" s="1183"/>
      <c r="H80" s="1183"/>
      <c r="I80" s="1183"/>
      <c r="J80" s="1183"/>
      <c r="K80" s="1183"/>
      <c r="L80" s="1183"/>
      <c r="M80" s="1180"/>
      <c r="N80" s="287"/>
      <c r="O80" s="250"/>
      <c r="P80" s="5"/>
      <c r="Z80" s="5"/>
      <c r="AA80" s="388" t="s">
        <v>463</v>
      </c>
      <c r="AB80" s="389"/>
      <c r="AC80" s="389"/>
      <c r="AD80" s="389"/>
      <c r="AE80" s="389"/>
      <c r="AF80" s="389"/>
      <c r="AG80" s="390" t="s">
        <v>245</v>
      </c>
      <c r="AH80" s="390"/>
      <c r="AI80" s="391"/>
      <c r="AJ80" s="287"/>
      <c r="AK80" s="250"/>
      <c r="AY80" s="5"/>
      <c r="AZ80" s="995" t="s">
        <v>463</v>
      </c>
      <c r="BA80" s="996"/>
      <c r="BB80" s="996"/>
      <c r="BC80" s="996"/>
      <c r="BD80" s="996"/>
      <c r="BE80" s="996"/>
      <c r="BF80" s="1028" t="s">
        <v>245</v>
      </c>
      <c r="BG80" s="1028"/>
      <c r="BH80" s="1129"/>
      <c r="BI80" s="287"/>
      <c r="BJ80" s="250"/>
      <c r="BK80" s="5"/>
    </row>
    <row r="81" spans="1:63" ht="18">
      <c r="A81" s="5"/>
      <c r="C81" s="5"/>
      <c r="D81" s="5"/>
      <c r="E81" s="994" t="s">
        <v>220</v>
      </c>
      <c r="F81" s="994" t="s">
        <v>249</v>
      </c>
      <c r="G81" s="994"/>
      <c r="H81" s="994"/>
      <c r="I81" s="994"/>
      <c r="J81" s="108" t="s">
        <v>222</v>
      </c>
      <c r="K81" s="108" t="s">
        <v>223</v>
      </c>
      <c r="L81" s="196" t="s">
        <v>464</v>
      </c>
      <c r="M81" s="231" t="s">
        <v>465</v>
      </c>
      <c r="N81" s="287" t="s">
        <v>535</v>
      </c>
      <c r="O81" s="250"/>
      <c r="P81" s="5"/>
      <c r="Z81" s="5"/>
      <c r="AA81" s="546" t="s">
        <v>315</v>
      </c>
      <c r="AB81" s="546"/>
      <c r="AC81" s="546"/>
      <c r="AD81" s="546"/>
      <c r="AE81" s="546"/>
      <c r="AF81" s="546"/>
      <c r="AG81" s="546"/>
      <c r="AH81" s="546"/>
      <c r="AI81" s="547"/>
      <c r="AJ81" s="287"/>
      <c r="AK81" s="250"/>
      <c r="AY81" s="5"/>
      <c r="AZ81" s="1183" t="s">
        <v>315</v>
      </c>
      <c r="BA81" s="1183"/>
      <c r="BB81" s="1183"/>
      <c r="BC81" s="1183"/>
      <c r="BD81" s="1183"/>
      <c r="BE81" s="1183"/>
      <c r="BF81" s="1183"/>
      <c r="BG81" s="1183"/>
      <c r="BH81" s="1180"/>
      <c r="BI81" s="287"/>
      <c r="BJ81" s="250"/>
      <c r="BK81" s="5"/>
    </row>
    <row r="82" spans="1:63" ht="19.5">
      <c r="A82" s="5"/>
      <c r="C82" s="5"/>
      <c r="D82" s="5"/>
      <c r="E82" s="994"/>
      <c r="F82" s="994"/>
      <c r="G82" s="994"/>
      <c r="H82" s="994"/>
      <c r="I82" s="994"/>
      <c r="J82" s="2" t="s">
        <v>226</v>
      </c>
      <c r="K82" s="89" t="s">
        <v>227</v>
      </c>
      <c r="L82" s="89" t="s">
        <v>228</v>
      </c>
      <c r="M82" s="92" t="s">
        <v>229</v>
      </c>
      <c r="N82" s="287"/>
      <c r="O82" s="250"/>
      <c r="P82" s="5"/>
      <c r="Z82" s="5"/>
      <c r="AA82" s="221" t="s">
        <v>220</v>
      </c>
      <c r="AB82" s="221" t="s">
        <v>249</v>
      </c>
      <c r="AC82" s="221"/>
      <c r="AD82" s="221"/>
      <c r="AE82" s="221"/>
      <c r="AF82" s="108" t="s">
        <v>222</v>
      </c>
      <c r="AG82" s="108" t="s">
        <v>223</v>
      </c>
      <c r="AH82" s="196" t="s">
        <v>464</v>
      </c>
      <c r="AI82" s="231" t="s">
        <v>465</v>
      </c>
      <c r="AJ82" s="287"/>
      <c r="AK82" s="250"/>
      <c r="AY82" s="5"/>
      <c r="AZ82" s="994" t="s">
        <v>220</v>
      </c>
      <c r="BA82" s="994" t="s">
        <v>249</v>
      </c>
      <c r="BB82" s="994"/>
      <c r="BC82" s="994"/>
      <c r="BD82" s="994"/>
      <c r="BE82" s="108" t="s">
        <v>222</v>
      </c>
      <c r="BF82" s="108" t="s">
        <v>223</v>
      </c>
      <c r="BG82" s="196" t="s">
        <v>464</v>
      </c>
      <c r="BH82" s="231" t="s">
        <v>465</v>
      </c>
      <c r="BI82" s="287"/>
      <c r="BJ82" s="250"/>
      <c r="BK82" s="5"/>
    </row>
    <row r="83" spans="1:63" ht="18.75">
      <c r="A83" s="5"/>
      <c r="C83" s="5"/>
      <c r="D83" s="5"/>
      <c r="E83" s="221"/>
      <c r="F83" s="1184"/>
      <c r="G83" s="1185"/>
      <c r="H83" s="1185"/>
      <c r="I83" s="1186"/>
      <c r="J83" s="2"/>
      <c r="K83" s="89"/>
      <c r="L83" s="89"/>
      <c r="M83" s="92"/>
      <c r="N83" s="287"/>
      <c r="O83" s="250"/>
      <c r="P83" s="5"/>
      <c r="Z83" s="5"/>
      <c r="AA83" s="221"/>
      <c r="AB83" s="221"/>
      <c r="AC83" s="221"/>
      <c r="AD83" s="221"/>
      <c r="AE83" s="221"/>
      <c r="AF83" s="2" t="s">
        <v>226</v>
      </c>
      <c r="AG83" s="89" t="s">
        <v>227</v>
      </c>
      <c r="AH83" s="89" t="s">
        <v>228</v>
      </c>
      <c r="AI83" s="92" t="s">
        <v>229</v>
      </c>
      <c r="AJ83" s="287"/>
      <c r="AK83" s="250"/>
      <c r="AY83" s="5"/>
      <c r="AZ83" s="994"/>
      <c r="BA83" s="994"/>
      <c r="BB83" s="994"/>
      <c r="BC83" s="994"/>
      <c r="BD83" s="994"/>
      <c r="BE83" s="2" t="s">
        <v>226</v>
      </c>
      <c r="BF83" s="89" t="s">
        <v>227</v>
      </c>
      <c r="BG83" s="89" t="s">
        <v>228</v>
      </c>
      <c r="BH83" s="92" t="s">
        <v>229</v>
      </c>
      <c r="BI83" s="287"/>
      <c r="BJ83" s="250"/>
      <c r="BK83" s="5"/>
    </row>
    <row r="84" spans="1:63">
      <c r="A84" s="5"/>
      <c r="C84" s="5"/>
      <c r="D84" s="5"/>
      <c r="E84" s="818" t="s">
        <v>318</v>
      </c>
      <c r="F84" s="818"/>
      <c r="G84" s="818"/>
      <c r="H84" s="818"/>
      <c r="I84" s="818"/>
      <c r="J84" s="818"/>
      <c r="K84" s="818"/>
      <c r="L84" s="818"/>
      <c r="M84" s="91"/>
      <c r="N84" s="287"/>
      <c r="O84" s="250"/>
      <c r="P84" s="5"/>
      <c r="Z84" s="5"/>
      <c r="AA84" s="221"/>
      <c r="AB84" s="862" t="s">
        <v>517</v>
      </c>
      <c r="AC84" s="863"/>
      <c r="AD84" s="863"/>
      <c r="AE84" s="864"/>
      <c r="AF84" s="1">
        <f>3.505*3.78</f>
        <v>13.248899999999999</v>
      </c>
      <c r="AG84" s="1">
        <f>AH95</f>
        <v>1.8115853807007718</v>
      </c>
      <c r="AH84" s="1">
        <f>(AI102-26)/AI103</f>
        <v>0.25</v>
      </c>
      <c r="AI84" s="119">
        <f>AF84*AG84*AH84</f>
        <v>6.0003783875916135</v>
      </c>
      <c r="AJ84" s="287"/>
      <c r="AK84" s="250"/>
      <c r="AY84" s="5"/>
      <c r="AZ84" s="221"/>
      <c r="BA84" s="1184"/>
      <c r="BB84" s="1185"/>
      <c r="BC84" s="1185"/>
      <c r="BD84" s="1186"/>
      <c r="BE84" s="2"/>
      <c r="BF84" s="89"/>
      <c r="BG84" s="89"/>
      <c r="BH84" s="92"/>
      <c r="BI84" s="287"/>
      <c r="BJ84" s="250"/>
      <c r="BK84" s="5"/>
    </row>
    <row r="85" spans="1:63">
      <c r="A85" s="5"/>
      <c r="C85" s="5"/>
      <c r="D85" s="5"/>
      <c r="E85" s="1003" t="s">
        <v>466</v>
      </c>
      <c r="F85" s="1003"/>
      <c r="G85" s="1003"/>
      <c r="H85" s="1003"/>
      <c r="I85" s="1003"/>
      <c r="J85" s="1003"/>
      <c r="K85" s="1003"/>
      <c r="L85" s="1003"/>
      <c r="M85" s="1004"/>
      <c r="N85" s="287"/>
      <c r="O85" s="250"/>
      <c r="P85" s="5"/>
      <c r="Z85" s="5"/>
      <c r="AA85" s="351" t="s">
        <v>318</v>
      </c>
      <c r="AB85" s="351"/>
      <c r="AC85" s="351"/>
      <c r="AD85" s="351"/>
      <c r="AE85" s="351"/>
      <c r="AF85" s="351"/>
      <c r="AG85" s="351"/>
      <c r="AH85" s="351"/>
      <c r="AI85" s="92"/>
      <c r="AJ85" s="287"/>
      <c r="AK85" s="250"/>
      <c r="AY85" s="5"/>
      <c r="AZ85" s="818" t="s">
        <v>318</v>
      </c>
      <c r="BA85" s="818"/>
      <c r="BB85" s="818"/>
      <c r="BC85" s="818"/>
      <c r="BD85" s="818"/>
      <c r="BE85" s="818"/>
      <c r="BF85" s="818"/>
      <c r="BG85" s="818"/>
      <c r="BH85" s="91"/>
      <c r="BI85" s="287"/>
      <c r="BJ85" s="250"/>
      <c r="BK85" s="5"/>
    </row>
    <row r="86" spans="1:63">
      <c r="A86" s="5"/>
      <c r="C86" s="5"/>
      <c r="D86" s="5"/>
      <c r="E86" s="1180" t="s">
        <v>467</v>
      </c>
      <c r="F86" s="1181"/>
      <c r="G86" s="1181"/>
      <c r="H86" s="1181"/>
      <c r="I86" s="1181"/>
      <c r="J86" s="1181"/>
      <c r="K86" s="1181"/>
      <c r="L86" s="1181"/>
      <c r="M86" s="1181"/>
      <c r="N86" s="287"/>
      <c r="O86" s="250"/>
      <c r="P86" s="5"/>
      <c r="Z86" s="5"/>
      <c r="AA86" s="376" t="s">
        <v>466</v>
      </c>
      <c r="AB86" s="376"/>
      <c r="AC86" s="376"/>
      <c r="AD86" s="376"/>
      <c r="AE86" s="376"/>
      <c r="AF86" s="376"/>
      <c r="AG86" s="376"/>
      <c r="AH86" s="376"/>
      <c r="AI86" s="377"/>
      <c r="AJ86" s="287"/>
      <c r="AK86" s="250"/>
      <c r="AY86" s="5"/>
      <c r="AZ86" s="1003" t="s">
        <v>466</v>
      </c>
      <c r="BA86" s="1003"/>
      <c r="BB86" s="1003"/>
      <c r="BC86" s="1003"/>
      <c r="BD86" s="1003"/>
      <c r="BE86" s="1003"/>
      <c r="BF86" s="1003"/>
      <c r="BG86" s="1003"/>
      <c r="BH86" s="1004"/>
      <c r="BI86" s="287"/>
      <c r="BJ86" s="250"/>
      <c r="BK86" s="5"/>
    </row>
    <row r="87" spans="1:63" ht="18">
      <c r="A87" s="5"/>
      <c r="C87" s="5"/>
      <c r="D87" s="5"/>
      <c r="E87" s="994" t="s">
        <v>220</v>
      </c>
      <c r="F87" s="994" t="s">
        <v>249</v>
      </c>
      <c r="G87" s="994"/>
      <c r="H87" s="994"/>
      <c r="I87" s="994"/>
      <c r="J87" s="196" t="s">
        <v>222</v>
      </c>
      <c r="K87" s="196" t="s">
        <v>223</v>
      </c>
      <c r="L87" s="108" t="s">
        <v>468</v>
      </c>
      <c r="M87" s="109" t="s">
        <v>225</v>
      </c>
      <c r="N87" s="287"/>
      <c r="O87" s="250"/>
      <c r="P87" s="5"/>
      <c r="Z87" s="5"/>
      <c r="AA87" s="547" t="s">
        <v>467</v>
      </c>
      <c r="AB87" s="548"/>
      <c r="AC87" s="548"/>
      <c r="AD87" s="548"/>
      <c r="AE87" s="548"/>
      <c r="AF87" s="548"/>
      <c r="AG87" s="548"/>
      <c r="AH87" s="548"/>
      <c r="AI87" s="548"/>
      <c r="AJ87" s="287"/>
      <c r="AK87" s="250"/>
      <c r="AY87" s="5"/>
      <c r="AZ87" s="1180" t="s">
        <v>467</v>
      </c>
      <c r="BA87" s="1181"/>
      <c r="BB87" s="1181"/>
      <c r="BC87" s="1181"/>
      <c r="BD87" s="1181"/>
      <c r="BE87" s="1181"/>
      <c r="BF87" s="1181"/>
      <c r="BG87" s="1181"/>
      <c r="BH87" s="1181"/>
      <c r="BI87" s="287"/>
      <c r="BJ87" s="250"/>
      <c r="BK87" s="5"/>
    </row>
    <row r="88" spans="1:63" ht="18">
      <c r="C88" s="5"/>
      <c r="D88" s="5"/>
      <c r="E88" s="994"/>
      <c r="F88" s="994"/>
      <c r="G88" s="994"/>
      <c r="H88" s="994"/>
      <c r="I88" s="994"/>
      <c r="J88" s="62" t="s">
        <v>226</v>
      </c>
      <c r="K88" s="197" t="s">
        <v>227</v>
      </c>
      <c r="L88" s="197" t="s">
        <v>228</v>
      </c>
      <c r="M88" s="232" t="s">
        <v>229</v>
      </c>
      <c r="N88" s="287"/>
      <c r="O88" s="250"/>
      <c r="P88" s="5"/>
      <c r="Z88" s="5"/>
      <c r="AA88" s="221" t="s">
        <v>220</v>
      </c>
      <c r="AB88" s="221" t="s">
        <v>249</v>
      </c>
      <c r="AC88" s="221"/>
      <c r="AD88" s="221"/>
      <c r="AE88" s="221"/>
      <c r="AF88" s="196" t="s">
        <v>222</v>
      </c>
      <c r="AG88" s="196" t="s">
        <v>223</v>
      </c>
      <c r="AH88" s="108" t="s">
        <v>468</v>
      </c>
      <c r="AI88" s="109" t="s">
        <v>225</v>
      </c>
      <c r="AJ88" s="287"/>
      <c r="AK88" s="250"/>
      <c r="AY88" s="5"/>
      <c r="AZ88" s="994" t="s">
        <v>220</v>
      </c>
      <c r="BA88" s="994" t="s">
        <v>249</v>
      </c>
      <c r="BB88" s="994"/>
      <c r="BC88" s="994"/>
      <c r="BD88" s="994"/>
      <c r="BE88" s="196" t="s">
        <v>222</v>
      </c>
      <c r="BF88" s="196" t="s">
        <v>223</v>
      </c>
      <c r="BG88" s="108" t="s">
        <v>468</v>
      </c>
      <c r="BH88" s="109" t="s">
        <v>225</v>
      </c>
      <c r="BI88" s="287"/>
      <c r="BJ88" s="250"/>
      <c r="BK88" s="5"/>
    </row>
    <row r="89" spans="1:63" ht="18">
      <c r="C89" s="5"/>
      <c r="D89" s="5"/>
      <c r="E89" s="1"/>
      <c r="F89" s="862"/>
      <c r="G89" s="863"/>
      <c r="H89" s="863"/>
      <c r="I89" s="864"/>
      <c r="J89" s="1"/>
      <c r="K89" s="1"/>
      <c r="L89" s="1"/>
      <c r="M89" s="119"/>
      <c r="N89" s="287"/>
      <c r="O89" s="250"/>
      <c r="P89" s="5"/>
      <c r="Z89" s="5"/>
      <c r="AA89" s="221"/>
      <c r="AB89" s="221"/>
      <c r="AC89" s="221"/>
      <c r="AD89" s="221"/>
      <c r="AE89" s="221"/>
      <c r="AF89" s="62" t="s">
        <v>226</v>
      </c>
      <c r="AG89" s="197" t="s">
        <v>227</v>
      </c>
      <c r="AH89" s="197" t="s">
        <v>228</v>
      </c>
      <c r="AI89" s="232" t="s">
        <v>229</v>
      </c>
      <c r="AJ89" s="287"/>
      <c r="AK89" s="250"/>
      <c r="AY89" s="5"/>
      <c r="AZ89" s="994"/>
      <c r="BA89" s="994"/>
      <c r="BB89" s="994"/>
      <c r="BC89" s="994"/>
      <c r="BD89" s="994"/>
      <c r="BE89" s="62" t="s">
        <v>226</v>
      </c>
      <c r="BF89" s="197" t="s">
        <v>227</v>
      </c>
      <c r="BG89" s="197" t="s">
        <v>228</v>
      </c>
      <c r="BH89" s="232" t="s">
        <v>229</v>
      </c>
      <c r="BI89" s="287"/>
      <c r="BJ89" s="250"/>
      <c r="BK89" s="5"/>
    </row>
    <row r="90" spans="1:63">
      <c r="C90" s="5"/>
      <c r="D90" s="5"/>
      <c r="P90" s="5"/>
      <c r="Z90" s="5"/>
      <c r="AA90" s="1"/>
      <c r="AB90" s="347"/>
      <c r="AC90" s="366"/>
      <c r="AD90" s="366"/>
      <c r="AE90" s="367"/>
      <c r="AF90" s="1"/>
      <c r="AG90" s="1"/>
      <c r="AH90" s="1"/>
      <c r="AI90" s="119"/>
      <c r="AJ90" s="287"/>
      <c r="AK90" s="250"/>
      <c r="AY90" s="5"/>
      <c r="AZ90" s="1"/>
      <c r="BA90" s="862"/>
      <c r="BB90" s="863"/>
      <c r="BC90" s="863"/>
      <c r="BD90" s="864"/>
      <c r="BE90" s="1"/>
      <c r="BF90" s="1"/>
      <c r="BG90" s="1"/>
      <c r="BH90" s="119"/>
      <c r="BI90" s="287"/>
      <c r="BJ90" s="250"/>
      <c r="BK90" s="5"/>
    </row>
    <row r="91" spans="1:63" ht="18.75">
      <c r="C91" s="5"/>
      <c r="D91" s="5"/>
      <c r="P91" s="5"/>
      <c r="Z91" s="5"/>
      <c r="AA91" s="720" t="s">
        <v>469</v>
      </c>
      <c r="AB91" s="721"/>
      <c r="AC91" s="721"/>
      <c r="AD91" s="721"/>
      <c r="AE91" s="721"/>
      <c r="AF91" s="722"/>
      <c r="AG91" s="357" t="s">
        <v>288</v>
      </c>
      <c r="AH91" s="358"/>
      <c r="AI91" s="358"/>
      <c r="AJ91" s="287"/>
      <c r="AK91" s="250"/>
      <c r="AY91" s="5"/>
      <c r="AZ91" s="1174" t="s">
        <v>469</v>
      </c>
      <c r="BA91" s="1175"/>
      <c r="BB91" s="1175"/>
      <c r="BC91" s="1175"/>
      <c r="BD91" s="1175"/>
      <c r="BE91" s="1176"/>
      <c r="BF91" s="1030" t="s">
        <v>288</v>
      </c>
      <c r="BG91" s="1139"/>
      <c r="BH91" s="1139"/>
      <c r="BI91" s="287"/>
      <c r="BJ91" s="250"/>
      <c r="BK91" s="5"/>
    </row>
    <row r="92" spans="1:63" ht="18.75">
      <c r="C92" s="5"/>
      <c r="D92" s="5"/>
      <c r="E92" s="1174" t="s">
        <v>469</v>
      </c>
      <c r="F92" s="1175"/>
      <c r="G92" s="1175"/>
      <c r="H92" s="1175"/>
      <c r="I92" s="1175"/>
      <c r="J92" s="1176"/>
      <c r="K92" s="1030" t="s">
        <v>288</v>
      </c>
      <c r="L92" s="1139"/>
      <c r="M92" s="1139"/>
      <c r="N92" s="287"/>
      <c r="O92" s="250"/>
      <c r="P92" s="5"/>
      <c r="Z92" s="5"/>
      <c r="AA92" s="594" t="s">
        <v>470</v>
      </c>
      <c r="AB92" s="595"/>
      <c r="AC92" s="595"/>
      <c r="AD92" s="595"/>
      <c r="AE92" s="595"/>
      <c r="AF92" s="595"/>
      <c r="AG92" s="596"/>
      <c r="AH92" s="101"/>
      <c r="AI92" s="227"/>
      <c r="AJ92" s="287"/>
      <c r="AK92" s="250"/>
      <c r="AY92" s="5"/>
      <c r="AZ92" s="1177" t="s">
        <v>470</v>
      </c>
      <c r="BA92" s="1178"/>
      <c r="BB92" s="1178"/>
      <c r="BC92" s="1178"/>
      <c r="BD92" s="1178"/>
      <c r="BE92" s="1178"/>
      <c r="BF92" s="1179"/>
      <c r="BG92" s="101"/>
      <c r="BH92" s="227"/>
      <c r="BI92" s="287"/>
      <c r="BJ92" s="250"/>
      <c r="BK92" s="5"/>
    </row>
    <row r="93" spans="1:63" ht="18">
      <c r="C93" s="5"/>
      <c r="D93" s="5"/>
      <c r="E93" s="594" t="s">
        <v>470</v>
      </c>
      <c r="F93" s="595"/>
      <c r="G93" s="595"/>
      <c r="H93" s="595"/>
      <c r="I93" s="595"/>
      <c r="J93" s="595"/>
      <c r="K93" s="596"/>
      <c r="L93" s="101"/>
      <c r="M93" s="227"/>
      <c r="N93" s="287"/>
      <c r="O93" s="250"/>
      <c r="P93" s="5"/>
      <c r="Z93" s="5"/>
      <c r="AA93" s="359" t="s">
        <v>220</v>
      </c>
      <c r="AB93" s="360" t="s">
        <v>221</v>
      </c>
      <c r="AC93" s="361"/>
      <c r="AD93" s="361"/>
      <c r="AE93" s="361"/>
      <c r="AF93" s="196" t="s">
        <v>232</v>
      </c>
      <c r="AG93" s="196" t="s">
        <v>222</v>
      </c>
      <c r="AH93" s="196" t="s">
        <v>223</v>
      </c>
      <c r="AI93" s="231" t="s">
        <v>233</v>
      </c>
      <c r="AJ93" s="287"/>
      <c r="AK93" s="250"/>
      <c r="AY93" s="5"/>
      <c r="AZ93" s="1008" t="s">
        <v>220</v>
      </c>
      <c r="BA93" s="1009" t="s">
        <v>221</v>
      </c>
      <c r="BB93" s="1010"/>
      <c r="BC93" s="1010"/>
      <c r="BD93" s="1010"/>
      <c r="BE93" s="196" t="s">
        <v>222</v>
      </c>
      <c r="BF93" s="196" t="s">
        <v>223</v>
      </c>
      <c r="BG93" t="s">
        <v>536</v>
      </c>
      <c r="BH93" s="231" t="s">
        <v>233</v>
      </c>
      <c r="BI93" s="287"/>
      <c r="BJ93" s="250"/>
      <c r="BK93" s="5"/>
    </row>
    <row r="94" spans="1:63" ht="18">
      <c r="C94" s="5"/>
      <c r="D94" s="5"/>
      <c r="E94" s="359" t="s">
        <v>220</v>
      </c>
      <c r="F94" s="360" t="s">
        <v>221</v>
      </c>
      <c r="G94" s="361"/>
      <c r="H94" s="361"/>
      <c r="I94" s="361"/>
      <c r="J94" s="196" t="s">
        <v>232</v>
      </c>
      <c r="K94" s="196" t="s">
        <v>222</v>
      </c>
      <c r="L94" s="196" t="s">
        <v>223</v>
      </c>
      <c r="M94" s="231" t="s">
        <v>233</v>
      </c>
      <c r="N94" s="287"/>
      <c r="O94" s="250"/>
      <c r="P94" s="5"/>
      <c r="Z94" s="5"/>
      <c r="AA94" s="155"/>
      <c r="AB94" s="362"/>
      <c r="AC94" s="363"/>
      <c r="AD94" s="363"/>
      <c r="AE94" s="363"/>
      <c r="AF94" s="62" t="s">
        <v>228</v>
      </c>
      <c r="AG94" s="62" t="s">
        <v>226</v>
      </c>
      <c r="AH94" s="197" t="s">
        <v>227</v>
      </c>
      <c r="AI94" s="232" t="s">
        <v>229</v>
      </c>
      <c r="AJ94" s="287"/>
      <c r="AK94" s="250"/>
      <c r="AY94" s="5"/>
      <c r="AZ94" s="975"/>
      <c r="BA94" s="977"/>
      <c r="BB94" s="978"/>
      <c r="BC94" s="978"/>
      <c r="BD94" s="978"/>
      <c r="BE94" s="63" t="s">
        <v>226</v>
      </c>
      <c r="BF94" s="513" t="s">
        <v>227</v>
      </c>
      <c r="BH94" s="727" t="s">
        <v>229</v>
      </c>
      <c r="BI94" s="287"/>
      <c r="BJ94" s="250"/>
      <c r="BK94" s="5"/>
    </row>
    <row r="95" spans="1:63" ht="18">
      <c r="C95" s="5"/>
      <c r="D95" s="5"/>
      <c r="E95" s="155"/>
      <c r="F95" s="362"/>
      <c r="G95" s="363"/>
      <c r="H95" s="363"/>
      <c r="I95" s="363"/>
      <c r="J95" s="62" t="s">
        <v>228</v>
      </c>
      <c r="K95" s="62" t="s">
        <v>226</v>
      </c>
      <c r="L95" s="197" t="s">
        <v>227</v>
      </c>
      <c r="M95" s="232" t="s">
        <v>229</v>
      </c>
      <c r="N95" s="287"/>
      <c r="O95" s="250"/>
      <c r="P95" s="5"/>
      <c r="Z95" s="5"/>
      <c r="AA95" s="604" t="s">
        <v>383</v>
      </c>
      <c r="AB95" s="587" t="s">
        <v>236</v>
      </c>
      <c r="AC95" s="588"/>
      <c r="AD95" s="588"/>
      <c r="AE95" s="589"/>
      <c r="AF95" s="2">
        <f>(AI102-26)/AI103</f>
        <v>0.25</v>
      </c>
      <c r="AG95" s="63">
        <f>(1.6+10.75)*3.945-AG96</f>
        <v>47.076449999999994</v>
      </c>
      <c r="AH95" s="513">
        <f>AG38</f>
        <v>1.8115853807007718</v>
      </c>
      <c r="AI95" s="728">
        <f>PRODUCT(AF95:AH95)</f>
        <v>21.320752148822709</v>
      </c>
      <c r="AJ95" s="592"/>
      <c r="AK95" s="250"/>
      <c r="AY95" s="5"/>
      <c r="AZ95" s="221" t="s">
        <v>432</v>
      </c>
      <c r="BA95" s="862" t="s">
        <v>519</v>
      </c>
      <c r="BB95" s="863"/>
      <c r="BC95" s="863"/>
      <c r="BD95" s="864"/>
      <c r="BE95" s="245">
        <f>2.25 *3.94</f>
        <v>8.8650000000000002</v>
      </c>
      <c r="BF95" s="245">
        <f>BF28</f>
        <v>1.8115853807007718</v>
      </c>
      <c r="BG95" s="245">
        <f>(24-26)/(BH109)</f>
        <v>-0.25</v>
      </c>
      <c r="BH95" s="119">
        <f>BE95*BF95*BG95</f>
        <v>-4.0149260999780854</v>
      </c>
      <c r="BI95" s="287"/>
      <c r="BJ95" s="250"/>
      <c r="BK95" s="5"/>
    </row>
    <row r="96" spans="1:63">
      <c r="C96" s="5"/>
      <c r="D96" s="5"/>
      <c r="E96" s="640"/>
      <c r="F96" s="362" t="s">
        <v>537</v>
      </c>
      <c r="G96" s="363"/>
      <c r="H96" s="363"/>
      <c r="I96" s="363"/>
      <c r="J96" s="62">
        <f>(M$105-L111)/M$106</f>
        <v>1</v>
      </c>
      <c r="K96" s="62">
        <f t="shared" ref="K96:L98" si="0">H20</f>
        <v>19.7</v>
      </c>
      <c r="L96" s="197">
        <f t="shared" si="0"/>
        <v>2.642391922017747</v>
      </c>
      <c r="M96" s="232">
        <f>J96*K96*L96</f>
        <v>52.055120863749615</v>
      </c>
      <c r="N96" s="287"/>
      <c r="O96" s="250"/>
      <c r="P96" s="5"/>
      <c r="Z96" s="5"/>
      <c r="AA96" s="221" t="s">
        <v>383</v>
      </c>
      <c r="AB96" s="541" t="s">
        <v>216</v>
      </c>
      <c r="AC96" s="544"/>
      <c r="AD96" s="544"/>
      <c r="AE96" s="544"/>
      <c r="AF96" s="2">
        <f>(AI102-26)/AI103</f>
        <v>0.25</v>
      </c>
      <c r="AG96" s="63">
        <f>0.81*2.03</f>
        <v>1.6442999999999999</v>
      </c>
      <c r="AH96" s="513">
        <v>2.5</v>
      </c>
      <c r="AI96" s="728">
        <f>PRODUCT(AF96:AH96)</f>
        <v>1.0276874999999999</v>
      </c>
      <c r="AJ96" s="592"/>
      <c r="AK96" s="250"/>
      <c r="AY96" s="5"/>
      <c r="BA96" s="862" t="s">
        <v>520</v>
      </c>
      <c r="BB96" s="863"/>
      <c r="BC96" s="863"/>
      <c r="BD96" s="864"/>
      <c r="BE96" s="245">
        <f>4.67*3.94</f>
        <v>18.399799999999999</v>
      </c>
      <c r="BF96">
        <f>BF29</f>
        <v>1.7703177837995205</v>
      </c>
      <c r="BG96" s="245">
        <f>(24-26)/(BH109)</f>
        <v>-0.25</v>
      </c>
      <c r="BH96" s="119">
        <f>BE96*BE97*BG96</f>
        <v>-35.341415849999997</v>
      </c>
      <c r="BK96" s="5"/>
    </row>
    <row r="97" spans="3:63">
      <c r="C97" s="5"/>
      <c r="D97" s="5"/>
      <c r="E97" s="640"/>
      <c r="F97" s="362" t="s">
        <v>538</v>
      </c>
      <c r="G97" s="363"/>
      <c r="H97" s="363"/>
      <c r="I97" s="363"/>
      <c r="J97" s="62">
        <f>(M$105-L112)/M$106</f>
        <v>0.16666666666666666</v>
      </c>
      <c r="K97" s="62">
        <f t="shared" si="0"/>
        <v>15.1296</v>
      </c>
      <c r="L97" s="197">
        <f t="shared" si="0"/>
        <v>2.642391922017747</v>
      </c>
      <c r="M97" s="232">
        <f t="shared" ref="M97:M100" si="1">J97*K97*L97</f>
        <v>6.6630554705599501</v>
      </c>
      <c r="N97" s="287"/>
      <c r="O97" s="250"/>
      <c r="P97" s="5"/>
      <c r="Z97" s="5"/>
      <c r="AA97" s="605" t="s">
        <v>387</v>
      </c>
      <c r="AB97" s="981" t="s">
        <v>525</v>
      </c>
      <c r="AC97" s="982"/>
      <c r="AD97" s="982"/>
      <c r="AE97" s="983"/>
      <c r="AF97" s="1">
        <f>(AI102-26)/AI103</f>
        <v>0.25</v>
      </c>
      <c r="AG97" s="62">
        <f>5.1*3.78</f>
        <v>19.277999999999999</v>
      </c>
      <c r="AH97" s="197">
        <f>AG84</f>
        <v>1.8115853807007718</v>
      </c>
      <c r="AI97" s="92">
        <f>AF97*AG97*AH97</f>
        <v>8.7309357422873699</v>
      </c>
      <c r="AJ97" s="592"/>
      <c r="AK97" s="250"/>
      <c r="AY97" s="5"/>
      <c r="BA97" s="981" t="s">
        <v>345</v>
      </c>
      <c r="BB97" s="982"/>
      <c r="BC97" s="982"/>
      <c r="BD97" s="983"/>
      <c r="BE97" s="62">
        <f>1.95*3.94</f>
        <v>7.6829999999999998</v>
      </c>
      <c r="BF97">
        <f>BF95</f>
        <v>1.8115853807007718</v>
      </c>
      <c r="BG97" s="197">
        <f>(BH108-25)/BH107</f>
        <v>-3.125E-2</v>
      </c>
      <c r="BH97" s="92">
        <f>BF97*BE97*BG97</f>
        <v>-0.43495032749762591</v>
      </c>
      <c r="BK97" s="5"/>
    </row>
    <row r="98" spans="3:63" ht="18">
      <c r="C98" s="5"/>
      <c r="D98" s="5"/>
      <c r="E98" s="640"/>
      <c r="F98" s="362" t="s">
        <v>294</v>
      </c>
      <c r="G98" s="363"/>
      <c r="H98" s="363"/>
      <c r="I98" s="363"/>
      <c r="J98" s="62">
        <f>(M$105-L113)/M$106</f>
        <v>1</v>
      </c>
      <c r="K98" s="62">
        <f t="shared" si="0"/>
        <v>34.323100000000004</v>
      </c>
      <c r="L98" s="197">
        <f t="shared" si="0"/>
        <v>0.39937430012814151</v>
      </c>
      <c r="M98" s="232">
        <f t="shared" si="1"/>
        <v>13.707764040728215</v>
      </c>
      <c r="N98" s="287"/>
      <c r="O98" s="250"/>
      <c r="P98" s="5"/>
      <c r="Z98" s="5"/>
      <c r="AA98" s="598" t="s">
        <v>475</v>
      </c>
      <c r="AB98" s="15"/>
      <c r="AC98" s="15"/>
      <c r="AD98" s="15"/>
      <c r="AE98" s="15"/>
      <c r="AF98" s="15"/>
      <c r="AG98" s="599"/>
      <c r="AH98" s="464" t="s">
        <v>256</v>
      </c>
      <c r="AI98" s="269">
        <f>AI95+AI96+AI97</f>
        <v>31.079375391110077</v>
      </c>
      <c r="AJ98" s="592"/>
      <c r="AK98" s="250"/>
      <c r="AY98" s="5"/>
      <c r="BA98" s="981" t="s">
        <v>528</v>
      </c>
      <c r="BB98" s="982"/>
      <c r="BC98" s="982"/>
      <c r="BD98" s="983"/>
      <c r="BE98" s="62">
        <f>3.54*3.94</f>
        <v>13.9476</v>
      </c>
      <c r="BF98">
        <f>BF95</f>
        <v>1.8115853807007718</v>
      </c>
      <c r="BG98" s="259">
        <f>(24-26)/(BH109)</f>
        <v>-0.25</v>
      </c>
      <c r="BH98" s="92">
        <f>BF98*BE98*BG98</f>
        <v>-6.3168170639655212</v>
      </c>
      <c r="BK98" s="5"/>
    </row>
    <row r="99" spans="3:63" ht="18">
      <c r="C99" s="5"/>
      <c r="D99" s="5"/>
      <c r="E99" s="640"/>
      <c r="F99" s="362" t="s">
        <v>345</v>
      </c>
      <c r="G99" s="363"/>
      <c r="H99" s="363"/>
      <c r="I99" s="363"/>
      <c r="J99" s="62">
        <f>(M$105-L114)/M$106</f>
        <v>0.16666666666666666</v>
      </c>
      <c r="K99" s="62">
        <f>I36</f>
        <v>11.82</v>
      </c>
      <c r="L99" s="197">
        <f>J36</f>
        <v>1.8115853807007718</v>
      </c>
      <c r="M99" s="232">
        <f t="shared" si="1"/>
        <v>3.5688231999805202</v>
      </c>
      <c r="N99" s="287"/>
      <c r="O99" s="250"/>
      <c r="P99" s="5"/>
      <c r="Z99" s="5"/>
      <c r="AA99" s="600" t="s">
        <v>476</v>
      </c>
      <c r="AB99" s="601"/>
      <c r="AC99" s="601"/>
      <c r="AD99" s="601"/>
      <c r="AE99" s="602"/>
      <c r="AF99" s="355" t="s">
        <v>259</v>
      </c>
      <c r="AG99" s="355"/>
      <c r="AH99" s="355"/>
      <c r="AI99" s="270">
        <f>AI98+AI84</f>
        <v>37.079753778701686</v>
      </c>
      <c r="AJ99" s="287"/>
      <c r="AK99" s="250"/>
      <c r="AY99" s="5"/>
      <c r="BA99" t="s">
        <v>394</v>
      </c>
      <c r="BE99" s="63">
        <f>0.81*2.03</f>
        <v>1.6442999999999999</v>
      </c>
      <c r="BF99">
        <f>2.5</f>
        <v>2.5</v>
      </c>
      <c r="BG99" s="197">
        <f>(BH108-25)/BH107</f>
        <v>-3.125E-2</v>
      </c>
      <c r="BH99" s="92">
        <f>BF99*BE99*BG99</f>
        <v>-0.12846093749999998</v>
      </c>
      <c r="BK99" s="5"/>
    </row>
    <row r="100" spans="3:63" ht="15.75" customHeight="1">
      <c r="C100" s="5"/>
      <c r="D100" s="5"/>
      <c r="F100" s="346" t="s">
        <v>539</v>
      </c>
      <c r="G100" s="629"/>
      <c r="H100" s="629"/>
      <c r="I100" s="630"/>
      <c r="J100" s="62">
        <f>(M$105-L114)/M$106</f>
        <v>0.16666666666666666</v>
      </c>
      <c r="K100" s="62">
        <f>I37</f>
        <v>1.64</v>
      </c>
      <c r="L100" s="197">
        <f>J37</f>
        <v>2.5</v>
      </c>
      <c r="M100" s="232">
        <f t="shared" si="1"/>
        <v>0.68333333333333335</v>
      </c>
      <c r="N100" s="287"/>
      <c r="O100" s="250"/>
      <c r="P100" s="5"/>
      <c r="Z100" s="5"/>
      <c r="AA100" s="104" t="s">
        <v>260</v>
      </c>
      <c r="AB100" s="103"/>
      <c r="AC100" s="103"/>
      <c r="AD100" s="103"/>
      <c r="AE100" s="103"/>
      <c r="AF100" s="103"/>
      <c r="AG100" s="103"/>
      <c r="AH100" s="103"/>
      <c r="AI100" s="103"/>
      <c r="AJ100" s="287"/>
      <c r="AK100" s="250"/>
      <c r="AY100" s="5"/>
      <c r="BA100" s="862" t="s">
        <v>521</v>
      </c>
      <c r="BB100" s="863"/>
      <c r="BC100" s="863"/>
      <c r="BD100" s="864"/>
      <c r="BE100" s="245">
        <f>3.89*3.94</f>
        <v>15.326600000000001</v>
      </c>
      <c r="BF100" s="245">
        <f>Parois!L98</f>
        <v>0.25294117647058822</v>
      </c>
      <c r="BG100" s="245">
        <f>(24-25)/(BH109)</f>
        <v>-0.125</v>
      </c>
      <c r="BH100" s="119">
        <f>BE100*BF100*BG100</f>
        <v>-0.48459102941176474</v>
      </c>
      <c r="BK100" s="5"/>
    </row>
    <row r="101" spans="3:63" ht="19.5">
      <c r="C101" s="5"/>
      <c r="D101" s="5"/>
      <c r="E101" s="598" t="s">
        <v>475</v>
      </c>
      <c r="F101" s="15"/>
      <c r="G101" s="15"/>
      <c r="H101" s="15"/>
      <c r="I101" s="15"/>
      <c r="J101" s="15"/>
      <c r="K101" s="599"/>
      <c r="L101" s="88" t="s">
        <v>256</v>
      </c>
      <c r="M101" s="1"/>
      <c r="N101" s="287">
        <f>SUM(M96:M100)</f>
        <v>76.678096908351634</v>
      </c>
      <c r="O101" s="250"/>
      <c r="P101" s="5"/>
      <c r="Z101" s="5"/>
      <c r="AA101" s="351" t="s">
        <v>6</v>
      </c>
      <c r="AB101" s="351"/>
      <c r="AC101" s="351"/>
      <c r="AD101" s="351"/>
      <c r="AE101" s="351"/>
      <c r="AF101" s="351"/>
      <c r="AG101" s="1" t="s">
        <v>261</v>
      </c>
      <c r="AH101" s="1" t="s">
        <v>262</v>
      </c>
      <c r="AI101" s="119">
        <v>32</v>
      </c>
      <c r="AJ101" s="287"/>
      <c r="AK101" s="250"/>
      <c r="AY101" s="5"/>
      <c r="BA101" s="1238" t="s">
        <v>340</v>
      </c>
      <c r="BB101" s="1239"/>
      <c r="BC101" s="1239"/>
      <c r="BD101" s="1240"/>
      <c r="BE101" s="1">
        <f>(5.84*4.72)-(0.1*1.95)</f>
        <v>27.369799999999998</v>
      </c>
      <c r="BF101" s="1">
        <f>BF31</f>
        <v>0.39937430012814151</v>
      </c>
      <c r="BG101" s="1">
        <f>(24-20)/(BH109)</f>
        <v>0.5</v>
      </c>
      <c r="BH101">
        <f>BE101*BF101*BG101</f>
        <v>5.4653973598236032</v>
      </c>
      <c r="BK101" s="5"/>
    </row>
    <row r="102" spans="3:63" ht="19.5">
      <c r="C102" s="5"/>
      <c r="D102" s="5"/>
      <c r="E102" s="600" t="s">
        <v>476</v>
      </c>
      <c r="F102" s="601"/>
      <c r="G102" s="601"/>
      <c r="H102" s="601"/>
      <c r="I102" s="602"/>
      <c r="J102" s="355" t="s">
        <v>259</v>
      </c>
      <c r="K102" s="355"/>
      <c r="L102" s="355"/>
      <c r="M102" s="119"/>
      <c r="O102" s="250"/>
      <c r="P102" s="5"/>
      <c r="Z102" s="5"/>
      <c r="AA102" s="352" t="s">
        <v>264</v>
      </c>
      <c r="AB102" s="352"/>
      <c r="AC102" s="352"/>
      <c r="AD102" s="352"/>
      <c r="AE102" s="352"/>
      <c r="AF102" s="352"/>
      <c r="AG102" s="1" t="s">
        <v>265</v>
      </c>
      <c r="AH102" s="1" t="s">
        <v>262</v>
      </c>
      <c r="AI102" s="119">
        <v>24</v>
      </c>
      <c r="AJ102" s="287"/>
      <c r="AK102" s="250"/>
      <c r="AY102" s="5"/>
      <c r="BK102" s="5"/>
    </row>
    <row r="103" spans="3:63" ht="19.5">
      <c r="C103" s="5"/>
      <c r="D103" s="5"/>
      <c r="E103" s="104" t="s">
        <v>260</v>
      </c>
      <c r="F103" s="103"/>
      <c r="G103" s="103"/>
      <c r="H103" s="103"/>
      <c r="I103" s="103"/>
      <c r="J103" s="103"/>
      <c r="K103" s="103"/>
      <c r="L103" s="103"/>
      <c r="M103" s="103"/>
      <c r="N103" s="288"/>
      <c r="O103" s="250"/>
      <c r="P103" s="5"/>
      <c r="Z103" s="5"/>
      <c r="AA103" s="353" t="s">
        <v>266</v>
      </c>
      <c r="AB103" s="353"/>
      <c r="AC103" s="353"/>
      <c r="AD103" s="353"/>
      <c r="AE103" s="353"/>
      <c r="AF103" s="353"/>
      <c r="AG103" s="101" t="s">
        <v>267</v>
      </c>
      <c r="AH103" s="101" t="s">
        <v>262</v>
      </c>
      <c r="AI103" s="227">
        <f>AI102-AI101</f>
        <v>-8</v>
      </c>
      <c r="AJ103" s="288"/>
      <c r="AK103" s="250"/>
      <c r="AY103" s="5"/>
      <c r="BK103" s="5"/>
    </row>
    <row r="104" spans="3:63" ht="19.5">
      <c r="C104" s="5"/>
      <c r="D104" s="5"/>
      <c r="E104" s="351" t="s">
        <v>6</v>
      </c>
      <c r="F104" s="351"/>
      <c r="G104" s="351"/>
      <c r="H104" s="351"/>
      <c r="I104" s="351"/>
      <c r="J104" s="351"/>
      <c r="K104" s="1" t="s">
        <v>261</v>
      </c>
      <c r="L104" s="1" t="s">
        <v>262</v>
      </c>
      <c r="M104" s="119">
        <v>32</v>
      </c>
      <c r="N104" s="603"/>
      <c r="O104" s="251" t="s">
        <v>263</v>
      </c>
      <c r="P104" s="5"/>
      <c r="Z104" s="5"/>
      <c r="AA104" s="347" t="s">
        <v>477</v>
      </c>
      <c r="AB104" s="366"/>
      <c r="AC104" s="366"/>
      <c r="AD104" s="366"/>
      <c r="AE104" s="366"/>
      <c r="AF104" s="367"/>
      <c r="AG104" s="351" t="s">
        <v>478</v>
      </c>
      <c r="AH104" s="101" t="s">
        <v>262</v>
      </c>
      <c r="AI104" s="119"/>
      <c r="AJ104" s="288"/>
      <c r="AK104" s="250"/>
      <c r="AY104" s="5"/>
      <c r="AZ104" s="1221" t="s">
        <v>475</v>
      </c>
      <c r="BA104" s="1222"/>
      <c r="BB104" s="1222"/>
      <c r="BC104" s="1222"/>
      <c r="BD104" s="1222"/>
      <c r="BE104" s="1222"/>
      <c r="BF104" s="1223"/>
      <c r="BG104" s="441" t="s">
        <v>256</v>
      </c>
      <c r="BH104" s="454">
        <f>SUM(BH95:BH101)</f>
        <v>-41.255763948529392</v>
      </c>
      <c r="BI104" s="287"/>
      <c r="BJ104" s="250"/>
      <c r="BK104" s="5"/>
    </row>
    <row r="105" spans="3:63" ht="19.5">
      <c r="C105" s="5"/>
      <c r="D105" s="5"/>
      <c r="E105" s="352" t="s">
        <v>264</v>
      </c>
      <c r="F105" s="352"/>
      <c r="G105" s="352"/>
      <c r="H105" s="352"/>
      <c r="I105" s="352"/>
      <c r="J105" s="352"/>
      <c r="K105" s="1" t="s">
        <v>265</v>
      </c>
      <c r="L105" s="1" t="s">
        <v>262</v>
      </c>
      <c r="M105" s="119">
        <v>26</v>
      </c>
      <c r="N105" s="551"/>
      <c r="O105" s="250"/>
      <c r="P105" s="5"/>
      <c r="Z105" s="5"/>
      <c r="AA105" s="356" t="s">
        <v>479</v>
      </c>
      <c r="AB105" s="356"/>
      <c r="AC105" s="356"/>
      <c r="AD105" s="356"/>
      <c r="AE105" s="356"/>
      <c r="AF105" s="356"/>
      <c r="AG105" s="356"/>
      <c r="AH105" s="356"/>
      <c r="AI105" s="356"/>
      <c r="AJ105" s="234">
        <f>AI103*AI99</f>
        <v>-296.63803022961349</v>
      </c>
      <c r="AK105" s="251" t="s">
        <v>263</v>
      </c>
      <c r="AY105" s="5"/>
      <c r="AZ105" s="600" t="s">
        <v>476</v>
      </c>
      <c r="BA105" s="601"/>
      <c r="BB105" s="601"/>
      <c r="BC105" s="601"/>
      <c r="BD105" s="602"/>
      <c r="BE105" s="355" t="s">
        <v>259</v>
      </c>
      <c r="BF105" s="355"/>
      <c r="BG105" s="355"/>
      <c r="BH105" s="119">
        <f>BH104</f>
        <v>-41.255763948529392</v>
      </c>
      <c r="BI105" s="287"/>
      <c r="BJ105" s="250"/>
      <c r="BK105" s="5"/>
    </row>
    <row r="106" spans="3:63" ht="19.5">
      <c r="C106" s="5"/>
      <c r="D106" s="5"/>
      <c r="E106" s="353" t="s">
        <v>266</v>
      </c>
      <c r="F106" s="353"/>
      <c r="G106" s="353"/>
      <c r="H106" s="353"/>
      <c r="I106" s="353"/>
      <c r="J106" s="353"/>
      <c r="K106" s="101" t="s">
        <v>267</v>
      </c>
      <c r="L106" s="101" t="s">
        <v>262</v>
      </c>
      <c r="M106" s="227">
        <f>ABS(M105-M104)</f>
        <v>6</v>
      </c>
      <c r="N106" s="235" t="s">
        <v>274</v>
      </c>
      <c r="O106" s="250"/>
      <c r="P106" s="5"/>
      <c r="Z106" s="5"/>
      <c r="AA106" s="551" t="s">
        <v>269</v>
      </c>
      <c r="AB106" s="551"/>
      <c r="AC106" s="551"/>
      <c r="AD106" s="551"/>
      <c r="AE106" s="551"/>
      <c r="AF106" s="551"/>
      <c r="AG106" s="551"/>
      <c r="AH106" s="551"/>
      <c r="AI106" s="551"/>
      <c r="AJ106" s="551"/>
      <c r="AK106" s="250"/>
      <c r="AY106" s="5"/>
      <c r="AZ106" s="104" t="s">
        <v>260</v>
      </c>
      <c r="BA106" s="103"/>
      <c r="BB106" s="103"/>
      <c r="BC106" s="103"/>
      <c r="BD106" s="103"/>
      <c r="BE106" s="103"/>
      <c r="BF106" s="103"/>
      <c r="BG106" s="103"/>
      <c r="BH106" s="103"/>
      <c r="BI106" s="287"/>
      <c r="BJ106" s="250"/>
      <c r="BK106" s="5"/>
    </row>
    <row r="107" spans="3:63" ht="19.5">
      <c r="C107" s="5"/>
      <c r="D107" s="5"/>
      <c r="E107" s="347" t="s">
        <v>477</v>
      </c>
      <c r="F107" s="366"/>
      <c r="G107" s="366"/>
      <c r="H107" s="366"/>
      <c r="I107" s="366"/>
      <c r="J107" s="367"/>
      <c r="K107" s="351" t="s">
        <v>478</v>
      </c>
      <c r="L107" s="101" t="s">
        <v>262</v>
      </c>
      <c r="M107" s="119">
        <v>0</v>
      </c>
      <c r="N107" s="245" t="e">
        <f>#REF!-$X$35</f>
        <v>#REF!</v>
      </c>
      <c r="O107" s="250"/>
      <c r="Z107" s="5"/>
      <c r="AA107" s="348" t="s">
        <v>270</v>
      </c>
      <c r="AB107" s="349"/>
      <c r="AC107" s="349"/>
      <c r="AD107" s="349"/>
      <c r="AE107" s="349"/>
      <c r="AF107" s="350"/>
      <c r="AG107" s="241" t="s">
        <v>271</v>
      </c>
      <c r="AH107" s="241" t="s">
        <v>272</v>
      </c>
      <c r="AI107" s="242" t="s">
        <v>273</v>
      </c>
      <c r="AJ107" s="235" t="s">
        <v>274</v>
      </c>
      <c r="AK107" s="250"/>
      <c r="AY107" s="5"/>
      <c r="AZ107" s="351" t="s">
        <v>6</v>
      </c>
      <c r="BA107" s="351"/>
      <c r="BB107" s="351"/>
      <c r="BC107" s="351"/>
      <c r="BD107" s="351"/>
      <c r="BE107" s="351"/>
      <c r="BF107" s="1" t="s">
        <v>261</v>
      </c>
      <c r="BG107" s="1" t="s">
        <v>262</v>
      </c>
      <c r="BH107" s="119">
        <v>32</v>
      </c>
      <c r="BI107" s="287"/>
      <c r="BJ107" s="250"/>
      <c r="BK107" s="5"/>
    </row>
    <row r="108" spans="3:63" ht="19.5">
      <c r="C108" s="5"/>
      <c r="D108" s="5"/>
      <c r="E108" s="356" t="s">
        <v>479</v>
      </c>
      <c r="F108" s="356"/>
      <c r="G108" s="356"/>
      <c r="H108" s="356"/>
      <c r="I108" s="356"/>
      <c r="J108" s="356"/>
      <c r="K108" s="356"/>
      <c r="L108" s="356"/>
      <c r="M108" s="356"/>
      <c r="N108" s="249">
        <v>0</v>
      </c>
      <c r="O108" s="251" t="s">
        <v>263</v>
      </c>
      <c r="P108" s="5"/>
      <c r="Z108" s="5"/>
      <c r="AA108" s="536" t="s">
        <v>236</v>
      </c>
      <c r="AB108" s="537"/>
      <c r="AC108" s="537"/>
      <c r="AD108" s="537"/>
      <c r="AE108" s="537"/>
      <c r="AF108" s="538"/>
      <c r="AG108" s="245" t="s">
        <v>174</v>
      </c>
      <c r="AH108" s="246">
        <v>0</v>
      </c>
      <c r="AI108" s="245" t="s">
        <v>174</v>
      </c>
      <c r="AJ108" s="245">
        <f>AH108-$X$32</f>
        <v>0</v>
      </c>
      <c r="AK108" s="250"/>
      <c r="AY108" s="5"/>
      <c r="AZ108" s="352" t="s">
        <v>264</v>
      </c>
      <c r="BA108" s="352"/>
      <c r="BB108" s="352"/>
      <c r="BC108" s="352"/>
      <c r="BD108" s="352"/>
      <c r="BE108" s="352"/>
      <c r="BF108" s="1" t="s">
        <v>265</v>
      </c>
      <c r="BG108" s="1" t="s">
        <v>262</v>
      </c>
      <c r="BH108" s="119">
        <v>24</v>
      </c>
      <c r="BI108" s="287"/>
      <c r="BJ108" s="250"/>
      <c r="BK108" s="5"/>
    </row>
    <row r="109" spans="3:63" ht="19.5">
      <c r="C109" s="5"/>
      <c r="D109" s="5"/>
      <c r="E109" s="551" t="s">
        <v>269</v>
      </c>
      <c r="F109" s="551"/>
      <c r="G109" s="551"/>
      <c r="H109" s="551"/>
      <c r="I109" s="551"/>
      <c r="J109" s="551"/>
      <c r="K109" s="551"/>
      <c r="L109" s="551"/>
      <c r="M109" s="551"/>
      <c r="N109" s="672">
        <f>N104+N108</f>
        <v>0</v>
      </c>
      <c r="O109" s="253" t="s">
        <v>263</v>
      </c>
      <c r="Z109" s="5"/>
      <c r="AA109" s="536" t="s">
        <v>540</v>
      </c>
      <c r="AB109" s="537"/>
      <c r="AC109" s="537"/>
      <c r="AD109" s="537"/>
      <c r="AE109" s="537"/>
      <c r="AF109" s="538"/>
      <c r="AG109" s="245" t="s">
        <v>174</v>
      </c>
      <c r="AH109" s="246">
        <v>0</v>
      </c>
      <c r="AI109" s="245" t="s">
        <v>174</v>
      </c>
      <c r="AJ109" s="245">
        <f>AH109-$X$32</f>
        <v>0</v>
      </c>
      <c r="AK109" s="250"/>
      <c r="AY109" s="5"/>
      <c r="AZ109" s="353" t="s">
        <v>266</v>
      </c>
      <c r="BA109" s="353"/>
      <c r="BB109" s="353"/>
      <c r="BC109" s="353"/>
      <c r="BD109" s="353"/>
      <c r="BE109" s="353"/>
      <c r="BF109" s="101" t="s">
        <v>267</v>
      </c>
      <c r="BG109" s="101" t="s">
        <v>262</v>
      </c>
      <c r="BH109" s="227">
        <f>ABS(BH108-BH107)</f>
        <v>8</v>
      </c>
      <c r="BI109" s="288"/>
      <c r="BJ109" s="250"/>
      <c r="BK109" s="5"/>
    </row>
    <row r="110" spans="3:63" ht="19.5">
      <c r="C110" s="5"/>
      <c r="D110" s="5"/>
      <c r="E110" s="348" t="s">
        <v>270</v>
      </c>
      <c r="F110" s="349"/>
      <c r="G110" s="349"/>
      <c r="H110" s="349"/>
      <c r="I110" s="349"/>
      <c r="J110" s="350"/>
      <c r="K110" s="241" t="s">
        <v>271</v>
      </c>
      <c r="L110" s="241" t="s">
        <v>272</v>
      </c>
      <c r="M110" s="242" t="s">
        <v>273</v>
      </c>
      <c r="N110" s="5"/>
      <c r="O110" s="5"/>
      <c r="P110" s="5"/>
      <c r="Z110" s="5"/>
      <c r="AA110" s="354" t="s">
        <v>483</v>
      </c>
      <c r="AB110" s="354"/>
      <c r="AC110" s="354"/>
      <c r="AD110" s="354"/>
      <c r="AE110" s="354"/>
      <c r="AF110" s="354"/>
      <c r="AG110" s="354"/>
      <c r="AH110" s="354"/>
      <c r="AI110" s="354"/>
      <c r="AJ110" s="249">
        <f>AJ108*(AI95+AI96)+AJ109*AI97</f>
        <v>0</v>
      </c>
      <c r="AK110" s="251" t="s">
        <v>263</v>
      </c>
      <c r="AZ110" s="347" t="s">
        <v>477</v>
      </c>
      <c r="BA110" s="366"/>
      <c r="BB110" s="366"/>
      <c r="BC110" s="366"/>
      <c r="BD110" s="366"/>
      <c r="BE110" s="367"/>
      <c r="BF110" s="351" t="s">
        <v>478</v>
      </c>
      <c r="BG110" s="101" t="s">
        <v>262</v>
      </c>
      <c r="BH110" s="119">
        <v>0</v>
      </c>
      <c r="BI110" s="288"/>
      <c r="BJ110" s="250"/>
    </row>
    <row r="111" spans="3:63" ht="18.75">
      <c r="C111" s="5"/>
      <c r="D111" s="5"/>
      <c r="E111" s="348" t="s">
        <v>537</v>
      </c>
      <c r="F111" s="349"/>
      <c r="G111" s="349"/>
      <c r="H111" s="349"/>
      <c r="I111" s="349"/>
      <c r="J111" s="350"/>
      <c r="K111" s="241"/>
      <c r="L111" s="241">
        <v>20</v>
      </c>
      <c r="M111" s="242"/>
      <c r="N111" s="5"/>
      <c r="O111" s="5"/>
      <c r="P111" s="5"/>
      <c r="Z111" s="5"/>
      <c r="AA111" s="345" t="s">
        <v>484</v>
      </c>
      <c r="AB111" s="345"/>
      <c r="AC111" s="345"/>
      <c r="AD111" s="345"/>
      <c r="AE111" s="345"/>
      <c r="AF111" s="345"/>
      <c r="AG111" s="345"/>
      <c r="AH111" s="345"/>
      <c r="AI111" s="345"/>
      <c r="AJ111" s="271">
        <f>ABS(AJ105+AJ110)</f>
        <v>296.63803022961349</v>
      </c>
      <c r="AK111" s="253" t="s">
        <v>263</v>
      </c>
      <c r="AZ111" s="356" t="s">
        <v>479</v>
      </c>
      <c r="BA111" s="356"/>
      <c r="BB111" s="356"/>
      <c r="BC111" s="356"/>
      <c r="BD111" s="356"/>
      <c r="BE111" s="356"/>
      <c r="BF111" s="356"/>
      <c r="BG111" s="356"/>
      <c r="BH111" s="356"/>
      <c r="BI111" s="603">
        <f>BH105*BH109</f>
        <v>-330.04611158823514</v>
      </c>
      <c r="BJ111" s="251" t="s">
        <v>263</v>
      </c>
    </row>
    <row r="112" spans="3:63">
      <c r="C112" s="5"/>
      <c r="D112" s="5"/>
      <c r="E112" s="348" t="s">
        <v>538</v>
      </c>
      <c r="F112" s="349"/>
      <c r="G112" s="349"/>
      <c r="H112" s="349"/>
      <c r="I112" s="39"/>
      <c r="J112" s="349"/>
      <c r="K112" s="350"/>
      <c r="L112" s="241">
        <v>25</v>
      </c>
      <c r="M112" s="242"/>
      <c r="N112" s="5"/>
      <c r="O112" s="5"/>
      <c r="P112" s="5"/>
      <c r="Z112" s="5"/>
      <c r="AZ112" s="551" t="s">
        <v>269</v>
      </c>
      <c r="BA112" s="551"/>
      <c r="BB112" s="551"/>
      <c r="BC112" s="551"/>
      <c r="BD112" s="551"/>
      <c r="BE112" s="551"/>
      <c r="BF112" s="551"/>
      <c r="BG112" s="551"/>
      <c r="BH112" s="551"/>
      <c r="BI112" s="551"/>
      <c r="BJ112" s="250"/>
    </row>
    <row r="113" spans="2:62">
      <c r="C113" s="5"/>
      <c r="D113" s="5"/>
      <c r="E113" s="348" t="s">
        <v>294</v>
      </c>
      <c r="F113" s="349"/>
      <c r="G113" s="349"/>
      <c r="H113" s="349"/>
      <c r="I113" s="39"/>
      <c r="J113" s="349"/>
      <c r="K113" s="350"/>
      <c r="L113" s="241">
        <v>20</v>
      </c>
      <c r="M113" s="242"/>
      <c r="N113" s="5"/>
      <c r="O113" s="5"/>
      <c r="P113" s="5"/>
      <c r="AZ113" s="348" t="s">
        <v>270</v>
      </c>
      <c r="BA113" s="349"/>
      <c r="BB113" s="349"/>
      <c r="BC113" s="349"/>
      <c r="BD113" s="349"/>
      <c r="BE113" s="350"/>
      <c r="BF113" s="241" t="s">
        <v>271</v>
      </c>
      <c r="BG113" s="241" t="s">
        <v>272</v>
      </c>
      <c r="BH113" s="242" t="s">
        <v>273</v>
      </c>
      <c r="BI113" s="235" t="s">
        <v>274</v>
      </c>
      <c r="BJ113" s="250"/>
    </row>
    <row r="114" spans="2:62">
      <c r="C114" s="5"/>
      <c r="E114" s="348" t="s">
        <v>345</v>
      </c>
      <c r="F114" s="349"/>
      <c r="G114" s="349"/>
      <c r="H114" s="349"/>
      <c r="I114" s="39"/>
      <c r="J114" s="349"/>
      <c r="K114" s="350"/>
      <c r="L114" s="241">
        <v>25</v>
      </c>
      <c r="M114" s="242"/>
      <c r="AZ114" s="536" t="s">
        <v>541</v>
      </c>
      <c r="BA114" s="537"/>
      <c r="BB114" s="537"/>
      <c r="BC114" s="537"/>
      <c r="BD114" s="537"/>
      <c r="BE114" s="538"/>
      <c r="BF114" s="245" t="s">
        <v>174</v>
      </c>
      <c r="BG114" s="246">
        <v>0</v>
      </c>
      <c r="BH114" s="245" t="s">
        <v>174</v>
      </c>
      <c r="BI114" s="245">
        <f>BG114-$X$32</f>
        <v>0</v>
      </c>
      <c r="BJ114" s="250"/>
    </row>
    <row r="115" spans="2:62">
      <c r="C115" s="5"/>
      <c r="E115" s="536"/>
      <c r="F115" s="537"/>
      <c r="G115" s="537"/>
      <c r="H115" s="537"/>
      <c r="J115" s="537"/>
      <c r="K115" s="538"/>
      <c r="L115" s="245" t="s">
        <v>174</v>
      </c>
      <c r="M115" s="245" t="s">
        <v>174</v>
      </c>
      <c r="AZ115" s="354" t="s">
        <v>483</v>
      </c>
      <c r="BA115" s="354"/>
      <c r="BB115" s="354"/>
      <c r="BC115" s="354"/>
      <c r="BD115" s="354"/>
      <c r="BE115" s="354"/>
      <c r="BF115" s="354"/>
      <c r="BG115" s="354"/>
      <c r="BH115" s="354"/>
      <c r="BI115" s="249">
        <f>BI114*BH95</f>
        <v>0</v>
      </c>
      <c r="BJ115" s="251" t="s">
        <v>263</v>
      </c>
    </row>
    <row r="116" spans="2:62" ht="18.75">
      <c r="B116" s="5"/>
      <c r="C116" s="5"/>
      <c r="E116" s="354" t="s">
        <v>483</v>
      </c>
      <c r="F116" s="354"/>
      <c r="G116" s="354"/>
      <c r="H116" s="354"/>
      <c r="I116" s="354"/>
      <c r="J116" s="354"/>
      <c r="K116" s="354"/>
      <c r="L116" s="354"/>
      <c r="M116" s="354"/>
      <c r="AZ116" s="345" t="s">
        <v>484</v>
      </c>
      <c r="BA116" s="345"/>
      <c r="BB116" s="345"/>
      <c r="BC116" s="345"/>
      <c r="BD116" s="345"/>
      <c r="BE116" s="345"/>
      <c r="BF116" s="345"/>
      <c r="BG116" s="345"/>
      <c r="BH116" s="345"/>
      <c r="BI116" s="690">
        <f>-BI111+BI115</f>
        <v>330.04611158823514</v>
      </c>
      <c r="BJ116" s="253" t="s">
        <v>263</v>
      </c>
    </row>
    <row r="117" spans="2:62" ht="18.75">
      <c r="B117" s="5"/>
      <c r="C117" s="5"/>
      <c r="E117" s="345" t="s">
        <v>484</v>
      </c>
      <c r="F117" s="345"/>
      <c r="G117" s="345"/>
      <c r="H117" s="345"/>
      <c r="I117" s="345"/>
      <c r="J117" s="345"/>
      <c r="K117" s="345"/>
      <c r="L117" s="345"/>
      <c r="M117" s="345"/>
      <c r="N117" s="689">
        <f>N101*M106</f>
        <v>460.06858145010983</v>
      </c>
    </row>
    <row r="118" spans="2:62">
      <c r="C118" s="5"/>
      <c r="E118" s="5"/>
      <c r="F118" s="5"/>
      <c r="G118" s="5"/>
      <c r="H118" s="5"/>
      <c r="I118" s="5"/>
      <c r="J118" s="5"/>
      <c r="K118" s="5"/>
      <c r="L118" s="5"/>
      <c r="M118" s="5"/>
    </row>
    <row r="119" spans="2:62">
      <c r="C119" s="5"/>
      <c r="E119" s="5"/>
      <c r="F119" s="5"/>
      <c r="G119" s="5"/>
      <c r="H119" s="5"/>
      <c r="I119" s="5"/>
      <c r="J119" s="5"/>
      <c r="K119" s="5"/>
      <c r="L119" s="5"/>
      <c r="M119" s="5"/>
    </row>
    <row r="120" spans="2:62">
      <c r="C120" s="5"/>
      <c r="E120" s="5"/>
      <c r="F120" s="5"/>
      <c r="G120" s="5"/>
      <c r="H120" s="5"/>
      <c r="I120" s="5"/>
      <c r="J120" s="5"/>
      <c r="K120" s="5"/>
      <c r="L120" s="5"/>
      <c r="M120" s="5"/>
    </row>
    <row r="121" spans="2:62">
      <c r="C121" s="5"/>
      <c r="E121" s="5"/>
      <c r="F121" s="5"/>
      <c r="G121" s="5"/>
      <c r="H121" s="5"/>
      <c r="I121" s="5"/>
      <c r="J121" s="5"/>
      <c r="K121" s="5"/>
      <c r="L121" s="5"/>
      <c r="M121" s="5"/>
    </row>
    <row r="122" spans="2:62">
      <c r="C122" s="5"/>
    </row>
    <row r="123" spans="2:62">
      <c r="C123" s="5"/>
    </row>
    <row r="124" spans="2:62">
      <c r="C124" s="5"/>
    </row>
    <row r="125" spans="2:62">
      <c r="C125" s="5"/>
    </row>
    <row r="126" spans="2:62">
      <c r="C126" s="5"/>
    </row>
    <row r="127" spans="2:62">
      <c r="C127" s="5"/>
    </row>
    <row r="128" spans="2:62">
      <c r="C128" s="5"/>
    </row>
    <row r="129" spans="3:3">
      <c r="C129" s="5"/>
    </row>
    <row r="130" spans="3:3">
      <c r="C130" s="5"/>
    </row>
    <row r="131" spans="3:3">
      <c r="C131" s="5"/>
    </row>
    <row r="132" spans="3:3">
      <c r="C132" s="5"/>
    </row>
    <row r="133" spans="3:3">
      <c r="C133" s="5"/>
    </row>
    <row r="134" spans="3:3">
      <c r="C134" s="5"/>
    </row>
    <row r="135" spans="3:3">
      <c r="C135" s="5"/>
    </row>
    <row r="136" spans="3:3">
      <c r="C136" s="5"/>
    </row>
    <row r="137" spans="3:3">
      <c r="C137" s="5"/>
    </row>
    <row r="138" spans="3:3">
      <c r="C138" s="5"/>
    </row>
    <row r="139" spans="3:3">
      <c r="C139" s="5"/>
    </row>
    <row r="140" spans="3:3">
      <c r="C140" s="5"/>
    </row>
    <row r="141" spans="3:3">
      <c r="C141" s="5"/>
    </row>
    <row r="142" spans="3:3" ht="15.75" customHeight="1">
      <c r="C142" s="5"/>
    </row>
    <row r="143" spans="3:3">
      <c r="C143" s="5"/>
    </row>
    <row r="144" spans="3:3" ht="15.75" customHeight="1">
      <c r="C144" s="5"/>
    </row>
    <row r="145" spans="3:3" ht="15.75" customHeight="1">
      <c r="C145" s="5"/>
    </row>
    <row r="146" spans="3:3">
      <c r="C146" s="5"/>
    </row>
    <row r="147" spans="3:3">
      <c r="C147" s="5"/>
    </row>
    <row r="148" spans="3:3">
      <c r="C148" s="5"/>
    </row>
    <row r="149" spans="3:3">
      <c r="C149" s="5"/>
    </row>
    <row r="150" spans="3:3">
      <c r="C150" s="5"/>
    </row>
    <row r="151" spans="3:3">
      <c r="C151" s="5"/>
    </row>
    <row r="152" spans="3:3">
      <c r="C152" s="5"/>
    </row>
  </sheetData>
  <mergeCells count="198">
    <mergeCell ref="AB84:AE84"/>
    <mergeCell ref="AB97:AE97"/>
    <mergeCell ref="BA96:BD96"/>
    <mergeCell ref="BA97:BD97"/>
    <mergeCell ref="BA98:BD98"/>
    <mergeCell ref="BA100:BD100"/>
    <mergeCell ref="BA101:BD101"/>
    <mergeCell ref="Q15:T26"/>
    <mergeCell ref="Z47:AH47"/>
    <mergeCell ref="Z48:AI48"/>
    <mergeCell ref="Z15:Z16"/>
    <mergeCell ref="AA15:AD16"/>
    <mergeCell ref="AA17:AD17"/>
    <mergeCell ref="Z18:AG18"/>
    <mergeCell ref="Z19:AE19"/>
    <mergeCell ref="AF19:AH19"/>
    <mergeCell ref="Z20:AH20"/>
    <mergeCell ref="Z21:Z22"/>
    <mergeCell ref="AA21:AD22"/>
    <mergeCell ref="AA39:AD39"/>
    <mergeCell ref="AA33:AD33"/>
    <mergeCell ref="AF34:AH34"/>
    <mergeCell ref="Z36:Z37"/>
    <mergeCell ref="AA36:AD37"/>
    <mergeCell ref="AA38:AD38"/>
    <mergeCell ref="Z31:Z32"/>
    <mergeCell ref="AA31:AD32"/>
    <mergeCell ref="AA40:AD40"/>
    <mergeCell ref="AE42:AG42"/>
    <mergeCell ref="Z26:Z27"/>
    <mergeCell ref="AA26:AD27"/>
    <mergeCell ref="BA45:BD45"/>
    <mergeCell ref="AZ54:BI54"/>
    <mergeCell ref="BA28:BD28"/>
    <mergeCell ref="AZ32:AZ33"/>
    <mergeCell ref="BA32:BD33"/>
    <mergeCell ref="BA34:BD34"/>
    <mergeCell ref="BE48:BG48"/>
    <mergeCell ref="AZ50:BE50"/>
    <mergeCell ref="AZ51:BE51"/>
    <mergeCell ref="AZ52:BE52"/>
    <mergeCell ref="AZ53:BH53"/>
    <mergeCell ref="BA31:BD31"/>
    <mergeCell ref="BA29:BD29"/>
    <mergeCell ref="BF40:BH40"/>
    <mergeCell ref="AZ35:BH35"/>
    <mergeCell ref="AZ36:BH36"/>
    <mergeCell ref="AZ37:AZ38"/>
    <mergeCell ref="BA37:BD38"/>
    <mergeCell ref="BA39:BD39"/>
    <mergeCell ref="C50:H50"/>
    <mergeCell ref="C51:H51"/>
    <mergeCell ref="Z44:AE44"/>
    <mergeCell ref="Z45:AE45"/>
    <mergeCell ref="Z46:AE46"/>
    <mergeCell ref="C47:H47"/>
    <mergeCell ref="BA15:BD15"/>
    <mergeCell ref="BA16:BD16"/>
    <mergeCell ref="AZ17:BG17"/>
    <mergeCell ref="I32:K32"/>
    <mergeCell ref="C34:C35"/>
    <mergeCell ref="D34:G35"/>
    <mergeCell ref="D36:G36"/>
    <mergeCell ref="D38:G38"/>
    <mergeCell ref="AA28:AD28"/>
    <mergeCell ref="Z29:AH29"/>
    <mergeCell ref="Z30:AH30"/>
    <mergeCell ref="D21:G21"/>
    <mergeCell ref="D22:G22"/>
    <mergeCell ref="C15:J15"/>
    <mergeCell ref="C16:H16"/>
    <mergeCell ref="I16:K16"/>
    <mergeCell ref="Z54:AH54"/>
    <mergeCell ref="Z55:AH55"/>
    <mergeCell ref="C52:K52"/>
    <mergeCell ref="C53:K53"/>
    <mergeCell ref="Z49:AE49"/>
    <mergeCell ref="Z50:AE50"/>
    <mergeCell ref="C48:H48"/>
    <mergeCell ref="BA26:BD27"/>
    <mergeCell ref="BA18:BD19"/>
    <mergeCell ref="Z51:AE51"/>
    <mergeCell ref="Z52:AE52"/>
    <mergeCell ref="Z53:AE53"/>
    <mergeCell ref="AZ18:AZ19"/>
    <mergeCell ref="BA22:BD22"/>
    <mergeCell ref="BA21:BD21"/>
    <mergeCell ref="D37:G37"/>
    <mergeCell ref="H40:J40"/>
    <mergeCell ref="C44:H44"/>
    <mergeCell ref="C45:K45"/>
    <mergeCell ref="C27:K27"/>
    <mergeCell ref="C28:K28"/>
    <mergeCell ref="C29:C30"/>
    <mergeCell ref="D29:G30"/>
    <mergeCell ref="D31:G31"/>
    <mergeCell ref="AZ60:BH60"/>
    <mergeCell ref="AZ61:BH61"/>
    <mergeCell ref="BA46:BD46"/>
    <mergeCell ref="BA30:BD30"/>
    <mergeCell ref="AZ9:BH9"/>
    <mergeCell ref="AZ10:AZ11"/>
    <mergeCell ref="BA10:BD11"/>
    <mergeCell ref="BA12:BD12"/>
    <mergeCell ref="BA14:BD14"/>
    <mergeCell ref="AZ42:AZ43"/>
    <mergeCell ref="BA42:BD43"/>
    <mergeCell ref="BA44:BD44"/>
    <mergeCell ref="BA13:BD13"/>
    <mergeCell ref="AZ57:BE57"/>
    <mergeCell ref="AZ58:BE58"/>
    <mergeCell ref="AZ59:BE59"/>
    <mergeCell ref="AZ55:BE55"/>
    <mergeCell ref="AZ56:BE56"/>
    <mergeCell ref="BA20:BD20"/>
    <mergeCell ref="AZ23:BG23"/>
    <mergeCell ref="AZ24:BE24"/>
    <mergeCell ref="BF24:BH24"/>
    <mergeCell ref="AZ25:BH25"/>
    <mergeCell ref="AZ26:AZ27"/>
    <mergeCell ref="Z7:AH7"/>
    <mergeCell ref="Z8:Z9"/>
    <mergeCell ref="AA8:AD9"/>
    <mergeCell ref="AA11:AD11"/>
    <mergeCell ref="AA10:AD10"/>
    <mergeCell ref="AA12:AD12"/>
    <mergeCell ref="AA23:AD23"/>
    <mergeCell ref="AA24:AD24"/>
    <mergeCell ref="Z25:AG25"/>
    <mergeCell ref="AA13:AD13"/>
    <mergeCell ref="Z14:AG14"/>
    <mergeCell ref="E81:E82"/>
    <mergeCell ref="F81:I82"/>
    <mergeCell ref="E74:M74"/>
    <mergeCell ref="E75:E76"/>
    <mergeCell ref="F75:I76"/>
    <mergeCell ref="F77:I77"/>
    <mergeCell ref="E78:L78"/>
    <mergeCell ref="D26:G26"/>
    <mergeCell ref="C42:H42"/>
    <mergeCell ref="C43:H43"/>
    <mergeCell ref="C17:K17"/>
    <mergeCell ref="C18:C19"/>
    <mergeCell ref="D18:G19"/>
    <mergeCell ref="C49:H49"/>
    <mergeCell ref="C4:K4"/>
    <mergeCell ref="C5:C6"/>
    <mergeCell ref="D5:G6"/>
    <mergeCell ref="D7:G7"/>
    <mergeCell ref="D9:G9"/>
    <mergeCell ref="D8:G8"/>
    <mergeCell ref="C23:J23"/>
    <mergeCell ref="C24:C25"/>
    <mergeCell ref="D24:G25"/>
    <mergeCell ref="D10:G10"/>
    <mergeCell ref="C11:J11"/>
    <mergeCell ref="C12:C13"/>
    <mergeCell ref="D12:G13"/>
    <mergeCell ref="D14:G14"/>
    <mergeCell ref="AZ72:BH72"/>
    <mergeCell ref="AZ73:AZ74"/>
    <mergeCell ref="BA73:BD74"/>
    <mergeCell ref="BA75:BD75"/>
    <mergeCell ref="BA76:BD76"/>
    <mergeCell ref="BA77:BD77"/>
    <mergeCell ref="BA78:BD78"/>
    <mergeCell ref="F89:I89"/>
    <mergeCell ref="E92:J92"/>
    <mergeCell ref="K92:M92"/>
    <mergeCell ref="F83:I83"/>
    <mergeCell ref="E84:L84"/>
    <mergeCell ref="E85:M85"/>
    <mergeCell ref="E86:M86"/>
    <mergeCell ref="E87:E88"/>
    <mergeCell ref="F87:I88"/>
    <mergeCell ref="E79:J79"/>
    <mergeCell ref="K79:M79"/>
    <mergeCell ref="E80:M80"/>
    <mergeCell ref="AZ79:BG79"/>
    <mergeCell ref="AZ80:BE80"/>
    <mergeCell ref="BF80:BH80"/>
    <mergeCell ref="AZ81:BH81"/>
    <mergeCell ref="AZ82:AZ83"/>
    <mergeCell ref="AZ92:BF92"/>
    <mergeCell ref="AZ93:AZ94"/>
    <mergeCell ref="BA93:BD94"/>
    <mergeCell ref="BA95:BD95"/>
    <mergeCell ref="AZ104:BF104"/>
    <mergeCell ref="BA82:BD83"/>
    <mergeCell ref="BA84:BD84"/>
    <mergeCell ref="AZ85:BG85"/>
    <mergeCell ref="AZ86:BH86"/>
    <mergeCell ref="AZ87:BH87"/>
    <mergeCell ref="AZ88:AZ89"/>
    <mergeCell ref="BA88:BD89"/>
    <mergeCell ref="BA90:BD90"/>
    <mergeCell ref="AZ91:BE91"/>
    <mergeCell ref="BF91:BH91"/>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2A01A5-FB3E-46F0-92C0-C699713541DB}">
  <sheetPr codeName="Feuil12"/>
  <dimension ref="A1:AU184"/>
  <sheetViews>
    <sheetView topLeftCell="D99" zoomScale="85" zoomScaleNormal="85" zoomScaleSheetLayoutView="100" workbookViewId="0">
      <selection activeCell="K125" sqref="K125"/>
    </sheetView>
  </sheetViews>
  <sheetFormatPr baseColWidth="10" defaultColWidth="8.875" defaultRowHeight="15.75"/>
  <cols>
    <col min="1" max="1" width="16.125" customWidth="1"/>
    <col min="2" max="5" width="9" bestFit="1" customWidth="1"/>
    <col min="6" max="6" width="11.375" bestFit="1" customWidth="1"/>
    <col min="7" max="8" width="9" bestFit="1" customWidth="1"/>
    <col min="9" max="9" width="12.25" customWidth="1"/>
    <col min="10" max="10" width="10.125" customWidth="1"/>
    <col min="11" max="11" width="9" bestFit="1" customWidth="1"/>
    <col min="17" max="17" width="8.875" customWidth="1"/>
  </cols>
  <sheetData>
    <row r="1" spans="1:47" ht="16.5" thickBot="1">
      <c r="A1" s="106" t="s">
        <v>542</v>
      </c>
      <c r="B1" s="1001" t="s">
        <v>219</v>
      </c>
      <c r="C1" s="1001"/>
      <c r="D1" s="1001"/>
      <c r="E1" s="1001"/>
      <c r="F1" s="1001"/>
      <c r="G1" s="1001"/>
      <c r="H1" s="1001"/>
      <c r="I1" s="1001"/>
      <c r="J1" s="1002"/>
      <c r="K1" s="807"/>
      <c r="L1" s="5"/>
      <c r="M1" s="5"/>
      <c r="N1" s="5"/>
    </row>
    <row r="2" spans="1:47" ht="18">
      <c r="A2" s="5"/>
      <c r="B2" s="1189" t="s">
        <v>220</v>
      </c>
      <c r="C2" s="1189" t="s">
        <v>221</v>
      </c>
      <c r="D2" s="1189"/>
      <c r="E2" s="1189"/>
      <c r="F2" s="1189"/>
      <c r="G2" s="108" t="s">
        <v>222</v>
      </c>
      <c r="H2" s="108" t="s">
        <v>223</v>
      </c>
      <c r="I2" s="108" t="s">
        <v>224</v>
      </c>
      <c r="J2" s="109" t="s">
        <v>225</v>
      </c>
      <c r="K2" s="807"/>
      <c r="L2" s="5"/>
      <c r="M2" s="5"/>
      <c r="N2" s="5"/>
    </row>
    <row r="3" spans="1:47" ht="19.5" thickBot="1">
      <c r="A3" s="5"/>
      <c r="B3" s="1189"/>
      <c r="C3" s="1189"/>
      <c r="D3" s="1189"/>
      <c r="E3" s="1189"/>
      <c r="F3" s="1189"/>
      <c r="G3" s="2" t="s">
        <v>226</v>
      </c>
      <c r="H3" s="89" t="s">
        <v>227</v>
      </c>
      <c r="I3" s="89" t="s">
        <v>228</v>
      </c>
      <c r="J3" s="92" t="s">
        <v>229</v>
      </c>
      <c r="K3" s="807"/>
      <c r="L3" s="5"/>
      <c r="M3" s="5"/>
      <c r="N3" s="5"/>
    </row>
    <row r="4" spans="1:47" ht="16.5" thickBot="1">
      <c r="A4" s="5"/>
      <c r="B4" s="110" t="s">
        <v>432</v>
      </c>
      <c r="C4" s="1153" t="s">
        <v>543</v>
      </c>
      <c r="D4" s="1153"/>
      <c r="E4" s="1153"/>
      <c r="F4" s="1153"/>
      <c r="G4" s="110">
        <f xml:space="preserve"> 3.945 * 3.505</f>
        <v>13.827224999999999</v>
      </c>
      <c r="H4" s="110">
        <f>Parois!L13</f>
        <v>0.31196948579298983</v>
      </c>
      <c r="I4" s="110">
        <f>1</f>
        <v>1</v>
      </c>
      <c r="J4" s="111">
        <f>G4*H4*I4</f>
        <v>4.3136722731939736</v>
      </c>
      <c r="K4" s="807"/>
      <c r="L4" s="5"/>
      <c r="M4" s="5"/>
      <c r="N4" s="5"/>
      <c r="AB4" s="106" t="s">
        <v>542</v>
      </c>
      <c r="AC4" s="1183" t="s">
        <v>219</v>
      </c>
      <c r="AD4" s="1183"/>
      <c r="AE4" s="1183"/>
      <c r="AF4" s="1183"/>
      <c r="AG4" s="1183"/>
      <c r="AH4" s="1183"/>
      <c r="AI4" s="1183"/>
      <c r="AJ4" s="1183"/>
      <c r="AK4" s="1180"/>
      <c r="AL4" s="807"/>
      <c r="AM4" s="5"/>
      <c r="AN4" s="5"/>
    </row>
    <row r="5" spans="1:47" ht="18">
      <c r="A5" s="5"/>
      <c r="K5" s="807"/>
      <c r="L5" s="5"/>
      <c r="M5" s="5"/>
      <c r="N5" s="5"/>
      <c r="AB5" s="5"/>
      <c r="AC5" s="1189" t="s">
        <v>220</v>
      </c>
      <c r="AD5" s="1189" t="s">
        <v>221</v>
      </c>
      <c r="AE5" s="1189"/>
      <c r="AF5" s="1189"/>
      <c r="AG5" s="1189"/>
      <c r="AH5" s="108" t="s">
        <v>222</v>
      </c>
      <c r="AI5" s="108" t="s">
        <v>223</v>
      </c>
      <c r="AJ5" s="108" t="s">
        <v>224</v>
      </c>
      <c r="AK5" s="109" t="s">
        <v>225</v>
      </c>
      <c r="AL5" s="807"/>
      <c r="AM5" s="5"/>
      <c r="AN5" s="5"/>
    </row>
    <row r="6" spans="1:47" ht="18.75">
      <c r="A6" s="5"/>
      <c r="B6" s="212" t="s">
        <v>544</v>
      </c>
      <c r="C6" s="1154" t="s">
        <v>206</v>
      </c>
      <c r="D6" s="1255"/>
      <c r="E6" s="1255"/>
      <c r="F6" s="1256"/>
      <c r="G6" s="212">
        <f>5.085*3.38</f>
        <v>17.1873</v>
      </c>
      <c r="H6" s="212">
        <f>Parois!L59</f>
        <v>0.14630087903826619</v>
      </c>
      <c r="I6" s="212">
        <v>1</v>
      </c>
      <c r="J6" s="212">
        <v>0</v>
      </c>
      <c r="K6" s="807"/>
      <c r="L6" s="5"/>
      <c r="M6" s="5"/>
      <c r="N6" s="5"/>
      <c r="AB6" s="5"/>
      <c r="AC6" s="1189"/>
      <c r="AD6" s="1189"/>
      <c r="AE6" s="1189"/>
      <c r="AF6" s="1189"/>
      <c r="AG6" s="1189"/>
      <c r="AH6" s="2" t="s">
        <v>226</v>
      </c>
      <c r="AI6" s="89" t="s">
        <v>227</v>
      </c>
      <c r="AJ6" s="89" t="s">
        <v>228</v>
      </c>
      <c r="AK6" s="92" t="s">
        <v>229</v>
      </c>
      <c r="AL6" s="807"/>
      <c r="AM6" s="5"/>
      <c r="AN6" s="5"/>
    </row>
    <row r="7" spans="1:47" ht="15" customHeight="1">
      <c r="A7" s="5"/>
      <c r="B7" s="1192" t="s">
        <v>430</v>
      </c>
      <c r="C7" s="1192"/>
      <c r="D7" s="1192"/>
      <c r="E7" s="1192"/>
      <c r="F7" s="1192"/>
      <c r="G7" s="1192"/>
      <c r="H7" s="1192"/>
      <c r="I7" s="1192"/>
      <c r="J7" s="105">
        <f>J4+J33+J6</f>
        <v>6.2699024466178912</v>
      </c>
      <c r="K7" s="807"/>
      <c r="L7" s="5"/>
      <c r="M7" s="5"/>
      <c r="N7" s="5"/>
      <c r="AB7" s="5"/>
      <c r="AC7" s="110" t="s">
        <v>432</v>
      </c>
      <c r="AD7" s="1153" t="s">
        <v>543</v>
      </c>
      <c r="AE7" s="1153"/>
      <c r="AF7" s="1153"/>
      <c r="AG7" s="1153"/>
      <c r="AH7" s="110">
        <f xml:space="preserve"> 3.78 * 3.505</f>
        <v>13.248899999999999</v>
      </c>
      <c r="AI7" s="110">
        <f>H4</f>
        <v>0.31196948579298983</v>
      </c>
      <c r="AJ7" s="110">
        <f>0</f>
        <v>0</v>
      </c>
      <c r="AK7" s="111">
        <f>AH7*AI7*AJ7</f>
        <v>0</v>
      </c>
      <c r="AL7" s="807"/>
      <c r="AM7" s="5"/>
      <c r="AN7" s="5"/>
    </row>
    <row r="8" spans="1:47" ht="18">
      <c r="A8" s="5"/>
      <c r="B8" s="1130" t="s">
        <v>220</v>
      </c>
      <c r="C8" s="1132" t="s">
        <v>302</v>
      </c>
      <c r="D8" s="1132"/>
      <c r="E8" s="1132"/>
      <c r="F8" s="1132"/>
      <c r="G8" s="114" t="s">
        <v>303</v>
      </c>
      <c r="H8" s="114" t="s">
        <v>304</v>
      </c>
      <c r="I8" s="114" t="s">
        <v>224</v>
      </c>
      <c r="J8" s="115" t="s">
        <v>305</v>
      </c>
      <c r="K8" s="807"/>
      <c r="L8" s="5"/>
      <c r="M8" s="5"/>
      <c r="N8" s="5"/>
      <c r="AB8" s="5"/>
      <c r="AL8" s="807"/>
      <c r="AM8" s="5"/>
      <c r="AN8" s="5"/>
    </row>
    <row r="9" spans="1:47">
      <c r="A9" s="5"/>
      <c r="B9" s="1130"/>
      <c r="C9" s="1132"/>
      <c r="D9" s="1132"/>
      <c r="E9" s="1132"/>
      <c r="F9" s="1132"/>
      <c r="G9" s="107" t="s">
        <v>307</v>
      </c>
      <c r="H9" s="107" t="s">
        <v>308</v>
      </c>
      <c r="I9" s="107" t="s">
        <v>228</v>
      </c>
      <c r="J9" s="85" t="s">
        <v>229</v>
      </c>
      <c r="K9" s="807"/>
      <c r="L9" s="5"/>
      <c r="M9" s="5"/>
      <c r="N9" s="5"/>
      <c r="AB9" s="5"/>
      <c r="AC9" s="212" t="s">
        <v>544</v>
      </c>
      <c r="AD9" s="1154" t="s">
        <v>206</v>
      </c>
      <c r="AE9" s="1255"/>
      <c r="AF9" s="1255"/>
      <c r="AG9" s="1256"/>
      <c r="AH9" s="212">
        <f>5.085*3.38</f>
        <v>17.1873</v>
      </c>
      <c r="AI9" s="212">
        <f>Parois!AM62</f>
        <v>0</v>
      </c>
      <c r="AJ9" s="212">
        <v>1</v>
      </c>
      <c r="AK9" s="212">
        <v>0</v>
      </c>
      <c r="AL9" s="807"/>
      <c r="AM9" s="5"/>
      <c r="AN9" s="5"/>
    </row>
    <row r="10" spans="1:47" ht="18.75">
      <c r="A10" s="5"/>
      <c r="B10" s="57"/>
      <c r="C10" s="1123" t="s">
        <v>174</v>
      </c>
      <c r="D10" s="1123"/>
      <c r="E10" s="1123"/>
      <c r="F10" s="1123"/>
      <c r="G10" s="107"/>
      <c r="H10" s="116"/>
      <c r="I10" s="116"/>
      <c r="J10" s="117"/>
      <c r="K10" s="807"/>
      <c r="L10" s="5"/>
      <c r="M10" s="5"/>
      <c r="N10" s="5"/>
      <c r="AB10" s="5"/>
      <c r="AC10" s="1192" t="s">
        <v>430</v>
      </c>
      <c r="AD10" s="1192"/>
      <c r="AE10" s="1192"/>
      <c r="AF10" s="1192"/>
      <c r="AG10" s="1192"/>
      <c r="AH10" s="1192"/>
      <c r="AI10" s="1192"/>
      <c r="AJ10" s="1192"/>
      <c r="AK10" s="105"/>
      <c r="AL10" s="807"/>
      <c r="AM10" s="5"/>
      <c r="AN10" s="5"/>
    </row>
    <row r="11" spans="1:47" ht="18.75">
      <c r="A11" s="5"/>
      <c r="B11" s="1029" t="s">
        <v>282</v>
      </c>
      <c r="C11" s="1029"/>
      <c r="D11" s="1029"/>
      <c r="E11" s="1029"/>
      <c r="F11" s="1029"/>
      <c r="G11" s="1029"/>
      <c r="H11" s="1029"/>
      <c r="I11" s="1029"/>
      <c r="J11" s="95">
        <f>0</f>
        <v>0</v>
      </c>
      <c r="K11" s="807"/>
      <c r="L11" s="5"/>
      <c r="M11" s="5"/>
      <c r="N11" s="5"/>
      <c r="AB11" s="5"/>
      <c r="AC11" s="1130" t="s">
        <v>220</v>
      </c>
      <c r="AD11" s="1132" t="s">
        <v>302</v>
      </c>
      <c r="AE11" s="1132"/>
      <c r="AF11" s="1132"/>
      <c r="AG11" s="1132"/>
      <c r="AH11" s="114" t="s">
        <v>303</v>
      </c>
      <c r="AI11" s="114" t="s">
        <v>304</v>
      </c>
      <c r="AJ11" s="114" t="s">
        <v>224</v>
      </c>
      <c r="AK11" s="115" t="s">
        <v>305</v>
      </c>
      <c r="AL11" s="807"/>
      <c r="AM11" s="5"/>
      <c r="AN11" s="5"/>
    </row>
    <row r="12" spans="1:47" ht="16.5" customHeight="1">
      <c r="A12" s="5"/>
      <c r="B12" s="1199" t="s">
        <v>244</v>
      </c>
      <c r="C12" s="1199"/>
      <c r="D12" s="1199"/>
      <c r="E12" s="1199"/>
      <c r="F12" s="1199"/>
      <c r="G12" s="1199"/>
      <c r="H12" s="1200" t="s">
        <v>245</v>
      </c>
      <c r="I12" s="1200"/>
      <c r="J12" s="1200"/>
      <c r="K12" s="96">
        <f>J7+J11</f>
        <v>6.2699024466178912</v>
      </c>
      <c r="L12" s="1" t="s">
        <v>431</v>
      </c>
      <c r="M12" s="5"/>
      <c r="N12" s="5"/>
      <c r="AB12" s="5"/>
      <c r="AC12" s="1130"/>
      <c r="AD12" s="1132"/>
      <c r="AE12" s="1132"/>
      <c r="AF12" s="1132"/>
      <c r="AG12" s="1132"/>
      <c r="AH12" s="107" t="s">
        <v>307</v>
      </c>
      <c r="AI12" s="107" t="s">
        <v>308</v>
      </c>
      <c r="AJ12" s="107" t="s">
        <v>228</v>
      </c>
      <c r="AK12" s="85" t="s">
        <v>229</v>
      </c>
      <c r="AL12" s="807"/>
      <c r="AM12" s="5"/>
      <c r="AN12" s="5"/>
    </row>
    <row r="13" spans="1:47">
      <c r="A13" s="5"/>
      <c r="B13" s="1001" t="s">
        <v>247</v>
      </c>
      <c r="C13" s="1001"/>
      <c r="D13" s="1001"/>
      <c r="E13" s="1001"/>
      <c r="F13" s="1001"/>
      <c r="G13" s="1001"/>
      <c r="H13" s="1001"/>
      <c r="I13" s="1001"/>
      <c r="J13" s="1002"/>
      <c r="K13" s="1246"/>
      <c r="L13" s="5"/>
      <c r="M13" s="5"/>
      <c r="N13" s="5"/>
      <c r="Q13" s="3"/>
      <c r="AB13" s="5"/>
      <c r="AC13" s="57"/>
      <c r="AD13" s="1123" t="s">
        <v>174</v>
      </c>
      <c r="AE13" s="1123"/>
      <c r="AF13" s="1123"/>
      <c r="AG13" s="1123"/>
      <c r="AH13" s="107"/>
      <c r="AI13" s="116"/>
      <c r="AJ13" s="116"/>
      <c r="AK13" s="117"/>
      <c r="AL13" s="807"/>
      <c r="AM13" s="5"/>
      <c r="AN13" s="5"/>
      <c r="AU13" s="607"/>
    </row>
    <row r="14" spans="1:47" ht="19.5" customHeight="1">
      <c r="A14" s="5"/>
      <c r="B14" s="1189" t="s">
        <v>220</v>
      </c>
      <c r="C14" s="1189" t="s">
        <v>249</v>
      </c>
      <c r="D14" s="1189"/>
      <c r="E14" s="1189"/>
      <c r="F14" s="1189"/>
      <c r="G14" s="108" t="s">
        <v>222</v>
      </c>
      <c r="H14" s="108" t="s">
        <v>223</v>
      </c>
      <c r="I14" s="318" t="s">
        <v>545</v>
      </c>
      <c r="J14" s="214" t="s">
        <v>225</v>
      </c>
      <c r="K14" s="1246"/>
      <c r="L14" s="5"/>
      <c r="M14" s="5"/>
      <c r="N14" s="5"/>
      <c r="AB14" s="5"/>
      <c r="AC14" s="1029" t="s">
        <v>282</v>
      </c>
      <c r="AD14" s="1029"/>
      <c r="AE14" s="1029"/>
      <c r="AF14" s="1029"/>
      <c r="AG14" s="1029"/>
      <c r="AH14" s="1029"/>
      <c r="AI14" s="1029"/>
      <c r="AJ14" s="1029"/>
      <c r="AK14" s="95">
        <f>0</f>
        <v>0</v>
      </c>
      <c r="AL14" s="807"/>
      <c r="AM14" s="5"/>
      <c r="AN14" s="5"/>
    </row>
    <row r="15" spans="1:47" ht="16.5" customHeight="1">
      <c r="A15" s="5"/>
      <c r="B15" s="1189"/>
      <c r="C15" s="1189"/>
      <c r="D15" s="1189"/>
      <c r="E15" s="1189"/>
      <c r="F15" s="1189"/>
      <c r="G15" s="2" t="s">
        <v>226</v>
      </c>
      <c r="H15" s="89" t="s">
        <v>227</v>
      </c>
      <c r="I15" s="92" t="s">
        <v>228</v>
      </c>
      <c r="J15" s="225" t="s">
        <v>229</v>
      </c>
      <c r="K15" s="1246"/>
      <c r="L15" s="5"/>
      <c r="M15" s="5"/>
      <c r="N15" s="5"/>
      <c r="AB15" s="5"/>
      <c r="AC15" s="1199" t="s">
        <v>244</v>
      </c>
      <c r="AD15" s="1199"/>
      <c r="AE15" s="1199"/>
      <c r="AF15" s="1199"/>
      <c r="AG15" s="1199"/>
      <c r="AH15" s="1199"/>
      <c r="AI15" s="1200" t="s">
        <v>245</v>
      </c>
      <c r="AJ15" s="1200"/>
      <c r="AK15" s="1200"/>
      <c r="AL15" s="96">
        <f>AK10+AK14</f>
        <v>0</v>
      </c>
      <c r="AM15" s="1" t="s">
        <v>431</v>
      </c>
      <c r="AN15" s="5"/>
    </row>
    <row r="16" spans="1:47">
      <c r="A16" s="5"/>
      <c r="B16" s="2" t="s">
        <v>383</v>
      </c>
      <c r="C16" s="862" t="s">
        <v>446</v>
      </c>
      <c r="D16" s="862"/>
      <c r="E16" s="862"/>
      <c r="F16" s="862"/>
      <c r="G16" s="2"/>
      <c r="H16" s="2">
        <f>Parois!L42</f>
        <v>1.8115853807007718</v>
      </c>
      <c r="I16" s="120">
        <f>(Données!E22-Données!G45)/(Données!E22-Données!G11)</f>
        <v>0.14285714285714285</v>
      </c>
      <c r="J16" s="215">
        <f>G16*H16*I16</f>
        <v>0</v>
      </c>
      <c r="K16" s="1246"/>
      <c r="L16" s="5"/>
      <c r="M16" s="5"/>
      <c r="N16" s="5"/>
      <c r="AB16" s="5"/>
      <c r="AC16" s="1183" t="s">
        <v>247</v>
      </c>
      <c r="AD16" s="1183"/>
      <c r="AE16" s="1183"/>
      <c r="AF16" s="1183"/>
      <c r="AG16" s="1183"/>
      <c r="AH16" s="1183"/>
      <c r="AI16" s="1183"/>
      <c r="AJ16" s="1183"/>
      <c r="AK16" s="1180"/>
      <c r="AL16" s="1246"/>
      <c r="AM16" s="5"/>
      <c r="AN16" s="5"/>
    </row>
    <row r="17" spans="1:40" ht="18.75">
      <c r="A17" s="5"/>
      <c r="B17" s="2" t="s">
        <v>387</v>
      </c>
      <c r="C17" s="862" t="s">
        <v>446</v>
      </c>
      <c r="D17" s="862"/>
      <c r="E17" s="862"/>
      <c r="F17" s="862"/>
      <c r="G17" s="2">
        <f>(3.945*3.54)</f>
        <v>13.965299999999999</v>
      </c>
      <c r="H17" s="2">
        <f>Parois!L42</f>
        <v>1.8115853807007718</v>
      </c>
      <c r="I17" s="120">
        <f>I16</f>
        <v>0.14285714285714285</v>
      </c>
      <c r="J17" s="215">
        <f>G17*H17*I17</f>
        <v>3.6141904738714978</v>
      </c>
      <c r="K17" s="1246"/>
      <c r="L17" s="5"/>
      <c r="M17" s="5"/>
      <c r="N17" s="5"/>
      <c r="AB17" s="5"/>
      <c r="AC17" s="1189" t="s">
        <v>220</v>
      </c>
      <c r="AD17" s="1189" t="s">
        <v>249</v>
      </c>
      <c r="AE17" s="1189"/>
      <c r="AF17" s="1189"/>
      <c r="AG17" s="1189"/>
      <c r="AH17" s="108" t="s">
        <v>222</v>
      </c>
      <c r="AI17" s="108" t="s">
        <v>223</v>
      </c>
      <c r="AJ17" s="318" t="s">
        <v>545</v>
      </c>
      <c r="AK17" s="214" t="s">
        <v>225</v>
      </c>
      <c r="AL17" s="1246"/>
      <c r="AM17" s="5"/>
      <c r="AN17" s="5"/>
    </row>
    <row r="18" spans="1:40" ht="18" customHeight="1">
      <c r="A18" s="5"/>
      <c r="B18" s="1205" t="s">
        <v>439</v>
      </c>
      <c r="C18" s="1205"/>
      <c r="D18" s="1205"/>
      <c r="E18" s="1205"/>
      <c r="F18" s="1205"/>
      <c r="G18" s="1205"/>
      <c r="H18" s="1205"/>
      <c r="I18" s="1205"/>
      <c r="J18" s="216">
        <f>J17+J16</f>
        <v>3.6141904738714978</v>
      </c>
      <c r="K18" s="1246"/>
      <c r="L18" s="5"/>
      <c r="M18" s="5"/>
      <c r="N18" s="5"/>
      <c r="AB18" s="5"/>
      <c r="AC18" s="1189"/>
      <c r="AD18" s="1189"/>
      <c r="AE18" s="1189"/>
      <c r="AF18" s="1189"/>
      <c r="AG18" s="1189"/>
      <c r="AH18" s="2" t="s">
        <v>226</v>
      </c>
      <c r="AI18" s="89" t="s">
        <v>227</v>
      </c>
      <c r="AJ18" s="92" t="s">
        <v>228</v>
      </c>
      <c r="AK18" s="225" t="s">
        <v>229</v>
      </c>
      <c r="AL18" s="1246"/>
      <c r="AM18" s="5"/>
      <c r="AN18" s="5"/>
    </row>
    <row r="19" spans="1:40" ht="16.5" customHeight="1">
      <c r="A19" s="5"/>
      <c r="B19" s="1130" t="s">
        <v>220</v>
      </c>
      <c r="C19" s="1132" t="s">
        <v>302</v>
      </c>
      <c r="D19" s="1132"/>
      <c r="E19" s="1132"/>
      <c r="F19" s="1132"/>
      <c r="G19" s="114" t="s">
        <v>303</v>
      </c>
      <c r="H19" s="114" t="s">
        <v>304</v>
      </c>
      <c r="I19" s="318" t="s">
        <v>546</v>
      </c>
      <c r="J19" s="115" t="s">
        <v>305</v>
      </c>
      <c r="K19" s="1246"/>
      <c r="L19" s="5"/>
      <c r="M19" s="5"/>
      <c r="N19" s="5"/>
      <c r="AB19" s="5"/>
      <c r="AC19" s="2" t="s">
        <v>383</v>
      </c>
      <c r="AD19" s="862" t="s">
        <v>446</v>
      </c>
      <c r="AE19" s="862"/>
      <c r="AF19" s="862"/>
      <c r="AG19" s="862"/>
      <c r="AH19" s="2"/>
      <c r="AI19" s="2">
        <f>Parois!AM45</f>
        <v>0</v>
      </c>
      <c r="AJ19" s="120"/>
      <c r="AK19" s="215">
        <f>AH19*AI19*AJ19</f>
        <v>0</v>
      </c>
      <c r="AL19" s="1246"/>
      <c r="AM19" s="5"/>
      <c r="AN19" s="5"/>
    </row>
    <row r="20" spans="1:40" ht="15" customHeight="1">
      <c r="A20" s="5"/>
      <c r="B20" s="1130"/>
      <c r="C20" s="1132"/>
      <c r="D20" s="1132"/>
      <c r="E20" s="1132"/>
      <c r="F20" s="1132"/>
      <c r="G20" s="116" t="s">
        <v>307</v>
      </c>
      <c r="H20" s="116" t="s">
        <v>308</v>
      </c>
      <c r="I20" s="117" t="s">
        <v>228</v>
      </c>
      <c r="J20" s="85" t="s">
        <v>229</v>
      </c>
      <c r="K20" s="1246"/>
      <c r="L20" s="5"/>
      <c r="M20" s="5"/>
      <c r="N20" s="5"/>
      <c r="AB20" s="5"/>
      <c r="AC20" s="2" t="s">
        <v>387</v>
      </c>
      <c r="AD20" s="862" t="s">
        <v>446</v>
      </c>
      <c r="AE20" s="862"/>
      <c r="AF20" s="862"/>
      <c r="AG20" s="862"/>
      <c r="AH20" s="2">
        <f>(3.78*3.54)</f>
        <v>13.3812</v>
      </c>
      <c r="AI20" s="2">
        <f>Parois!AM45</f>
        <v>0</v>
      </c>
      <c r="AJ20" s="120">
        <f>AJ19</f>
        <v>0</v>
      </c>
      <c r="AK20" s="215">
        <f>AH20*AI20*AJ20</f>
        <v>0</v>
      </c>
      <c r="AL20" s="1246"/>
      <c r="AM20" s="5"/>
      <c r="AN20" s="5"/>
    </row>
    <row r="21" spans="1:40">
      <c r="A21" s="5"/>
      <c r="B21" s="1"/>
      <c r="C21" s="807" t="s">
        <v>174</v>
      </c>
      <c r="D21" s="807"/>
      <c r="E21" s="807"/>
      <c r="F21" s="807"/>
      <c r="G21" s="1"/>
      <c r="H21" s="1"/>
      <c r="I21" s="1"/>
      <c r="J21" s="217"/>
      <c r="K21" s="1246"/>
      <c r="L21" s="5"/>
      <c r="M21" s="5"/>
      <c r="N21" s="5"/>
      <c r="AB21" s="5"/>
      <c r="AC21" s="1205" t="s">
        <v>439</v>
      </c>
      <c r="AD21" s="1205"/>
      <c r="AE21" s="1205"/>
      <c r="AF21" s="1205"/>
      <c r="AG21" s="1205"/>
      <c r="AH21" s="1205"/>
      <c r="AI21" s="1205"/>
      <c r="AJ21" s="1205"/>
      <c r="AK21" s="216">
        <f>AK20+AK19</f>
        <v>0</v>
      </c>
      <c r="AL21" s="1246"/>
      <c r="AM21" s="5"/>
      <c r="AN21" s="5"/>
    </row>
    <row r="22" spans="1:40" ht="18.75">
      <c r="A22" s="5"/>
      <c r="B22" s="130" t="s">
        <v>443</v>
      </c>
      <c r="C22" s="2"/>
      <c r="D22" s="2"/>
      <c r="E22" s="2"/>
      <c r="F22" s="2"/>
      <c r="G22" s="1"/>
      <c r="H22" s="1"/>
      <c r="I22" s="119"/>
      <c r="J22" s="90">
        <v>0</v>
      </c>
      <c r="K22" s="1246"/>
      <c r="L22" s="5"/>
      <c r="M22" s="5"/>
      <c r="N22" s="5"/>
      <c r="AB22" s="5"/>
      <c r="AC22" s="1130" t="s">
        <v>220</v>
      </c>
      <c r="AD22" s="1132" t="s">
        <v>302</v>
      </c>
      <c r="AE22" s="1132"/>
      <c r="AF22" s="1132"/>
      <c r="AG22" s="1132"/>
      <c r="AH22" s="114" t="s">
        <v>303</v>
      </c>
      <c r="AI22" s="114" t="s">
        <v>304</v>
      </c>
      <c r="AJ22" s="318" t="s">
        <v>546</v>
      </c>
      <c r="AK22" s="115" t="s">
        <v>305</v>
      </c>
      <c r="AL22" s="1246"/>
      <c r="AM22" s="5"/>
      <c r="AN22" s="5"/>
    </row>
    <row r="23" spans="1:40" ht="18">
      <c r="A23" s="5"/>
      <c r="B23" s="1004" t="s">
        <v>444</v>
      </c>
      <c r="C23" s="1026"/>
      <c r="D23" s="1026"/>
      <c r="E23" s="1026"/>
      <c r="F23" s="1026"/>
      <c r="G23" s="1026"/>
      <c r="H23" s="1026"/>
      <c r="I23" s="1027"/>
      <c r="J23" s="229" t="s">
        <v>547</v>
      </c>
      <c r="K23" s="218">
        <f>J18+J22</f>
        <v>3.6141904738714978</v>
      </c>
      <c r="L23" s="122" t="s">
        <v>431</v>
      </c>
      <c r="M23" s="5"/>
      <c r="N23" s="5"/>
      <c r="AB23" s="5"/>
      <c r="AC23" s="1130"/>
      <c r="AD23" s="1132"/>
      <c r="AE23" s="1132"/>
      <c r="AF23" s="1132"/>
      <c r="AG23" s="1132"/>
      <c r="AH23" s="116" t="s">
        <v>307</v>
      </c>
      <c r="AI23" s="116" t="s">
        <v>308</v>
      </c>
      <c r="AJ23" s="117" t="s">
        <v>228</v>
      </c>
      <c r="AK23" s="85" t="s">
        <v>229</v>
      </c>
      <c r="AL23" s="1246"/>
      <c r="AM23" s="5"/>
      <c r="AN23" s="5"/>
    </row>
    <row r="24" spans="1:40">
      <c r="A24" s="5"/>
      <c r="B24" s="1002" t="s">
        <v>321</v>
      </c>
      <c r="C24" s="1002"/>
      <c r="D24" s="1002"/>
      <c r="E24" s="1002"/>
      <c r="F24" s="1002"/>
      <c r="G24" s="1002"/>
      <c r="H24" s="1002"/>
      <c r="I24" s="1002"/>
      <c r="J24" s="1002"/>
      <c r="K24" s="807"/>
      <c r="L24" s="233"/>
      <c r="M24" s="5"/>
      <c r="N24" s="5"/>
      <c r="AB24" s="5"/>
      <c r="AC24" s="1"/>
      <c r="AD24" s="807" t="s">
        <v>174</v>
      </c>
      <c r="AE24" s="807"/>
      <c r="AF24" s="807"/>
      <c r="AG24" s="807"/>
      <c r="AH24" s="1"/>
      <c r="AI24" s="1"/>
      <c r="AJ24" s="1"/>
      <c r="AK24" s="217"/>
      <c r="AL24" s="1246"/>
      <c r="AM24" s="5"/>
      <c r="AN24" s="5"/>
    </row>
    <row r="25" spans="1:40" ht="18">
      <c r="A25" s="5"/>
      <c r="B25" s="1189" t="s">
        <v>220</v>
      </c>
      <c r="C25" s="1189" t="s">
        <v>249</v>
      </c>
      <c r="D25" s="1189"/>
      <c r="E25" s="1189"/>
      <c r="F25" s="1189"/>
      <c r="G25" s="108" t="s">
        <v>222</v>
      </c>
      <c r="H25" s="108" t="s">
        <v>223</v>
      </c>
      <c r="I25" s="108" t="s">
        <v>224</v>
      </c>
      <c r="J25" s="108" t="s">
        <v>225</v>
      </c>
      <c r="K25" s="807"/>
      <c r="L25" s="233"/>
      <c r="M25" s="5"/>
      <c r="N25" s="5"/>
      <c r="AB25" s="5"/>
      <c r="AC25" s="130" t="s">
        <v>443</v>
      </c>
      <c r="AD25" s="2"/>
      <c r="AE25" s="2"/>
      <c r="AF25" s="2"/>
      <c r="AG25" s="2"/>
      <c r="AH25" s="1"/>
      <c r="AI25" s="1"/>
      <c r="AJ25" s="119"/>
      <c r="AK25" s="90">
        <v>0</v>
      </c>
      <c r="AL25" s="1246"/>
      <c r="AM25" s="5"/>
      <c r="AN25" s="5"/>
    </row>
    <row r="26" spans="1:40" ht="19.5">
      <c r="A26" s="5"/>
      <c r="B26" s="1189"/>
      <c r="C26" s="1189"/>
      <c r="D26" s="1189"/>
      <c r="E26" s="1189"/>
      <c r="F26" s="1189"/>
      <c r="G26" s="2" t="s">
        <v>226</v>
      </c>
      <c r="H26" s="89" t="s">
        <v>227</v>
      </c>
      <c r="I26" s="89" t="s">
        <v>228</v>
      </c>
      <c r="J26" s="89" t="s">
        <v>229</v>
      </c>
      <c r="K26" s="807"/>
      <c r="L26" s="233"/>
      <c r="M26" s="5"/>
      <c r="N26" s="5"/>
      <c r="AB26" s="5"/>
      <c r="AC26" s="1004" t="s">
        <v>444</v>
      </c>
      <c r="AD26" s="1026"/>
      <c r="AE26" s="1026"/>
      <c r="AF26" s="1026"/>
      <c r="AG26" s="1026"/>
      <c r="AH26" s="1026"/>
      <c r="AI26" s="1026"/>
      <c r="AJ26" s="1027"/>
      <c r="AK26" s="229" t="s">
        <v>547</v>
      </c>
      <c r="AL26" s="218">
        <f>AK21+AK25</f>
        <v>0</v>
      </c>
      <c r="AM26" s="122" t="s">
        <v>431</v>
      </c>
      <c r="AN26" s="5"/>
    </row>
    <row r="27" spans="1:40">
      <c r="A27" s="5"/>
      <c r="B27" s="1"/>
      <c r="C27" s="862" t="s">
        <v>391</v>
      </c>
      <c r="D27" s="862"/>
      <c r="E27" s="862"/>
      <c r="F27" s="862"/>
      <c r="G27" s="2"/>
      <c r="H27" s="2"/>
      <c r="I27" s="2"/>
      <c r="J27" s="2"/>
      <c r="K27" s="807"/>
      <c r="L27" s="5"/>
      <c r="M27" s="5"/>
      <c r="N27" s="5"/>
      <c r="AB27" s="5"/>
      <c r="AC27" s="1180" t="s">
        <v>321</v>
      </c>
      <c r="AD27" s="1180"/>
      <c r="AE27" s="1180"/>
      <c r="AF27" s="1180"/>
      <c r="AG27" s="1180"/>
      <c r="AH27" s="1180"/>
      <c r="AI27" s="1180"/>
      <c r="AJ27" s="1180"/>
      <c r="AK27" s="1180"/>
      <c r="AL27" s="807"/>
      <c r="AM27" s="233"/>
      <c r="AN27" s="5"/>
    </row>
    <row r="28" spans="1:40" ht="18.75">
      <c r="A28" s="5"/>
      <c r="B28" s="98" t="s">
        <v>287</v>
      </c>
      <c r="C28" s="98"/>
      <c r="D28" s="98"/>
      <c r="E28" s="98"/>
      <c r="F28" s="98"/>
      <c r="G28" s="98"/>
      <c r="H28" s="1030" t="s">
        <v>288</v>
      </c>
      <c r="I28" s="1030"/>
      <c r="J28" s="1030"/>
      <c r="K28" s="82">
        <f>J27</f>
        <v>0</v>
      </c>
      <c r="L28" s="2" t="s">
        <v>431</v>
      </c>
      <c r="M28" s="5"/>
      <c r="N28" s="5"/>
      <c r="AB28" s="5"/>
      <c r="AC28" s="1189" t="s">
        <v>220</v>
      </c>
      <c r="AD28" s="1189" t="s">
        <v>249</v>
      </c>
      <c r="AE28" s="1189"/>
      <c r="AF28" s="1189"/>
      <c r="AG28" s="1189"/>
      <c r="AH28" s="108" t="s">
        <v>222</v>
      </c>
      <c r="AI28" s="108" t="s">
        <v>223</v>
      </c>
      <c r="AJ28" s="108" t="s">
        <v>548</v>
      </c>
      <c r="AK28" s="108" t="s">
        <v>225</v>
      </c>
      <c r="AL28" s="807"/>
      <c r="AM28" s="233"/>
      <c r="AN28" s="5"/>
    </row>
    <row r="29" spans="1:40" ht="18.75">
      <c r="A29" s="5"/>
      <c r="B29" s="1206" t="s">
        <v>257</v>
      </c>
      <c r="C29" s="1206"/>
      <c r="D29" s="1206"/>
      <c r="E29" s="1206"/>
      <c r="F29" s="1206"/>
      <c r="G29" s="1206"/>
      <c r="H29" s="1206"/>
      <c r="I29" s="1206"/>
      <c r="J29" s="1206"/>
      <c r="K29" s="923"/>
      <c r="L29" s="5"/>
      <c r="M29" s="5"/>
      <c r="N29" s="5"/>
      <c r="AB29" s="5"/>
      <c r="AC29" s="1189"/>
      <c r="AD29" s="1189"/>
      <c r="AE29" s="1189"/>
      <c r="AF29" s="1189"/>
      <c r="AG29" s="1189"/>
      <c r="AH29" s="2" t="s">
        <v>226</v>
      </c>
      <c r="AI29" s="89" t="s">
        <v>227</v>
      </c>
      <c r="AJ29" s="89" t="s">
        <v>228</v>
      </c>
      <c r="AK29" s="89" t="s">
        <v>229</v>
      </c>
      <c r="AL29" s="807"/>
      <c r="AM29" s="233"/>
      <c r="AN29" s="5"/>
    </row>
    <row r="30" spans="1:40" ht="18">
      <c r="A30" s="5"/>
      <c r="B30" s="1130" t="s">
        <v>220</v>
      </c>
      <c r="C30" s="1132" t="s">
        <v>221</v>
      </c>
      <c r="D30" s="1132"/>
      <c r="E30" s="1132"/>
      <c r="F30" s="1132"/>
      <c r="G30" s="108" t="s">
        <v>232</v>
      </c>
      <c r="H30" s="108" t="s">
        <v>222</v>
      </c>
      <c r="I30" s="108" t="s">
        <v>223</v>
      </c>
      <c r="J30" s="109" t="s">
        <v>233</v>
      </c>
      <c r="K30" s="923"/>
      <c r="L30" s="5"/>
      <c r="M30" s="5"/>
      <c r="N30" s="5"/>
      <c r="AB30" s="5"/>
      <c r="AC30" s="1"/>
      <c r="AD30" s="1154" t="s">
        <v>294</v>
      </c>
      <c r="AE30" s="1154"/>
      <c r="AF30" s="1154"/>
      <c r="AG30" s="1154"/>
      <c r="AH30">
        <f>H33</f>
        <v>19.592949999999998</v>
      </c>
      <c r="AI30" s="112">
        <f>I33</f>
        <v>0.39937430012814151</v>
      </c>
      <c r="AJ30" s="2">
        <f>(26-20)/(26-32)</f>
        <v>-1</v>
      </c>
      <c r="AK30" s="113">
        <f>AH30*AI30*AJ30</f>
        <v>-7.8249206936956694</v>
      </c>
      <c r="AL30" s="807"/>
      <c r="AM30" s="5"/>
      <c r="AN30" s="5"/>
    </row>
    <row r="31" spans="1:40" ht="20.25">
      <c r="A31" s="5"/>
      <c r="B31" s="1130"/>
      <c r="C31" s="1132"/>
      <c r="D31" s="1132"/>
      <c r="E31" s="1132"/>
      <c r="F31" s="1132"/>
      <c r="G31" s="2" t="s">
        <v>228</v>
      </c>
      <c r="H31" s="2" t="s">
        <v>226</v>
      </c>
      <c r="I31" s="89" t="s">
        <v>227</v>
      </c>
      <c r="J31" s="92" t="s">
        <v>229</v>
      </c>
      <c r="K31" s="923"/>
      <c r="L31" s="289"/>
      <c r="M31" s="5"/>
      <c r="N31" s="5"/>
      <c r="AB31" s="5"/>
      <c r="AC31" s="98" t="s">
        <v>287</v>
      </c>
      <c r="AD31" s="98"/>
      <c r="AE31" s="98"/>
      <c r="AF31" s="98"/>
      <c r="AG31" s="98"/>
      <c r="AH31" s="98"/>
      <c r="AI31" s="1030" t="s">
        <v>288</v>
      </c>
      <c r="AJ31" s="1030"/>
      <c r="AK31" s="1030"/>
      <c r="AL31" s="82">
        <f>AK30</f>
        <v>-7.8249206936956694</v>
      </c>
      <c r="AM31" s="2" t="s">
        <v>431</v>
      </c>
      <c r="AN31" s="5"/>
    </row>
    <row r="32" spans="1:40" ht="18" customHeight="1">
      <c r="A32" s="5"/>
      <c r="B32" s="57"/>
      <c r="C32" s="984" t="s">
        <v>549</v>
      </c>
      <c r="D32" s="984"/>
      <c r="E32" s="984"/>
      <c r="F32" s="984"/>
      <c r="G32" s="2">
        <f>(J38-20)/J39</f>
        <v>-0.16666666666666666</v>
      </c>
      <c r="H32" s="89">
        <f>2*3.78</f>
        <v>7.56</v>
      </c>
      <c r="I32" s="89">
        <f>H16</f>
        <v>1.8115853807007718</v>
      </c>
      <c r="J32" s="92">
        <f>G32*H32*I32</f>
        <v>-2.2825975796829723</v>
      </c>
      <c r="K32" s="923"/>
      <c r="L32" s="5"/>
      <c r="M32" s="5"/>
      <c r="N32" s="5"/>
      <c r="AB32" s="5"/>
      <c r="AC32" s="1177" t="s">
        <v>257</v>
      </c>
      <c r="AD32" s="1177"/>
      <c r="AE32" s="1177"/>
      <c r="AF32" s="1177"/>
      <c r="AG32" s="1177"/>
      <c r="AH32" s="1177"/>
      <c r="AI32" s="1177"/>
      <c r="AJ32" s="1177"/>
      <c r="AK32" s="1177"/>
      <c r="AL32" s="923"/>
      <c r="AM32" s="5"/>
      <c r="AN32" s="5"/>
    </row>
    <row r="33" spans="1:40" ht="18">
      <c r="A33" s="5"/>
      <c r="B33" s="112" t="s">
        <v>437</v>
      </c>
      <c r="C33" s="1154" t="s">
        <v>294</v>
      </c>
      <c r="D33" s="1154"/>
      <c r="E33" s="1154"/>
      <c r="F33" s="1154"/>
      <c r="G33">
        <f>(J129-10)/J130</f>
        <v>0.25</v>
      </c>
      <c r="H33" s="112">
        <f>5.59*3.505</f>
        <v>19.592949999999998</v>
      </c>
      <c r="I33" s="112">
        <f>Parois!L49</f>
        <v>0.39937430012814151</v>
      </c>
      <c r="J33" s="113">
        <f>G33*H33*I33</f>
        <v>1.9562301734239174</v>
      </c>
      <c r="K33" s="123">
        <f>J32</f>
        <v>-2.2825975796829723</v>
      </c>
      <c r="M33" s="5"/>
      <c r="N33" s="5"/>
      <c r="AB33" s="5"/>
      <c r="AC33" s="1130" t="s">
        <v>220</v>
      </c>
      <c r="AD33" s="1132" t="s">
        <v>221</v>
      </c>
      <c r="AE33" s="1132"/>
      <c r="AF33" s="1132"/>
      <c r="AG33" s="1132"/>
      <c r="AH33" s="108" t="s">
        <v>232</v>
      </c>
      <c r="AI33" s="108" t="s">
        <v>222</v>
      </c>
      <c r="AJ33" s="108" t="s">
        <v>223</v>
      </c>
      <c r="AK33" s="109" t="s">
        <v>233</v>
      </c>
      <c r="AL33" s="923"/>
      <c r="AM33" s="5"/>
      <c r="AN33" s="5"/>
    </row>
    <row r="34" spans="1:40" ht="19.5">
      <c r="A34" s="5"/>
      <c r="B34" s="1251" t="s">
        <v>255</v>
      </c>
      <c r="C34" s="1251"/>
      <c r="D34" s="1251"/>
      <c r="E34" s="1251"/>
      <c r="F34" s="1251"/>
      <c r="G34" s="1251"/>
      <c r="H34" s="1251"/>
      <c r="I34" s="1251"/>
      <c r="J34" s="223" t="s">
        <v>256</v>
      </c>
      <c r="K34">
        <f>J33</f>
        <v>1.9562301734239174</v>
      </c>
      <c r="L34" s="131" t="s">
        <v>144</v>
      </c>
      <c r="M34" s="5"/>
      <c r="N34" s="5"/>
      <c r="AB34" s="5"/>
      <c r="AC34" s="1130"/>
      <c r="AD34" s="1132"/>
      <c r="AE34" s="1132"/>
      <c r="AF34" s="1132"/>
      <c r="AG34" s="1132"/>
      <c r="AH34" s="2" t="s">
        <v>228</v>
      </c>
      <c r="AI34" s="2" t="s">
        <v>226</v>
      </c>
      <c r="AJ34" s="89" t="s">
        <v>227</v>
      </c>
      <c r="AK34" s="92" t="s">
        <v>229</v>
      </c>
      <c r="AL34" s="923"/>
      <c r="AM34" s="289"/>
      <c r="AN34" s="5"/>
    </row>
    <row r="35" spans="1:40" ht="18.75">
      <c r="A35" s="5"/>
      <c r="B35" s="423" t="s">
        <v>450</v>
      </c>
      <c r="C35" s="423"/>
      <c r="D35" s="423"/>
      <c r="E35" s="423"/>
      <c r="F35" s="423"/>
      <c r="G35" s="426" t="s">
        <v>451</v>
      </c>
      <c r="H35" s="426"/>
      <c r="I35" s="426"/>
      <c r="J35" s="426"/>
      <c r="K35" s="124">
        <f>K34+K28+K23+K12</f>
        <v>11.840323093913305</v>
      </c>
      <c r="L35" s="107" t="s">
        <v>431</v>
      </c>
      <c r="M35" s="5"/>
      <c r="N35" s="5"/>
      <c r="AB35" s="5"/>
      <c r="AC35" s="57"/>
      <c r="AD35" s="984" t="s">
        <v>549</v>
      </c>
      <c r="AE35" s="984"/>
      <c r="AF35" s="984"/>
      <c r="AG35" s="984"/>
      <c r="AH35" s="2">
        <f>(26-25)/(26-32)</f>
        <v>-0.16666666666666666</v>
      </c>
      <c r="AI35" s="89">
        <f>2*3.78</f>
        <v>7.56</v>
      </c>
      <c r="AJ35" s="89">
        <f>I32</f>
        <v>1.8115853807007718</v>
      </c>
      <c r="AK35" s="729">
        <f>AH35*AI35*AJ35</f>
        <v>-2.2825975796829723</v>
      </c>
      <c r="AL35" s="923"/>
      <c r="AM35" s="5"/>
      <c r="AN35" s="5"/>
    </row>
    <row r="36" spans="1:40">
      <c r="A36" s="5"/>
      <c r="B36" s="104" t="s">
        <v>365</v>
      </c>
      <c r="C36" s="103"/>
      <c r="D36" s="103"/>
      <c r="E36" s="103"/>
      <c r="F36" s="103"/>
      <c r="G36" s="125"/>
      <c r="H36" s="125"/>
      <c r="I36" s="125"/>
      <c r="J36" s="126"/>
      <c r="K36" s="2"/>
      <c r="L36" s="233"/>
      <c r="M36" s="5"/>
      <c r="N36" s="5"/>
      <c r="AB36" s="5"/>
      <c r="AC36" s="116" t="s">
        <v>387</v>
      </c>
      <c r="AD36" s="1212" t="s">
        <v>216</v>
      </c>
      <c r="AE36" s="1213"/>
      <c r="AF36" s="1213"/>
      <c r="AG36" s="1213"/>
      <c r="AH36" s="213">
        <f>AH35</f>
        <v>-0.16666666666666666</v>
      </c>
      <c r="AI36" s="661">
        <f>(2.03*0.81)</f>
        <v>1.6442999999999999</v>
      </c>
      <c r="AJ36" s="661">
        <v>2.5</v>
      </c>
      <c r="AK36" s="662">
        <f>AJ36*AI36*AH36</f>
        <v>-0.68512499999999987</v>
      </c>
      <c r="AL36" s="348">
        <f>AK35</f>
        <v>-2.2825975796829723</v>
      </c>
      <c r="AN36" s="5"/>
    </row>
    <row r="37" spans="1:40" ht="19.5">
      <c r="A37" s="5"/>
      <c r="B37" s="351" t="s">
        <v>6</v>
      </c>
      <c r="C37" s="351"/>
      <c r="D37" s="351"/>
      <c r="E37" s="351"/>
      <c r="F37" s="351"/>
      <c r="G37" s="351"/>
      <c r="H37" s="2" t="s">
        <v>261</v>
      </c>
      <c r="I37" s="2" t="s">
        <v>262</v>
      </c>
      <c r="J37" s="2">
        <v>-8</v>
      </c>
      <c r="K37" s="2"/>
      <c r="L37" s="233"/>
      <c r="M37" s="5"/>
      <c r="N37" s="5"/>
      <c r="AB37" s="5"/>
      <c r="AC37" s="1251" t="s">
        <v>255</v>
      </c>
      <c r="AD37" s="1251"/>
      <c r="AE37" s="1251"/>
      <c r="AF37" s="1251"/>
      <c r="AG37" s="1251"/>
      <c r="AH37" s="1251"/>
      <c r="AI37" s="1251"/>
      <c r="AJ37" s="1251"/>
      <c r="AK37" s="223" t="s">
        <v>256</v>
      </c>
      <c r="AL37">
        <f>AK35+AK36</f>
        <v>-2.967722579682972</v>
      </c>
      <c r="AM37" s="131" t="s">
        <v>144</v>
      </c>
      <c r="AN37" s="5"/>
    </row>
    <row r="38" spans="1:40" ht="19.5">
      <c r="A38" s="5"/>
      <c r="B38" s="352" t="s">
        <v>264</v>
      </c>
      <c r="C38" s="352"/>
      <c r="D38" s="352"/>
      <c r="E38" s="352"/>
      <c r="F38" s="352"/>
      <c r="G38" s="352"/>
      <c r="H38" s="2" t="s">
        <v>265</v>
      </c>
      <c r="I38" s="2" t="s">
        <v>262</v>
      </c>
      <c r="J38" s="2">
        <v>16</v>
      </c>
      <c r="K38" s="2"/>
      <c r="L38" s="5"/>
      <c r="M38" s="5"/>
      <c r="N38" s="5"/>
      <c r="AB38" s="5"/>
      <c r="AC38" s="423" t="s">
        <v>450</v>
      </c>
      <c r="AD38" s="423"/>
      <c r="AE38" s="423"/>
      <c r="AF38" s="423"/>
      <c r="AG38" s="423"/>
      <c r="AH38" s="426" t="s">
        <v>451</v>
      </c>
      <c r="AI38" s="426"/>
      <c r="AJ38" s="426"/>
      <c r="AK38" s="426"/>
      <c r="AL38" s="664">
        <f>AL37+AL31+AL26+AL15</f>
        <v>-10.792643273378641</v>
      </c>
      <c r="AM38" s="107" t="s">
        <v>431</v>
      </c>
      <c r="AN38" s="5"/>
    </row>
    <row r="39" spans="1:40" ht="19.5">
      <c r="A39" s="5"/>
      <c r="B39" s="351" t="s">
        <v>266</v>
      </c>
      <c r="C39" s="351"/>
      <c r="D39" s="351"/>
      <c r="E39" s="351"/>
      <c r="F39" s="351"/>
      <c r="G39" s="351"/>
      <c r="H39" s="2" t="s">
        <v>267</v>
      </c>
      <c r="I39" s="2" t="s">
        <v>262</v>
      </c>
      <c r="J39" s="2">
        <f>J38-J37</f>
        <v>24</v>
      </c>
      <c r="K39" s="2"/>
      <c r="L39" s="5"/>
      <c r="M39" s="5"/>
      <c r="N39" s="5"/>
      <c r="AB39" s="5"/>
      <c r="AC39" s="104" t="s">
        <v>365</v>
      </c>
      <c r="AD39" s="103"/>
      <c r="AE39" s="103"/>
      <c r="AF39" s="103"/>
      <c r="AG39" s="103"/>
      <c r="AH39" s="125"/>
      <c r="AI39" s="125"/>
      <c r="AJ39" s="125"/>
      <c r="AK39" s="126"/>
      <c r="AL39" s="2"/>
      <c r="AM39" s="233"/>
      <c r="AN39" s="5"/>
    </row>
    <row r="40" spans="1:40" ht="19.5">
      <c r="A40" s="5"/>
      <c r="B40" s="418" t="s">
        <v>452</v>
      </c>
      <c r="C40" s="418"/>
      <c r="D40" s="418"/>
      <c r="E40" s="418"/>
      <c r="F40" s="418"/>
      <c r="G40" s="418"/>
      <c r="H40" s="418"/>
      <c r="I40" s="418"/>
      <c r="J40" s="418"/>
      <c r="K40" s="273">
        <f>(K35*J39)</f>
        <v>284.16775425391933</v>
      </c>
      <c r="L40" s="2" t="s">
        <v>453</v>
      </c>
      <c r="M40" s="5"/>
      <c r="N40" s="5"/>
      <c r="AB40" s="5"/>
      <c r="AC40" s="351" t="s">
        <v>6</v>
      </c>
      <c r="AD40" s="351"/>
      <c r="AE40" s="351"/>
      <c r="AF40" s="351"/>
      <c r="AG40" s="351"/>
      <c r="AH40" s="351"/>
      <c r="AI40" s="2" t="s">
        <v>261</v>
      </c>
      <c r="AJ40" s="2" t="s">
        <v>262</v>
      </c>
      <c r="AK40" s="2">
        <v>32</v>
      </c>
      <c r="AL40" s="2"/>
      <c r="AM40" s="233"/>
      <c r="AN40" s="5"/>
    </row>
    <row r="41" spans="1:40" ht="19.5">
      <c r="A41" s="5"/>
      <c r="B41" s="5"/>
      <c r="C41" s="5"/>
      <c r="D41" s="5"/>
      <c r="E41" s="5"/>
      <c r="F41" s="5"/>
      <c r="G41" s="5"/>
      <c r="H41" s="5"/>
      <c r="I41" s="5"/>
      <c r="J41" s="5"/>
      <c r="K41" s="5"/>
      <c r="L41" s="5"/>
      <c r="M41" s="5"/>
      <c r="N41" s="5"/>
      <c r="AB41" s="5"/>
      <c r="AC41" s="352" t="s">
        <v>264</v>
      </c>
      <c r="AD41" s="352"/>
      <c r="AE41" s="352"/>
      <c r="AF41" s="352"/>
      <c r="AG41" s="352"/>
      <c r="AH41" s="352"/>
      <c r="AI41" s="2" t="s">
        <v>265</v>
      </c>
      <c r="AJ41" s="2" t="s">
        <v>262</v>
      </c>
      <c r="AK41" s="2">
        <v>26</v>
      </c>
      <c r="AL41" s="2"/>
      <c r="AM41" s="5"/>
      <c r="AN41" s="5"/>
    </row>
    <row r="42" spans="1:40" ht="19.5">
      <c r="A42" s="5"/>
      <c r="B42" s="5"/>
      <c r="C42" s="5"/>
      <c r="D42" s="5"/>
      <c r="E42" s="5"/>
      <c r="F42" s="5"/>
      <c r="G42" s="5"/>
      <c r="H42" s="5"/>
      <c r="I42" s="5"/>
      <c r="J42" s="5"/>
      <c r="K42" s="5"/>
      <c r="L42" s="5"/>
      <c r="M42" s="5"/>
      <c r="N42" s="5"/>
      <c r="AB42" s="5"/>
      <c r="AC42" s="351" t="s">
        <v>266</v>
      </c>
      <c r="AD42" s="351"/>
      <c r="AE42" s="351"/>
      <c r="AF42" s="351"/>
      <c r="AG42" s="351"/>
      <c r="AH42" s="351"/>
      <c r="AI42" s="2" t="s">
        <v>267</v>
      </c>
      <c r="AJ42" s="2" t="s">
        <v>262</v>
      </c>
      <c r="AK42" s="2">
        <f>AK41-AK40</f>
        <v>-6</v>
      </c>
      <c r="AL42" s="2"/>
      <c r="AM42" s="5"/>
      <c r="AN42" s="5"/>
    </row>
    <row r="43" spans="1:40" ht="18.75">
      <c r="A43" s="5"/>
      <c r="B43" s="5"/>
      <c r="C43" s="5"/>
      <c r="D43" s="5"/>
      <c r="E43" s="5"/>
      <c r="F43" s="5"/>
      <c r="G43" s="5"/>
      <c r="H43" s="5"/>
      <c r="I43" s="5"/>
      <c r="J43" s="5"/>
      <c r="K43" s="5"/>
      <c r="L43" s="5"/>
      <c r="M43" s="5"/>
      <c r="N43" s="5"/>
      <c r="AB43" s="5"/>
      <c r="AC43" s="418" t="s">
        <v>452</v>
      </c>
      <c r="AD43" s="418"/>
      <c r="AE43" s="418"/>
      <c r="AF43" s="418"/>
      <c r="AG43" s="418"/>
      <c r="AH43" s="418"/>
      <c r="AI43" s="418"/>
      <c r="AJ43" s="418"/>
      <c r="AK43" s="418"/>
      <c r="AL43" s="273">
        <f>AL38*AK42</f>
        <v>64.755859640271836</v>
      </c>
      <c r="AM43" s="2" t="s">
        <v>453</v>
      </c>
      <c r="AN43" s="5"/>
    </row>
    <row r="44" spans="1:40" ht="16.5" thickBot="1">
      <c r="A44" s="5"/>
      <c r="B44" s="5"/>
      <c r="C44" s="5"/>
      <c r="D44" s="5"/>
      <c r="E44" s="5"/>
      <c r="F44" s="5"/>
      <c r="G44" s="5"/>
      <c r="H44" s="5"/>
      <c r="I44" s="5"/>
      <c r="J44" s="5"/>
      <c r="K44" s="5"/>
      <c r="L44" s="5"/>
      <c r="M44" s="5"/>
      <c r="N44" s="5"/>
      <c r="AB44" s="5"/>
      <c r="AC44" s="5"/>
      <c r="AD44" s="5"/>
      <c r="AE44" s="5"/>
      <c r="AF44" s="5"/>
      <c r="AG44" s="5"/>
      <c r="AH44" s="5"/>
      <c r="AI44" s="5"/>
      <c r="AJ44" s="5"/>
      <c r="AK44" s="5"/>
      <c r="AL44" s="5"/>
      <c r="AM44" s="5"/>
      <c r="AN44" s="5"/>
    </row>
    <row r="45" spans="1:40" ht="16.5" thickBot="1">
      <c r="A45" s="132" t="s">
        <v>550</v>
      </c>
      <c r="B45" s="1001" t="s">
        <v>219</v>
      </c>
      <c r="C45" s="1001"/>
      <c r="D45" s="1001"/>
      <c r="E45" s="1001"/>
      <c r="F45" s="1001"/>
      <c r="G45" s="1001"/>
      <c r="H45" s="1001"/>
      <c r="I45" s="1001"/>
      <c r="J45" s="1001"/>
      <c r="K45" s="5"/>
      <c r="L45" s="5"/>
      <c r="M45" s="5"/>
      <c r="N45" s="5"/>
      <c r="AB45" s="5"/>
      <c r="AC45" s="5"/>
      <c r="AD45" s="5"/>
      <c r="AE45" s="5"/>
      <c r="AF45" s="5"/>
      <c r="AG45" s="5"/>
      <c r="AH45" s="5"/>
      <c r="AI45" s="5"/>
      <c r="AJ45" s="5"/>
      <c r="AK45" s="5"/>
      <c r="AL45" s="5"/>
      <c r="AM45" s="5"/>
      <c r="AN45" s="5"/>
    </row>
    <row r="46" spans="1:40" ht="18">
      <c r="A46" s="5"/>
      <c r="B46" s="1189" t="s">
        <v>220</v>
      </c>
      <c r="C46" s="1189" t="s">
        <v>221</v>
      </c>
      <c r="D46" s="1189"/>
      <c r="E46" s="1189"/>
      <c r="F46" s="1189"/>
      <c r="G46" s="108" t="s">
        <v>222</v>
      </c>
      <c r="H46" s="108" t="s">
        <v>223</v>
      </c>
      <c r="I46" s="108" t="s">
        <v>224</v>
      </c>
      <c r="J46" s="109" t="s">
        <v>225</v>
      </c>
      <c r="K46" s="815"/>
      <c r="L46" s="5"/>
      <c r="M46" s="5"/>
      <c r="N46" s="5"/>
      <c r="AB46" s="5"/>
      <c r="AC46" s="5"/>
      <c r="AD46" s="5"/>
      <c r="AE46" s="5"/>
      <c r="AF46" s="5"/>
      <c r="AG46" s="5"/>
      <c r="AH46" s="5"/>
      <c r="AI46" s="5"/>
      <c r="AJ46" s="5"/>
      <c r="AK46" s="5"/>
      <c r="AL46" s="5"/>
      <c r="AM46" s="5"/>
      <c r="AN46" s="5"/>
    </row>
    <row r="47" spans="1:40" ht="19.5" thickBot="1">
      <c r="A47" s="5"/>
      <c r="B47" s="1189"/>
      <c r="C47" s="1189"/>
      <c r="D47" s="1189"/>
      <c r="E47" s="1189"/>
      <c r="F47" s="1189"/>
      <c r="G47" s="2" t="s">
        <v>226</v>
      </c>
      <c r="H47" s="89" t="s">
        <v>227</v>
      </c>
      <c r="I47" s="89" t="s">
        <v>228</v>
      </c>
      <c r="J47" s="92" t="s">
        <v>229</v>
      </c>
      <c r="K47" s="1188"/>
      <c r="L47" s="5"/>
      <c r="M47" s="5"/>
      <c r="N47" s="5"/>
      <c r="AB47" s="5"/>
      <c r="AC47" s="5"/>
      <c r="AD47" s="5"/>
      <c r="AE47" s="5"/>
      <c r="AF47" s="5"/>
      <c r="AG47" s="5"/>
      <c r="AH47" s="5"/>
      <c r="AI47" s="5"/>
      <c r="AJ47" s="5"/>
      <c r="AK47" s="5"/>
      <c r="AL47" s="5"/>
      <c r="AM47" s="5"/>
      <c r="AN47" s="5"/>
    </row>
    <row r="48" spans="1:40" ht="16.5" thickBot="1">
      <c r="A48" s="5"/>
      <c r="B48" s="110" t="s">
        <v>432</v>
      </c>
      <c r="C48" s="1153" t="s">
        <v>551</v>
      </c>
      <c r="D48" s="1153"/>
      <c r="E48" s="1153"/>
      <c r="F48" s="1153"/>
      <c r="G48" s="110">
        <f>3.995*3.78</f>
        <v>15.101099999999999</v>
      </c>
      <c r="H48" s="110">
        <f>Parois!L13</f>
        <v>0.31196948579298983</v>
      </c>
      <c r="I48" s="110">
        <v>1</v>
      </c>
      <c r="J48" s="111">
        <f>I48*H48*G48</f>
        <v>4.7110824019085182</v>
      </c>
      <c r="K48" s="1188"/>
      <c r="L48" s="5"/>
      <c r="M48" s="5"/>
      <c r="N48" s="5"/>
      <c r="AB48" s="132" t="s">
        <v>550</v>
      </c>
      <c r="AC48" s="1183" t="s">
        <v>219</v>
      </c>
      <c r="AD48" s="1183"/>
      <c r="AE48" s="1183"/>
      <c r="AF48" s="1183"/>
      <c r="AG48" s="1183"/>
      <c r="AH48" s="1183"/>
      <c r="AI48" s="1183"/>
      <c r="AJ48" s="1183"/>
      <c r="AK48" s="1183"/>
      <c r="AL48" s="5"/>
      <c r="AM48" s="5"/>
      <c r="AN48" s="5"/>
    </row>
    <row r="49" spans="1:40" ht="18">
      <c r="A49" s="5"/>
      <c r="B49" s="436" t="s">
        <v>544</v>
      </c>
      <c r="C49" s="1252" t="s">
        <v>206</v>
      </c>
      <c r="D49" s="1253"/>
      <c r="E49" s="1253"/>
      <c r="F49" s="1254"/>
      <c r="G49" s="436">
        <f>3.895*3.15</f>
        <v>12.26925</v>
      </c>
      <c r="H49" s="436">
        <f>Parois!L59</f>
        <v>0.14630087903826619</v>
      </c>
      <c r="I49" s="436">
        <v>1</v>
      </c>
      <c r="J49" s="436"/>
      <c r="K49" s="1188"/>
      <c r="L49" s="5"/>
      <c r="M49" s="5"/>
      <c r="N49" s="5"/>
      <c r="AB49" s="5"/>
      <c r="AC49" s="1189" t="s">
        <v>220</v>
      </c>
      <c r="AD49" s="1189" t="s">
        <v>221</v>
      </c>
      <c r="AE49" s="1189"/>
      <c r="AF49" s="1189"/>
      <c r="AG49" s="1189"/>
      <c r="AH49" s="108" t="s">
        <v>222</v>
      </c>
      <c r="AI49" s="108" t="s">
        <v>223</v>
      </c>
      <c r="AJ49" s="108" t="s">
        <v>224</v>
      </c>
      <c r="AK49" s="109" t="s">
        <v>225</v>
      </c>
      <c r="AL49" s="815"/>
      <c r="AM49" s="5"/>
      <c r="AN49" s="5"/>
    </row>
    <row r="50" spans="1:40" ht="20.25">
      <c r="A50" s="5"/>
      <c r="B50" s="1192" t="s">
        <v>430</v>
      </c>
      <c r="C50" s="1192"/>
      <c r="D50" s="1192"/>
      <c r="E50" s="1192"/>
      <c r="F50" s="1192"/>
      <c r="G50" s="1192"/>
      <c r="H50" s="1192"/>
      <c r="I50" s="1192"/>
      <c r="J50" s="105">
        <f>J48+J49</f>
        <v>4.7110824019085182</v>
      </c>
      <c r="K50" s="1188"/>
      <c r="L50" s="5"/>
      <c r="M50" s="5"/>
      <c r="N50" s="5"/>
      <c r="AB50" s="5"/>
      <c r="AC50" s="1189"/>
      <c r="AD50" s="1189"/>
      <c r="AE50" s="1189"/>
      <c r="AF50" s="1189"/>
      <c r="AG50" s="1189"/>
      <c r="AH50" s="2" t="s">
        <v>226</v>
      </c>
      <c r="AI50" s="89" t="s">
        <v>227</v>
      </c>
      <c r="AJ50" s="89" t="s">
        <v>228</v>
      </c>
      <c r="AK50" s="92" t="s">
        <v>229</v>
      </c>
      <c r="AL50" s="1188"/>
      <c r="AM50" s="5"/>
      <c r="AN50" s="5"/>
    </row>
    <row r="51" spans="1:40" ht="18">
      <c r="A51" s="5"/>
      <c r="B51" s="1130" t="s">
        <v>220</v>
      </c>
      <c r="C51" s="1132" t="s">
        <v>302</v>
      </c>
      <c r="D51" s="1132"/>
      <c r="E51" s="1132"/>
      <c r="F51" s="1132"/>
      <c r="G51" s="114" t="s">
        <v>303</v>
      </c>
      <c r="H51" s="114" t="s">
        <v>304</v>
      </c>
      <c r="I51" s="114" t="s">
        <v>224</v>
      </c>
      <c r="J51" s="115" t="s">
        <v>305</v>
      </c>
      <c r="K51" s="1188"/>
      <c r="L51" s="5"/>
      <c r="M51" s="5"/>
      <c r="N51" s="5"/>
      <c r="AB51" s="5"/>
      <c r="AC51" s="110" t="s">
        <v>432</v>
      </c>
      <c r="AD51" s="1153" t="s">
        <v>551</v>
      </c>
      <c r="AE51" s="1153"/>
      <c r="AF51" s="1153"/>
      <c r="AG51" s="1153"/>
      <c r="AH51" s="110">
        <f>3.995*3.78</f>
        <v>15.101099999999999</v>
      </c>
      <c r="AI51" s="110">
        <f>Parois!AM16</f>
        <v>0</v>
      </c>
      <c r="AJ51" s="110">
        <v>1</v>
      </c>
      <c r="AK51" s="111">
        <f>AJ51*AI51*AH51</f>
        <v>0</v>
      </c>
      <c r="AL51" s="1188"/>
      <c r="AM51" s="5"/>
      <c r="AN51" s="5"/>
    </row>
    <row r="52" spans="1:40">
      <c r="A52" s="5"/>
      <c r="B52" s="1130"/>
      <c r="C52" s="1132"/>
      <c r="D52" s="1132"/>
      <c r="E52" s="1132"/>
      <c r="F52" s="1132"/>
      <c r="G52" s="107" t="s">
        <v>307</v>
      </c>
      <c r="H52" s="107" t="s">
        <v>308</v>
      </c>
      <c r="I52" s="107" t="s">
        <v>228</v>
      </c>
      <c r="J52" s="85" t="s">
        <v>229</v>
      </c>
      <c r="K52" s="1188"/>
      <c r="L52" s="5"/>
      <c r="M52" s="5"/>
      <c r="N52" s="5"/>
      <c r="AB52" s="5"/>
      <c r="AC52" s="436" t="s">
        <v>544</v>
      </c>
      <c r="AD52" s="1252" t="s">
        <v>206</v>
      </c>
      <c r="AE52" s="1253"/>
      <c r="AF52" s="1253"/>
      <c r="AG52" s="1254"/>
      <c r="AH52" s="436">
        <f>3.895*3.15</f>
        <v>12.26925</v>
      </c>
      <c r="AI52" s="436">
        <f>Parois!AM62</f>
        <v>0</v>
      </c>
      <c r="AJ52" s="436">
        <v>1</v>
      </c>
      <c r="AK52" s="436"/>
      <c r="AL52" s="1188"/>
      <c r="AM52" s="5"/>
      <c r="AN52" s="5"/>
    </row>
    <row r="53" spans="1:40" ht="18.75">
      <c r="A53" s="5"/>
      <c r="B53" s="57"/>
      <c r="C53" s="1123" t="s">
        <v>174</v>
      </c>
      <c r="D53" s="1123"/>
      <c r="E53" s="1123"/>
      <c r="F53" s="1123"/>
      <c r="G53" s="107"/>
      <c r="H53" s="116"/>
      <c r="I53" s="116"/>
      <c r="J53" s="117"/>
      <c r="K53" s="1188"/>
      <c r="L53" s="5"/>
      <c r="M53" s="5"/>
      <c r="N53" s="5"/>
      <c r="AB53" s="5"/>
      <c r="AC53" s="1192" t="s">
        <v>430</v>
      </c>
      <c r="AD53" s="1192"/>
      <c r="AE53" s="1192"/>
      <c r="AF53" s="1192"/>
      <c r="AG53" s="1192"/>
      <c r="AH53" s="1192"/>
      <c r="AI53" s="1192"/>
      <c r="AJ53" s="1192"/>
      <c r="AK53" s="105">
        <f>AK51+AK52</f>
        <v>0</v>
      </c>
      <c r="AL53" s="1188"/>
      <c r="AM53" s="5"/>
      <c r="AN53" s="5"/>
    </row>
    <row r="54" spans="1:40" ht="18.75">
      <c r="A54" s="5"/>
      <c r="B54" s="1029" t="s">
        <v>282</v>
      </c>
      <c r="C54" s="1029"/>
      <c r="D54" s="1029"/>
      <c r="E54" s="1029"/>
      <c r="F54" s="1029"/>
      <c r="G54" s="1029"/>
      <c r="H54" s="1029"/>
      <c r="I54" s="1029"/>
      <c r="J54" s="95">
        <f>0</f>
        <v>0</v>
      </c>
      <c r="K54" s="831"/>
      <c r="L54" s="5"/>
      <c r="M54" s="5"/>
      <c r="N54" s="5"/>
      <c r="AB54" s="5"/>
      <c r="AC54" s="1130" t="s">
        <v>220</v>
      </c>
      <c r="AD54" s="1132" t="s">
        <v>302</v>
      </c>
      <c r="AE54" s="1132"/>
      <c r="AF54" s="1132"/>
      <c r="AG54" s="1132"/>
      <c r="AH54" s="114" t="s">
        <v>303</v>
      </c>
      <c r="AI54" s="114" t="s">
        <v>304</v>
      </c>
      <c r="AJ54" s="114" t="s">
        <v>224</v>
      </c>
      <c r="AK54" s="115" t="s">
        <v>305</v>
      </c>
      <c r="AL54" s="1188"/>
      <c r="AM54" s="5"/>
      <c r="AN54" s="5"/>
    </row>
    <row r="55" spans="1:40" ht="18">
      <c r="A55" s="5"/>
      <c r="B55" s="1199" t="s">
        <v>244</v>
      </c>
      <c r="C55" s="1199"/>
      <c r="D55" s="1199"/>
      <c r="E55" s="1199"/>
      <c r="F55" s="1199"/>
      <c r="G55" s="1199"/>
      <c r="H55" s="1200" t="s">
        <v>245</v>
      </c>
      <c r="I55" s="1200"/>
      <c r="J55" s="1200"/>
      <c r="K55" s="96">
        <f>J50+J54</f>
        <v>4.7110824019085182</v>
      </c>
      <c r="L55" s="1" t="s">
        <v>431</v>
      </c>
      <c r="M55" s="5"/>
      <c r="N55" s="5"/>
      <c r="AB55" s="5"/>
      <c r="AC55" s="1130"/>
      <c r="AD55" s="1132"/>
      <c r="AE55" s="1132"/>
      <c r="AF55" s="1132"/>
      <c r="AG55" s="1132"/>
      <c r="AH55" s="107" t="s">
        <v>307</v>
      </c>
      <c r="AI55" s="107" t="s">
        <v>308</v>
      </c>
      <c r="AJ55" s="107" t="s">
        <v>228</v>
      </c>
      <c r="AK55" s="85" t="s">
        <v>229</v>
      </c>
      <c r="AL55" s="1188"/>
      <c r="AM55" s="5"/>
      <c r="AN55" s="5"/>
    </row>
    <row r="56" spans="1:40">
      <c r="A56" s="5"/>
      <c r="B56" s="1001" t="s">
        <v>247</v>
      </c>
      <c r="C56" s="1001"/>
      <c r="D56" s="1001"/>
      <c r="E56" s="1001"/>
      <c r="F56" s="1001"/>
      <c r="G56" s="1001"/>
      <c r="H56" s="1001"/>
      <c r="I56" s="1001"/>
      <c r="J56" s="1002"/>
      <c r="K56" s="1203"/>
      <c r="L56" s="5"/>
      <c r="M56" s="5"/>
      <c r="N56" s="5"/>
      <c r="AB56" s="5"/>
      <c r="AC56" s="57"/>
      <c r="AD56" s="1123" t="s">
        <v>174</v>
      </c>
      <c r="AE56" s="1123"/>
      <c r="AF56" s="1123"/>
      <c r="AG56" s="1123"/>
      <c r="AH56" s="107"/>
      <c r="AI56" s="116"/>
      <c r="AJ56" s="116"/>
      <c r="AK56" s="117"/>
      <c r="AL56" s="1188"/>
      <c r="AM56" s="5"/>
      <c r="AN56" s="5"/>
    </row>
    <row r="57" spans="1:40" ht="18.75">
      <c r="A57" s="5"/>
      <c r="B57" s="1189" t="s">
        <v>220</v>
      </c>
      <c r="C57" s="1189" t="s">
        <v>249</v>
      </c>
      <c r="D57" s="1189"/>
      <c r="E57" s="1189"/>
      <c r="F57" s="1189"/>
      <c r="G57" s="108" t="s">
        <v>222</v>
      </c>
      <c r="H57" s="108" t="s">
        <v>223</v>
      </c>
      <c r="I57" s="313" t="s">
        <v>250</v>
      </c>
      <c r="J57" s="214" t="s">
        <v>225</v>
      </c>
      <c r="K57" s="1204"/>
      <c r="L57" s="5"/>
      <c r="M57" s="5"/>
      <c r="N57" s="5"/>
      <c r="AB57" s="5"/>
      <c r="AC57" s="1029" t="s">
        <v>282</v>
      </c>
      <c r="AD57" s="1029"/>
      <c r="AE57" s="1029"/>
      <c r="AF57" s="1029"/>
      <c r="AG57" s="1029"/>
      <c r="AH57" s="1029"/>
      <c r="AI57" s="1029"/>
      <c r="AJ57" s="1029"/>
      <c r="AK57" s="95">
        <f>0</f>
        <v>0</v>
      </c>
      <c r="AL57" s="831"/>
      <c r="AM57" s="5"/>
      <c r="AN57" s="5"/>
    </row>
    <row r="58" spans="1:40" ht="19.5">
      <c r="A58" s="5"/>
      <c r="B58" s="1189"/>
      <c r="C58" s="1189"/>
      <c r="D58" s="1189"/>
      <c r="E58" s="1189"/>
      <c r="F58" s="1189"/>
      <c r="G58" s="2" t="s">
        <v>226</v>
      </c>
      <c r="H58" s="89" t="s">
        <v>227</v>
      </c>
      <c r="I58" s="92" t="s">
        <v>228</v>
      </c>
      <c r="J58" s="225" t="s">
        <v>229</v>
      </c>
      <c r="K58" s="1204"/>
      <c r="L58" s="5"/>
      <c r="M58" s="5"/>
      <c r="N58" s="5"/>
      <c r="P58" t="s">
        <v>552</v>
      </c>
      <c r="AB58" s="5"/>
      <c r="AC58" s="1199" t="s">
        <v>244</v>
      </c>
      <c r="AD58" s="1199"/>
      <c r="AE58" s="1199"/>
      <c r="AF58" s="1199"/>
      <c r="AG58" s="1199"/>
      <c r="AH58" s="1199"/>
      <c r="AI58" s="1200" t="s">
        <v>245</v>
      </c>
      <c r="AJ58" s="1200"/>
      <c r="AK58" s="1200"/>
      <c r="AL58" s="96">
        <f>AK53+AK57</f>
        <v>0</v>
      </c>
      <c r="AM58" s="1" t="s">
        <v>431</v>
      </c>
      <c r="AN58" s="5"/>
    </row>
    <row r="59" spans="1:40">
      <c r="A59" s="5"/>
      <c r="B59" s="2" t="s">
        <v>387</v>
      </c>
      <c r="C59" s="862" t="s">
        <v>553</v>
      </c>
      <c r="D59" s="862"/>
      <c r="E59" s="862"/>
      <c r="F59" s="862"/>
      <c r="G59" s="2">
        <f>3.78*3.54</f>
        <v>13.3812</v>
      </c>
      <c r="H59" s="2">
        <f>Parois!L42</f>
        <v>1.8115853807007718</v>
      </c>
      <c r="I59" s="120">
        <f>(Données!G45-Données!G48)/(Données!G45-Données!G11)</f>
        <v>0</v>
      </c>
      <c r="J59" s="215">
        <f>I59*H59*G59</f>
        <v>0</v>
      </c>
      <c r="K59" s="1204"/>
      <c r="L59" s="5"/>
      <c r="AB59" s="5"/>
      <c r="AC59" s="1183" t="s">
        <v>247</v>
      </c>
      <c r="AD59" s="1183"/>
      <c r="AE59" s="1183"/>
      <c r="AF59" s="1183"/>
      <c r="AG59" s="1183"/>
      <c r="AH59" s="1183"/>
      <c r="AI59" s="1183"/>
      <c r="AJ59" s="1183"/>
      <c r="AK59" s="1180"/>
      <c r="AL59" s="1203"/>
      <c r="AM59" s="5"/>
      <c r="AN59" s="5"/>
    </row>
    <row r="60" spans="1:40" ht="18">
      <c r="A60" s="5"/>
      <c r="B60" s="140" t="s">
        <v>437</v>
      </c>
      <c r="C60" s="1160" t="s">
        <v>554</v>
      </c>
      <c r="D60" s="1210"/>
      <c r="E60" s="1210"/>
      <c r="F60" s="1211"/>
      <c r="G60" s="6">
        <f>2.4*3.78</f>
        <v>9.0719999999999992</v>
      </c>
      <c r="H60" s="2">
        <f>I80</f>
        <v>1.8115853807007718</v>
      </c>
      <c r="I60" s="89">
        <f>(J85-J85)/J86</f>
        <v>0</v>
      </c>
      <c r="J60" s="92">
        <f>I60*H60*G60</f>
        <v>0</v>
      </c>
      <c r="K60" s="1204"/>
      <c r="L60" s="5"/>
      <c r="AB60" s="5"/>
      <c r="AC60" s="1189" t="s">
        <v>220</v>
      </c>
      <c r="AD60" s="1189" t="s">
        <v>249</v>
      </c>
      <c r="AE60" s="1189"/>
      <c r="AF60" s="1189"/>
      <c r="AG60" s="1189"/>
      <c r="AH60" s="108" t="s">
        <v>222</v>
      </c>
      <c r="AI60" s="108" t="s">
        <v>223</v>
      </c>
      <c r="AJ60" s="313" t="s">
        <v>250</v>
      </c>
      <c r="AK60" s="214" t="s">
        <v>225</v>
      </c>
      <c r="AL60" s="1204"/>
      <c r="AM60" s="5"/>
      <c r="AN60" s="5"/>
    </row>
    <row r="61" spans="1:40" ht="18.75">
      <c r="A61" s="5"/>
      <c r="B61" s="140" t="s">
        <v>383</v>
      </c>
      <c r="K61" s="1204"/>
      <c r="L61" s="5"/>
      <c r="AB61" s="5"/>
      <c r="AC61" s="1189"/>
      <c r="AD61" s="1189"/>
      <c r="AE61" s="1189"/>
      <c r="AF61" s="1189"/>
      <c r="AG61" s="1189"/>
      <c r="AH61" s="2" t="s">
        <v>226</v>
      </c>
      <c r="AI61" s="89" t="s">
        <v>227</v>
      </c>
      <c r="AJ61" s="92" t="s">
        <v>228</v>
      </c>
      <c r="AK61" s="225" t="s">
        <v>229</v>
      </c>
      <c r="AL61" s="1204"/>
      <c r="AM61" s="5"/>
      <c r="AN61" s="5"/>
    </row>
    <row r="62" spans="1:40">
      <c r="A62" s="5"/>
      <c r="B62" s="140"/>
      <c r="C62" s="1160"/>
      <c r="D62" s="1210"/>
      <c r="E62" s="1210"/>
      <c r="F62" s="1211"/>
      <c r="G62" s="6"/>
      <c r="H62" s="2"/>
      <c r="I62" s="89"/>
      <c r="J62" s="92"/>
      <c r="K62" s="1204"/>
      <c r="L62" s="5"/>
      <c r="M62" s="5"/>
      <c r="N62" s="5"/>
      <c r="AB62" s="5"/>
      <c r="AC62" s="2" t="s">
        <v>387</v>
      </c>
      <c r="AD62" s="862" t="s">
        <v>553</v>
      </c>
      <c r="AE62" s="862"/>
      <c r="AF62" s="862"/>
      <c r="AG62" s="862"/>
      <c r="AH62" s="2">
        <f>3.78*3.54</f>
        <v>13.3812</v>
      </c>
      <c r="AI62" s="2">
        <f>Parois!AM45</f>
        <v>0</v>
      </c>
      <c r="AJ62" s="120"/>
      <c r="AK62" s="215">
        <f>AJ62*AI62*AH62</f>
        <v>0</v>
      </c>
      <c r="AL62" s="1204"/>
      <c r="AM62" s="5"/>
    </row>
    <row r="63" spans="1:40">
      <c r="A63" s="5"/>
      <c r="B63" s="1205" t="s">
        <v>439</v>
      </c>
      <c r="C63" s="818"/>
      <c r="D63" s="818"/>
      <c r="E63" s="818"/>
      <c r="F63" s="818"/>
      <c r="G63" s="818"/>
      <c r="H63" s="818"/>
      <c r="I63" s="862"/>
      <c r="J63" s="216">
        <f>J59+J60</f>
        <v>0</v>
      </c>
      <c r="K63" s="1204"/>
      <c r="L63" s="5"/>
      <c r="M63" s="5"/>
      <c r="N63" s="5"/>
      <c r="AB63" s="5"/>
      <c r="AC63" s="140" t="s">
        <v>437</v>
      </c>
      <c r="AD63" s="1160" t="s">
        <v>554</v>
      </c>
      <c r="AE63" s="1210"/>
      <c r="AF63" s="1210"/>
      <c r="AG63" s="1211"/>
      <c r="AH63" s="6">
        <f>2.4*3.78</f>
        <v>9.0719999999999992</v>
      </c>
      <c r="AI63" s="2">
        <f>AJ83</f>
        <v>0</v>
      </c>
      <c r="AJ63" s="89">
        <f>(AK88-AK88)/AK89</f>
        <v>0</v>
      </c>
      <c r="AK63" s="92">
        <f>AJ63*AI63*AH63</f>
        <v>0</v>
      </c>
      <c r="AL63" s="1204"/>
      <c r="AM63" s="5"/>
    </row>
    <row r="64" spans="1:40" ht="18">
      <c r="A64" s="5"/>
      <c r="B64" s="1130" t="s">
        <v>220</v>
      </c>
      <c r="C64" s="1132" t="s">
        <v>302</v>
      </c>
      <c r="D64" s="1133"/>
      <c r="E64" s="1133"/>
      <c r="F64" s="1134"/>
      <c r="G64" s="114" t="s">
        <v>303</v>
      </c>
      <c r="H64" s="114" t="s">
        <v>304</v>
      </c>
      <c r="I64" s="313" t="s">
        <v>250</v>
      </c>
      <c r="J64" s="115" t="s">
        <v>305</v>
      </c>
      <c r="K64" s="1204"/>
      <c r="L64" s="233"/>
      <c r="M64" s="5"/>
      <c r="N64" s="5"/>
      <c r="AB64" s="5"/>
      <c r="AC64" s="140" t="s">
        <v>383</v>
      </c>
      <c r="AL64" s="1204"/>
      <c r="AM64" s="5"/>
    </row>
    <row r="65" spans="1:40">
      <c r="A65" s="5"/>
      <c r="B65" s="1131"/>
      <c r="C65" s="1135"/>
      <c r="D65" s="1136"/>
      <c r="E65" s="1136"/>
      <c r="F65" s="1137"/>
      <c r="G65" s="116" t="s">
        <v>307</v>
      </c>
      <c r="H65" s="116" t="s">
        <v>308</v>
      </c>
      <c r="I65" s="117" t="s">
        <v>228</v>
      </c>
      <c r="J65" s="85" t="s">
        <v>229</v>
      </c>
      <c r="K65" s="121">
        <f>J63+J67</f>
        <v>0</v>
      </c>
      <c r="L65" s="122" t="s">
        <v>431</v>
      </c>
      <c r="M65" s="5"/>
      <c r="N65" s="5"/>
      <c r="AB65" s="5"/>
      <c r="AC65" s="140"/>
      <c r="AD65" s="1160"/>
      <c r="AE65" s="1210"/>
      <c r="AF65" s="1210"/>
      <c r="AG65" s="1211"/>
      <c r="AH65" s="6"/>
      <c r="AI65" s="2"/>
      <c r="AJ65" s="89"/>
      <c r="AK65" s="92"/>
      <c r="AL65" s="1204"/>
      <c r="AM65" s="5"/>
      <c r="AN65" s="5"/>
    </row>
    <row r="66" spans="1:40">
      <c r="A66" s="5"/>
      <c r="B66" s="1"/>
      <c r="C66" s="2" t="s">
        <v>174</v>
      </c>
      <c r="D66" s="2"/>
      <c r="E66" s="2"/>
      <c r="F66" s="2"/>
      <c r="G66" s="1"/>
      <c r="H66" s="1"/>
      <c r="I66" s="1"/>
      <c r="J66" s="217"/>
      <c r="K66" s="831"/>
      <c r="L66" s="233"/>
      <c r="M66" s="5"/>
      <c r="N66" s="5"/>
      <c r="AB66" s="5"/>
      <c r="AC66" s="1205" t="s">
        <v>439</v>
      </c>
      <c r="AD66" s="818"/>
      <c r="AE66" s="818"/>
      <c r="AF66" s="818"/>
      <c r="AG66" s="818"/>
      <c r="AH66" s="818"/>
      <c r="AI66" s="818"/>
      <c r="AJ66" s="862"/>
      <c r="AK66" s="216">
        <f>AK62+AK63</f>
        <v>0</v>
      </c>
      <c r="AL66" s="1204"/>
      <c r="AM66" s="5"/>
      <c r="AN66" s="5"/>
    </row>
    <row r="67" spans="1:40" ht="18">
      <c r="A67" s="5"/>
      <c r="B67" s="226" t="s">
        <v>443</v>
      </c>
      <c r="C67" s="220"/>
      <c r="D67" s="220"/>
      <c r="E67" s="220"/>
      <c r="F67" s="220"/>
      <c r="G67" s="101"/>
      <c r="H67" s="101"/>
      <c r="I67" s="227"/>
      <c r="J67" s="95">
        <v>0</v>
      </c>
      <c r="K67" s="807"/>
      <c r="L67" s="233"/>
      <c r="M67" s="5"/>
      <c r="N67" s="5"/>
      <c r="AB67" s="5"/>
      <c r="AC67" s="1130" t="s">
        <v>220</v>
      </c>
      <c r="AD67" s="1132" t="s">
        <v>302</v>
      </c>
      <c r="AE67" s="1133"/>
      <c r="AF67" s="1133"/>
      <c r="AG67" s="1134"/>
      <c r="AH67" s="114" t="s">
        <v>303</v>
      </c>
      <c r="AI67" s="114" t="s">
        <v>304</v>
      </c>
      <c r="AJ67" s="313" t="s">
        <v>250</v>
      </c>
      <c r="AK67" s="115" t="s">
        <v>305</v>
      </c>
      <c r="AL67" s="1204"/>
      <c r="AM67" s="233"/>
      <c r="AN67" s="5"/>
    </row>
    <row r="68" spans="1:40">
      <c r="A68" s="5"/>
      <c r="B68" s="384" t="s">
        <v>555</v>
      </c>
      <c r="C68" s="385"/>
      <c r="D68" s="385"/>
      <c r="E68" s="385"/>
      <c r="F68" s="385"/>
      <c r="G68" s="385"/>
      <c r="H68" s="385"/>
      <c r="I68" s="422"/>
      <c r="J68" s="228" t="s">
        <v>445</v>
      </c>
      <c r="K68" s="807"/>
      <c r="L68" s="5"/>
      <c r="M68" s="5"/>
      <c r="N68" s="5"/>
      <c r="AB68" s="5"/>
      <c r="AC68" s="1131"/>
      <c r="AD68" s="1135"/>
      <c r="AE68" s="1136"/>
      <c r="AF68" s="1136"/>
      <c r="AG68" s="1137"/>
      <c r="AH68" s="116" t="s">
        <v>307</v>
      </c>
      <c r="AI68" s="116" t="s">
        <v>308</v>
      </c>
      <c r="AJ68" s="117" t="s">
        <v>228</v>
      </c>
      <c r="AK68" s="85" t="s">
        <v>229</v>
      </c>
      <c r="AL68" s="121">
        <f>AK66+AK70</f>
        <v>0</v>
      </c>
      <c r="AM68" s="122" t="s">
        <v>431</v>
      </c>
      <c r="AN68" s="5"/>
    </row>
    <row r="69" spans="1:40">
      <c r="A69" s="5"/>
      <c r="B69" s="432" t="s">
        <v>321</v>
      </c>
      <c r="C69" s="433"/>
      <c r="D69" s="433"/>
      <c r="E69" s="433"/>
      <c r="F69" s="433"/>
      <c r="G69" s="433"/>
      <c r="H69" s="433"/>
      <c r="I69" s="433"/>
      <c r="J69" s="434"/>
      <c r="K69" s="807"/>
      <c r="L69" s="5"/>
      <c r="M69" s="5"/>
      <c r="N69" s="5"/>
      <c r="AB69" s="5"/>
      <c r="AC69" s="1"/>
      <c r="AD69" s="2" t="s">
        <v>174</v>
      </c>
      <c r="AE69" s="2"/>
      <c r="AF69" s="2"/>
      <c r="AG69" s="2"/>
      <c r="AH69" s="1"/>
      <c r="AI69" s="1"/>
      <c r="AJ69" s="1"/>
      <c r="AK69" s="217"/>
      <c r="AL69" s="831"/>
      <c r="AM69" s="233"/>
      <c r="AN69" s="5"/>
    </row>
    <row r="70" spans="1:40" ht="18">
      <c r="A70" s="5"/>
      <c r="B70" s="411" t="s">
        <v>220</v>
      </c>
      <c r="C70" s="411" t="s">
        <v>249</v>
      </c>
      <c r="D70" s="411"/>
      <c r="E70" s="411"/>
      <c r="F70" s="411"/>
      <c r="G70" s="108" t="s">
        <v>222</v>
      </c>
      <c r="H70" s="108" t="s">
        <v>223</v>
      </c>
      <c r="I70" s="108" t="s">
        <v>224</v>
      </c>
      <c r="J70" s="108" t="s">
        <v>225</v>
      </c>
      <c r="K70" s="96">
        <f>J72</f>
        <v>0</v>
      </c>
      <c r="L70" s="2" t="s">
        <v>431</v>
      </c>
      <c r="M70" s="5"/>
      <c r="N70" s="5"/>
      <c r="AB70" s="5"/>
      <c r="AC70" s="226" t="s">
        <v>443</v>
      </c>
      <c r="AD70" s="220"/>
      <c r="AE70" s="220"/>
      <c r="AF70" s="220"/>
      <c r="AG70" s="220"/>
      <c r="AH70" s="101"/>
      <c r="AI70" s="101"/>
      <c r="AJ70" s="227"/>
      <c r="AK70" s="95">
        <v>0</v>
      </c>
      <c r="AL70" s="807"/>
      <c r="AM70" s="233"/>
      <c r="AN70" s="5"/>
    </row>
    <row r="71" spans="1:40" ht="18.75">
      <c r="A71" s="5"/>
      <c r="B71" s="411"/>
      <c r="C71" s="411"/>
      <c r="D71" s="411"/>
      <c r="E71" s="411"/>
      <c r="F71" s="411"/>
      <c r="G71" s="2" t="s">
        <v>226</v>
      </c>
      <c r="H71" s="89" t="s">
        <v>227</v>
      </c>
      <c r="I71" s="89" t="s">
        <v>228</v>
      </c>
      <c r="J71" s="89" t="s">
        <v>229</v>
      </c>
      <c r="K71" s="923"/>
      <c r="L71" s="5"/>
      <c r="M71" s="5"/>
      <c r="N71" s="5"/>
      <c r="AB71" s="5"/>
      <c r="AC71" s="384" t="s">
        <v>555</v>
      </c>
      <c r="AD71" s="385"/>
      <c r="AE71" s="385"/>
      <c r="AF71" s="385"/>
      <c r="AG71" s="385"/>
      <c r="AH71" s="385"/>
      <c r="AI71" s="385"/>
      <c r="AJ71" s="422"/>
      <c r="AK71" s="228" t="s">
        <v>445</v>
      </c>
      <c r="AL71" s="807"/>
      <c r="AM71" s="5"/>
      <c r="AN71" s="5"/>
    </row>
    <row r="72" spans="1:40">
      <c r="A72" s="290"/>
      <c r="B72" s="1"/>
      <c r="C72" s="347" t="s">
        <v>391</v>
      </c>
      <c r="D72" s="366"/>
      <c r="E72" s="366"/>
      <c r="F72" s="367"/>
      <c r="G72" s="2"/>
      <c r="H72" s="2"/>
      <c r="I72" s="2"/>
      <c r="J72" s="2"/>
      <c r="K72" s="923"/>
      <c r="L72" s="5"/>
      <c r="M72" s="5"/>
      <c r="N72" s="5"/>
      <c r="AB72" s="5"/>
      <c r="AC72" s="609" t="s">
        <v>321</v>
      </c>
      <c r="AD72" s="608"/>
      <c r="AE72" s="608"/>
      <c r="AF72" s="608"/>
      <c r="AG72" s="608"/>
      <c r="AH72" s="608"/>
      <c r="AI72" s="608"/>
      <c r="AJ72" s="608"/>
      <c r="AK72" s="610"/>
      <c r="AL72" s="807"/>
      <c r="AM72" s="5"/>
      <c r="AN72" s="5"/>
    </row>
    <row r="73" spans="1:40" ht="18.75">
      <c r="A73" s="5"/>
      <c r="B73" s="98" t="s">
        <v>287</v>
      </c>
      <c r="C73" s="98"/>
      <c r="D73" s="98"/>
      <c r="E73" s="98"/>
      <c r="F73" s="98"/>
      <c r="G73" s="98"/>
      <c r="H73" s="357" t="s">
        <v>288</v>
      </c>
      <c r="I73" s="358"/>
      <c r="J73" s="435"/>
      <c r="K73" s="923"/>
      <c r="L73" s="5"/>
      <c r="M73" s="5"/>
      <c r="N73" s="5"/>
      <c r="AB73" s="5"/>
      <c r="AC73" s="411" t="s">
        <v>220</v>
      </c>
      <c r="AD73" s="411" t="s">
        <v>249</v>
      </c>
      <c r="AE73" s="411"/>
      <c r="AF73" s="411"/>
      <c r="AG73" s="411"/>
      <c r="AH73" s="108" t="s">
        <v>222</v>
      </c>
      <c r="AI73" s="108" t="s">
        <v>223</v>
      </c>
      <c r="AJ73" s="108" t="s">
        <v>224</v>
      </c>
      <c r="AK73" s="108" t="s">
        <v>225</v>
      </c>
      <c r="AL73" s="96">
        <f>AK75</f>
        <v>0</v>
      </c>
      <c r="AM73" s="2" t="s">
        <v>431</v>
      </c>
      <c r="AN73" s="5"/>
    </row>
    <row r="74" spans="1:40" ht="18.75">
      <c r="A74" s="5"/>
      <c r="B74" s="419" t="s">
        <v>257</v>
      </c>
      <c r="C74" s="420"/>
      <c r="D74" s="420"/>
      <c r="E74" s="420"/>
      <c r="F74" s="420"/>
      <c r="G74" s="420"/>
      <c r="H74" s="420"/>
      <c r="I74" s="420"/>
      <c r="J74" s="420"/>
      <c r="K74" s="923"/>
      <c r="L74" s="5"/>
      <c r="M74" s="5"/>
      <c r="N74" s="5"/>
      <c r="AB74" s="5"/>
      <c r="AC74" s="411"/>
      <c r="AD74" s="411"/>
      <c r="AE74" s="411"/>
      <c r="AF74" s="411"/>
      <c r="AG74" s="411"/>
      <c r="AH74" s="2" t="s">
        <v>226</v>
      </c>
      <c r="AI74" s="89" t="s">
        <v>227</v>
      </c>
      <c r="AJ74" s="89" t="s">
        <v>228</v>
      </c>
      <c r="AK74" s="89" t="s">
        <v>229</v>
      </c>
      <c r="AL74" s="923"/>
      <c r="AM74" s="5"/>
      <c r="AN74" s="5"/>
    </row>
    <row r="75" spans="1:40" ht="18">
      <c r="A75" s="5"/>
      <c r="B75" s="421" t="s">
        <v>220</v>
      </c>
      <c r="C75" s="370" t="s">
        <v>221</v>
      </c>
      <c r="D75" s="371"/>
      <c r="E75" s="371"/>
      <c r="F75" s="371"/>
      <c r="G75" s="108" t="s">
        <v>232</v>
      </c>
      <c r="H75" s="108" t="s">
        <v>222</v>
      </c>
      <c r="I75" s="108" t="s">
        <v>223</v>
      </c>
      <c r="J75" s="109" t="s">
        <v>233</v>
      </c>
      <c r="K75" s="923"/>
      <c r="L75" s="5"/>
      <c r="M75" s="5"/>
      <c r="N75" s="5"/>
      <c r="AB75" s="290"/>
      <c r="AC75" s="1"/>
      <c r="AD75" s="347" t="s">
        <v>391</v>
      </c>
      <c r="AE75" s="366"/>
      <c r="AF75" s="366"/>
      <c r="AG75" s="367"/>
      <c r="AH75" s="2"/>
      <c r="AI75" s="2"/>
      <c r="AJ75" s="2"/>
      <c r="AK75" s="2"/>
      <c r="AL75" s="923"/>
      <c r="AM75" s="5"/>
      <c r="AN75" s="5"/>
    </row>
    <row r="76" spans="1:40" ht="20.25">
      <c r="A76" s="5"/>
      <c r="B76" s="140"/>
      <c r="C76" s="409"/>
      <c r="D76" s="410"/>
      <c r="E76" s="410"/>
      <c r="F76" s="410"/>
      <c r="G76" s="2" t="s">
        <v>228</v>
      </c>
      <c r="H76" s="2" t="s">
        <v>226</v>
      </c>
      <c r="I76" s="89" t="s">
        <v>227</v>
      </c>
      <c r="J76" s="92" t="s">
        <v>229</v>
      </c>
      <c r="K76" s="923"/>
      <c r="L76" s="289"/>
      <c r="M76" s="5"/>
      <c r="N76" s="5"/>
      <c r="AB76" s="5"/>
      <c r="AC76" s="98" t="s">
        <v>287</v>
      </c>
      <c r="AD76" s="98"/>
      <c r="AE76" s="98"/>
      <c r="AF76" s="98"/>
      <c r="AG76" s="98"/>
      <c r="AH76" s="98"/>
      <c r="AI76" s="357" t="s">
        <v>288</v>
      </c>
      <c r="AJ76" s="358"/>
      <c r="AK76" s="435"/>
      <c r="AL76" s="923"/>
      <c r="AM76" s="5"/>
      <c r="AN76" s="5"/>
    </row>
    <row r="77" spans="1:40">
      <c r="A77" s="5"/>
      <c r="B77" s="140" t="s">
        <v>447</v>
      </c>
      <c r="C77" s="1160" t="s">
        <v>199</v>
      </c>
      <c r="D77" s="1210"/>
      <c r="E77" s="1210"/>
      <c r="F77" s="1211"/>
      <c r="G77" s="152">
        <f>(J129-10)/J130</f>
        <v>0.25</v>
      </c>
      <c r="H77" s="2">
        <f>3.895*3.49</f>
        <v>13.59355</v>
      </c>
      <c r="I77" s="89">
        <f>Parois!L49</f>
        <v>0.39937430012814151</v>
      </c>
      <c r="J77" s="92">
        <f>I77*H77*G77</f>
        <v>1.3572286293767246</v>
      </c>
      <c r="K77" s="923"/>
      <c r="L77" s="5"/>
      <c r="M77" s="5"/>
      <c r="N77" s="5"/>
      <c r="AB77" s="5"/>
      <c r="AC77" s="594" t="s">
        <v>257</v>
      </c>
      <c r="AD77" s="595"/>
      <c r="AE77" s="595"/>
      <c r="AF77" s="595"/>
      <c r="AG77" s="595"/>
      <c r="AH77" s="595"/>
      <c r="AI77" s="595"/>
      <c r="AJ77" s="595"/>
      <c r="AK77" s="595"/>
      <c r="AL77" s="923"/>
      <c r="AM77" s="5"/>
      <c r="AN77" s="5"/>
    </row>
    <row r="78" spans="1:40" ht="18">
      <c r="A78" s="5"/>
      <c r="B78" s="116" t="s">
        <v>387</v>
      </c>
      <c r="C78" s="1212" t="s">
        <v>216</v>
      </c>
      <c r="D78" s="1213"/>
      <c r="E78" s="1213"/>
      <c r="F78" s="1213"/>
      <c r="G78" s="193">
        <f>(J85-20)/J86</f>
        <v>-0.16666666666666666</v>
      </c>
      <c r="H78" s="298">
        <f>(2.03*0.81)</f>
        <v>1.6442999999999999</v>
      </c>
      <c r="I78" s="298">
        <v>2.5</v>
      </c>
      <c r="J78" s="299">
        <f>I78*H78*G78</f>
        <v>-0.68512499999999987</v>
      </c>
      <c r="K78" s="1243"/>
      <c r="L78" s="5"/>
      <c r="M78" s="5"/>
      <c r="N78" s="5"/>
      <c r="AB78" s="5"/>
      <c r="AC78" s="421" t="s">
        <v>220</v>
      </c>
      <c r="AD78" s="370" t="s">
        <v>221</v>
      </c>
      <c r="AE78" s="371"/>
      <c r="AF78" s="371"/>
      <c r="AG78" s="371"/>
      <c r="AH78" s="108" t="s">
        <v>232</v>
      </c>
      <c r="AI78" s="108" t="s">
        <v>222</v>
      </c>
      <c r="AJ78" s="108" t="s">
        <v>223</v>
      </c>
      <c r="AK78" s="109" t="s">
        <v>233</v>
      </c>
      <c r="AL78" s="923"/>
      <c r="AM78" s="5"/>
      <c r="AN78" s="5"/>
    </row>
    <row r="79" spans="1:40" ht="15.75" customHeight="1">
      <c r="A79" s="5"/>
      <c r="B79" s="119"/>
      <c r="C79" s="119" t="s">
        <v>556</v>
      </c>
      <c r="D79" s="439"/>
      <c r="E79" s="439"/>
      <c r="F79" s="438"/>
      <c r="G79" s="455">
        <f>(J85-20)/J86</f>
        <v>-0.16666666666666666</v>
      </c>
      <c r="H79" s="1">
        <f>1.595*3.7-H78</f>
        <v>4.257200000000001</v>
      </c>
      <c r="I79" s="1">
        <f>I80</f>
        <v>1.8115853807007718</v>
      </c>
      <c r="J79" s="299">
        <f>I79*H79*G79</f>
        <v>-1.2853802137865546</v>
      </c>
      <c r="K79" s="1"/>
      <c r="M79" s="5"/>
      <c r="N79" s="5"/>
      <c r="AB79" s="5"/>
      <c r="AC79" s="140"/>
      <c r="AD79" s="409"/>
      <c r="AE79" s="410"/>
      <c r="AF79" s="410"/>
      <c r="AG79" s="410"/>
      <c r="AH79" s="2" t="s">
        <v>228</v>
      </c>
      <c r="AI79" s="2" t="s">
        <v>226</v>
      </c>
      <c r="AJ79" s="89" t="s">
        <v>227</v>
      </c>
      <c r="AK79" s="92" t="s">
        <v>229</v>
      </c>
      <c r="AL79" s="923"/>
      <c r="AM79" s="289"/>
      <c r="AN79" s="5"/>
    </row>
    <row r="80" spans="1:40" ht="18.75" customHeight="1">
      <c r="C80" s="1160" t="s">
        <v>557</v>
      </c>
      <c r="D80" s="1210"/>
      <c r="E80" s="1210"/>
      <c r="F80" s="1211"/>
      <c r="G80" s="456">
        <f>(J85-20)/J86</f>
        <v>-0.16666666666666666</v>
      </c>
      <c r="H80" s="6">
        <f>G59</f>
        <v>13.3812</v>
      </c>
      <c r="I80" s="2">
        <f>H59</f>
        <v>1.8115853807007718</v>
      </c>
      <c r="J80" s="299">
        <f>I80*H80*G80</f>
        <v>-4.0401977160388611</v>
      </c>
      <c r="K80" s="123">
        <f>SUM(J77:J80)</f>
        <v>-4.6534743004486909</v>
      </c>
      <c r="L80" t="s">
        <v>558</v>
      </c>
      <c r="AB80" s="5"/>
      <c r="AC80" s="140" t="s">
        <v>447</v>
      </c>
      <c r="AD80" s="1160" t="s">
        <v>199</v>
      </c>
      <c r="AE80" s="1210"/>
      <c r="AF80" s="1210"/>
      <c r="AG80" s="1211"/>
      <c r="AH80" s="2">
        <f>(26-20)/(26-32)</f>
        <v>-1</v>
      </c>
      <c r="AI80" s="2">
        <f>3.895*3.49</f>
        <v>13.59355</v>
      </c>
      <c r="AJ80" s="89">
        <f>AI30</f>
        <v>0.39937430012814151</v>
      </c>
      <c r="AK80" s="729">
        <f>AJ80*AI80*AH80</f>
        <v>-5.4289145175068985</v>
      </c>
      <c r="AL80" s="923"/>
      <c r="AM80" s="5"/>
      <c r="AN80" s="5"/>
    </row>
    <row r="81" spans="1:40" ht="15.75" customHeight="1">
      <c r="A81" s="5"/>
      <c r="B81" s="429" t="s">
        <v>255</v>
      </c>
      <c r="C81" s="430"/>
      <c r="D81" s="430"/>
      <c r="E81" s="430"/>
      <c r="F81" s="430"/>
      <c r="G81" s="430"/>
      <c r="H81" s="430"/>
      <c r="I81" s="431"/>
      <c r="J81" s="437" t="s">
        <v>256</v>
      </c>
      <c r="K81">
        <f>J77</f>
        <v>1.3572286293767246</v>
      </c>
      <c r="L81" s="131" t="s">
        <v>144</v>
      </c>
      <c r="M81" s="5"/>
      <c r="N81" s="5"/>
      <c r="AB81" s="5"/>
      <c r="AC81" s="116" t="s">
        <v>387</v>
      </c>
      <c r="AD81" s="1212" t="s">
        <v>216</v>
      </c>
      <c r="AE81" s="1213"/>
      <c r="AF81" s="1213"/>
      <c r="AG81" s="1213"/>
      <c r="AH81" s="2">
        <f>(26-25)/(26-32)</f>
        <v>-0.16666666666666666</v>
      </c>
      <c r="AI81" s="298">
        <f>(2.03*0.81)</f>
        <v>1.6442999999999999</v>
      </c>
      <c r="AJ81" s="298">
        <v>2.5</v>
      </c>
      <c r="AK81" s="730">
        <f>AJ81*AI81*AH81</f>
        <v>-0.68512499999999987</v>
      </c>
      <c r="AL81" s="1243"/>
      <c r="AM81" s="5"/>
      <c r="AN81" s="5"/>
    </row>
    <row r="82" spans="1:40" ht="18.75" customHeight="1">
      <c r="A82" s="5"/>
      <c r="B82" s="423" t="s">
        <v>450</v>
      </c>
      <c r="C82" s="424"/>
      <c r="D82" s="424"/>
      <c r="E82" s="424"/>
      <c r="F82" s="425"/>
      <c r="G82" s="426" t="s">
        <v>451</v>
      </c>
      <c r="H82" s="427"/>
      <c r="I82" s="427"/>
      <c r="J82" s="428"/>
      <c r="K82" s="211">
        <f>K81+K70+K65+K55</f>
        <v>6.0683110312852424</v>
      </c>
      <c r="L82" s="107" t="s">
        <v>431</v>
      </c>
      <c r="M82" s="5"/>
      <c r="N82" s="5"/>
      <c r="AB82" s="5"/>
      <c r="AC82" s="119"/>
      <c r="AD82" s="119" t="s">
        <v>556</v>
      </c>
      <c r="AE82" s="439"/>
      <c r="AF82" s="439"/>
      <c r="AG82" s="438"/>
      <c r="AH82" s="2">
        <f>(26-25)/(26-32)</f>
        <v>-0.16666666666666666</v>
      </c>
      <c r="AI82" s="1">
        <f>1.595*3.7-AI81</f>
        <v>4.257200000000001</v>
      </c>
      <c r="AJ82" s="1">
        <f>AJ35</f>
        <v>1.8115853807007718</v>
      </c>
      <c r="AK82" s="730">
        <f>AJ82*AI82*AH82</f>
        <v>-1.2853802137865546</v>
      </c>
      <c r="AL82" s="1"/>
      <c r="AN82" s="5"/>
    </row>
    <row r="83" spans="1:40">
      <c r="A83" s="5"/>
      <c r="B83" s="104" t="s">
        <v>365</v>
      </c>
      <c r="C83" s="103"/>
      <c r="D83" s="103"/>
      <c r="E83" s="103"/>
      <c r="F83" s="103"/>
      <c r="G83" s="125"/>
      <c r="H83" s="125"/>
      <c r="I83" s="125"/>
      <c r="J83" s="125"/>
      <c r="K83" s="220"/>
      <c r="L83" s="5"/>
      <c r="M83" s="5"/>
      <c r="N83" s="5"/>
      <c r="AD83" s="1160" t="s">
        <v>557</v>
      </c>
      <c r="AE83" s="1210"/>
      <c r="AF83" s="1210"/>
      <c r="AG83" s="1211"/>
      <c r="AH83" s="456">
        <v>0</v>
      </c>
      <c r="AI83" s="6">
        <f>AH62</f>
        <v>13.3812</v>
      </c>
      <c r="AJ83" s="2">
        <f>AI62</f>
        <v>0</v>
      </c>
      <c r="AK83" s="299">
        <f>AJ83*AI83*AH83</f>
        <v>0</v>
      </c>
      <c r="AM83" t="s">
        <v>559</v>
      </c>
    </row>
    <row r="84" spans="1:40" ht="19.5">
      <c r="A84" s="5"/>
      <c r="B84" s="351" t="s">
        <v>6</v>
      </c>
      <c r="C84" s="351"/>
      <c r="D84" s="351"/>
      <c r="E84" s="351"/>
      <c r="F84" s="351"/>
      <c r="G84" s="351"/>
      <c r="H84" s="2" t="s">
        <v>261</v>
      </c>
      <c r="I84" s="2" t="s">
        <v>262</v>
      </c>
      <c r="J84" s="120">
        <v>-8</v>
      </c>
      <c r="K84" s="398"/>
      <c r="L84" s="5"/>
      <c r="M84" s="5"/>
      <c r="N84" s="5"/>
      <c r="AB84" s="5"/>
      <c r="AC84" s="429" t="s">
        <v>255</v>
      </c>
      <c r="AD84" s="430"/>
      <c r="AE84" s="430"/>
      <c r="AF84" s="430"/>
      <c r="AG84" s="430"/>
      <c r="AH84" s="430"/>
      <c r="AI84" s="430"/>
      <c r="AJ84" s="431"/>
      <c r="AK84" s="437" t="s">
        <v>256</v>
      </c>
      <c r="AL84" s="123">
        <f>AK82+AK81+AK80</f>
        <v>-7.3994197312934524</v>
      </c>
      <c r="AM84" s="131" t="s">
        <v>144</v>
      </c>
      <c r="AN84" s="5"/>
    </row>
    <row r="85" spans="1:40" ht="19.5">
      <c r="A85" s="5"/>
      <c r="B85" s="352" t="s">
        <v>264</v>
      </c>
      <c r="C85" s="352"/>
      <c r="D85" s="352"/>
      <c r="E85" s="352"/>
      <c r="F85" s="352"/>
      <c r="G85" s="352"/>
      <c r="H85" s="2" t="s">
        <v>265</v>
      </c>
      <c r="I85" s="2" t="s">
        <v>262</v>
      </c>
      <c r="J85" s="120">
        <v>16</v>
      </c>
      <c r="K85" s="398"/>
      <c r="L85" s="5"/>
      <c r="M85" s="5"/>
      <c r="N85" s="5"/>
      <c r="AB85" s="5"/>
      <c r="AC85" s="423" t="s">
        <v>450</v>
      </c>
      <c r="AD85" s="424"/>
      <c r="AE85" s="424"/>
      <c r="AF85" s="424"/>
      <c r="AG85" s="425"/>
      <c r="AH85" s="426" t="s">
        <v>451</v>
      </c>
      <c r="AI85" s="427"/>
      <c r="AJ85" s="427"/>
      <c r="AK85" s="428"/>
      <c r="AL85" s="211">
        <f>AL84+AL73+AL68+AL58</f>
        <v>-7.3994197312934524</v>
      </c>
      <c r="AM85" s="107" t="s">
        <v>431</v>
      </c>
      <c r="AN85" s="5"/>
    </row>
    <row r="86" spans="1:40" ht="19.5">
      <c r="A86" s="5"/>
      <c r="B86" s="351" t="s">
        <v>266</v>
      </c>
      <c r="C86" s="351"/>
      <c r="D86" s="351"/>
      <c r="E86" s="351"/>
      <c r="F86" s="351"/>
      <c r="G86" s="351"/>
      <c r="H86" s="2" t="s">
        <v>267</v>
      </c>
      <c r="I86" s="2" t="s">
        <v>262</v>
      </c>
      <c r="J86" s="120">
        <f>J85-J84</f>
        <v>24</v>
      </c>
      <c r="K86" s="399"/>
      <c r="L86" s="5"/>
      <c r="M86" s="5"/>
      <c r="N86" s="5"/>
      <c r="AB86" s="5"/>
      <c r="AC86" s="104" t="s">
        <v>365</v>
      </c>
      <c r="AD86" s="103"/>
      <c r="AE86" s="103"/>
      <c r="AF86" s="103"/>
      <c r="AG86" s="103"/>
      <c r="AH86" s="125"/>
      <c r="AI86" s="125"/>
      <c r="AJ86" s="125"/>
      <c r="AK86" s="125"/>
      <c r="AL86" s="220"/>
      <c r="AM86" s="5"/>
      <c r="AN86" s="5"/>
    </row>
    <row r="87" spans="1:40" ht="19.5">
      <c r="A87" s="5"/>
      <c r="B87" s="418" t="s">
        <v>452</v>
      </c>
      <c r="C87" s="356"/>
      <c r="D87" s="356"/>
      <c r="E87" s="356"/>
      <c r="F87" s="356"/>
      <c r="G87" s="356"/>
      <c r="H87" s="356"/>
      <c r="I87" s="356"/>
      <c r="J87" s="356"/>
      <c r="K87" s="274">
        <f>(K82*J86)</f>
        <v>145.63946475084583</v>
      </c>
      <c r="L87" s="2" t="s">
        <v>453</v>
      </c>
      <c r="M87" s="5"/>
      <c r="N87" s="5"/>
      <c r="AB87" s="5"/>
      <c r="AC87" s="351" t="s">
        <v>6</v>
      </c>
      <c r="AD87" s="351"/>
      <c r="AE87" s="351"/>
      <c r="AF87" s="351"/>
      <c r="AG87" s="351"/>
      <c r="AH87" s="351"/>
      <c r="AI87" s="2" t="s">
        <v>261</v>
      </c>
      <c r="AJ87" s="2" t="s">
        <v>262</v>
      </c>
      <c r="AK87" s="2">
        <v>32</v>
      </c>
      <c r="AL87" s="398"/>
      <c r="AM87" s="5"/>
      <c r="AN87" s="5"/>
    </row>
    <row r="88" spans="1:40" ht="19.5">
      <c r="A88" s="5"/>
      <c r="B88" s="5"/>
      <c r="C88" s="5"/>
      <c r="D88" s="5"/>
      <c r="E88" s="5"/>
      <c r="F88" s="291"/>
      <c r="G88" s="5"/>
      <c r="H88" s="5"/>
      <c r="I88" s="5"/>
      <c r="J88" s="5"/>
      <c r="K88" s="5"/>
      <c r="L88" s="5"/>
      <c r="M88" s="5"/>
      <c r="N88" s="5"/>
      <c r="AB88" s="5"/>
      <c r="AC88" s="352" t="s">
        <v>264</v>
      </c>
      <c r="AD88" s="352"/>
      <c r="AE88" s="352"/>
      <c r="AF88" s="352"/>
      <c r="AG88" s="352"/>
      <c r="AH88" s="352"/>
      <c r="AI88" s="2" t="s">
        <v>265</v>
      </c>
      <c r="AJ88" s="2" t="s">
        <v>262</v>
      </c>
      <c r="AK88" s="2">
        <v>26</v>
      </c>
      <c r="AL88" s="398"/>
      <c r="AM88" s="5"/>
      <c r="AN88" s="5"/>
    </row>
    <row r="89" spans="1:40" ht="19.5">
      <c r="A89" s="5"/>
      <c r="B89" s="5"/>
      <c r="C89" s="5"/>
      <c r="D89" s="5"/>
      <c r="E89" s="5"/>
      <c r="F89" s="5"/>
      <c r="G89" s="5"/>
      <c r="H89" s="5"/>
      <c r="I89" s="5"/>
      <c r="J89" s="5"/>
      <c r="K89" s="5"/>
      <c r="L89" s="5"/>
      <c r="M89" s="5"/>
      <c r="N89" s="5"/>
      <c r="AB89" s="5"/>
      <c r="AC89" s="351" t="s">
        <v>266</v>
      </c>
      <c r="AD89" s="351"/>
      <c r="AE89" s="351"/>
      <c r="AF89" s="351"/>
      <c r="AG89" s="351"/>
      <c r="AH89" s="351"/>
      <c r="AI89" s="2" t="s">
        <v>267</v>
      </c>
      <c r="AJ89" s="2" t="s">
        <v>262</v>
      </c>
      <c r="AK89" s="120">
        <f>AK88-AK87</f>
        <v>-6</v>
      </c>
      <c r="AL89" s="399"/>
      <c r="AM89" s="5"/>
      <c r="AN89" s="5"/>
    </row>
    <row r="90" spans="1:40" ht="19.5" thickBot="1">
      <c r="A90" s="5"/>
      <c r="B90" s="5"/>
      <c r="C90" s="5"/>
      <c r="D90" s="5"/>
      <c r="E90" s="5"/>
      <c r="F90" s="5"/>
      <c r="G90" s="5"/>
      <c r="H90" s="5"/>
      <c r="I90" s="5"/>
      <c r="J90" s="5"/>
      <c r="K90" s="5"/>
      <c r="L90" s="5"/>
      <c r="M90" s="5"/>
      <c r="N90" s="5"/>
      <c r="AB90" s="5"/>
      <c r="AC90" s="418" t="s">
        <v>452</v>
      </c>
      <c r="AD90" s="356"/>
      <c r="AE90" s="356"/>
      <c r="AF90" s="356"/>
      <c r="AG90" s="356"/>
      <c r="AH90" s="356"/>
      <c r="AI90" s="356"/>
      <c r="AJ90" s="356"/>
      <c r="AK90" s="356"/>
      <c r="AL90" s="274">
        <f>(AL85*AK89)</f>
        <v>44.396518387760715</v>
      </c>
      <c r="AM90" s="2" t="s">
        <v>453</v>
      </c>
      <c r="AN90" s="5"/>
    </row>
    <row r="91" spans="1:40" ht="16.5" thickBot="1">
      <c r="A91" s="199" t="s">
        <v>560</v>
      </c>
      <c r="B91" s="1001" t="s">
        <v>219</v>
      </c>
      <c r="C91" s="1001"/>
      <c r="D91" s="1001"/>
      <c r="E91" s="1001"/>
      <c r="F91" s="1001"/>
      <c r="G91" s="1001"/>
      <c r="H91" s="1001"/>
      <c r="I91" s="1001"/>
      <c r="J91" s="1002"/>
      <c r="K91" s="807"/>
      <c r="L91" s="5"/>
      <c r="M91" s="5"/>
      <c r="N91" s="5"/>
      <c r="AB91" s="5"/>
      <c r="AC91" s="5"/>
      <c r="AD91" s="5"/>
      <c r="AE91" s="5"/>
      <c r="AF91" s="5"/>
      <c r="AG91" s="291"/>
      <c r="AH91" s="5"/>
      <c r="AI91" s="5"/>
      <c r="AJ91" s="5"/>
      <c r="AK91" s="5"/>
      <c r="AL91" s="5"/>
      <c r="AM91" s="5"/>
      <c r="AN91" s="5"/>
    </row>
    <row r="92" spans="1:40" ht="18">
      <c r="A92" s="5"/>
      <c r="B92" s="1189" t="s">
        <v>220</v>
      </c>
      <c r="C92" s="1189" t="s">
        <v>221</v>
      </c>
      <c r="D92" s="1189"/>
      <c r="E92" s="1189"/>
      <c r="F92" s="1189"/>
      <c r="G92" s="108" t="s">
        <v>222</v>
      </c>
      <c r="H92" s="108" t="s">
        <v>223</v>
      </c>
      <c r="I92" s="108" t="s">
        <v>224</v>
      </c>
      <c r="J92" s="236" t="s">
        <v>225</v>
      </c>
      <c r="K92" s="807"/>
      <c r="L92" s="5"/>
      <c r="M92" s="5"/>
      <c r="N92" s="5"/>
      <c r="AB92" s="5"/>
      <c r="AC92" s="5"/>
      <c r="AD92" s="5"/>
      <c r="AE92" s="5"/>
      <c r="AF92" s="5"/>
      <c r="AG92" s="5"/>
      <c r="AH92" s="5"/>
      <c r="AI92" s="5"/>
      <c r="AJ92" s="5"/>
      <c r="AK92" s="5"/>
      <c r="AL92" s="5"/>
      <c r="AM92" s="5"/>
      <c r="AN92" s="5"/>
    </row>
    <row r="93" spans="1:40" ht="19.5" thickBot="1">
      <c r="A93" s="5"/>
      <c r="B93" s="1189"/>
      <c r="C93" s="1189"/>
      <c r="D93" s="1189"/>
      <c r="E93" s="1189"/>
      <c r="F93" s="1189"/>
      <c r="G93" s="2" t="s">
        <v>226</v>
      </c>
      <c r="H93" s="89" t="s">
        <v>227</v>
      </c>
      <c r="I93" s="89" t="s">
        <v>228</v>
      </c>
      <c r="J93" s="301" t="s">
        <v>229</v>
      </c>
      <c r="K93" s="807"/>
      <c r="L93" s="5"/>
      <c r="M93" s="5"/>
      <c r="N93" s="5"/>
      <c r="AB93" s="5"/>
      <c r="AC93" s="5"/>
      <c r="AD93" s="5"/>
      <c r="AE93" s="5"/>
      <c r="AF93" s="5"/>
      <c r="AG93" s="5"/>
      <c r="AH93" s="5"/>
      <c r="AI93" s="5"/>
      <c r="AJ93" s="5"/>
      <c r="AK93" s="5"/>
      <c r="AL93" s="5"/>
      <c r="AM93" s="5"/>
      <c r="AN93" s="5"/>
    </row>
    <row r="94" spans="1:40" ht="16.5" thickBot="1">
      <c r="A94" s="5"/>
      <c r="B94" s="2" t="s">
        <v>437</v>
      </c>
      <c r="C94" s="818" t="s">
        <v>561</v>
      </c>
      <c r="D94" s="818"/>
      <c r="E94" s="818"/>
      <c r="F94" s="818"/>
      <c r="G94" s="2">
        <f>3.78*1.5</f>
        <v>5.67</v>
      </c>
      <c r="H94" s="2">
        <f>Parois!L21</f>
        <v>3.4668654833252091</v>
      </c>
      <c r="I94">
        <v>1</v>
      </c>
      <c r="J94" s="2">
        <v>0</v>
      </c>
      <c r="K94" s="807"/>
      <c r="L94" s="5"/>
      <c r="M94" s="5"/>
      <c r="N94" s="5"/>
      <c r="AB94" s="199" t="s">
        <v>560</v>
      </c>
      <c r="AC94" s="1183" t="s">
        <v>219</v>
      </c>
      <c r="AD94" s="1183"/>
      <c r="AE94" s="1183"/>
      <c r="AF94" s="1183"/>
      <c r="AG94" s="1183"/>
      <c r="AH94" s="1183"/>
      <c r="AI94" s="1183"/>
      <c r="AJ94" s="1183"/>
      <c r="AK94" s="1180"/>
      <c r="AL94" s="807"/>
      <c r="AM94" s="5"/>
      <c r="AN94" s="5"/>
    </row>
    <row r="95" spans="1:40" ht="18">
      <c r="A95" s="5"/>
      <c r="B95" s="2" t="s">
        <v>544</v>
      </c>
      <c r="C95" s="818" t="s">
        <v>206</v>
      </c>
      <c r="D95" s="818"/>
      <c r="E95" s="818"/>
      <c r="F95" s="818"/>
      <c r="G95" s="2">
        <f>1.4*3.38</f>
        <v>4.7319999999999993</v>
      </c>
      <c r="H95" s="2">
        <f>Parois!L59</f>
        <v>0.14630087903826619</v>
      </c>
      <c r="I95">
        <v>1</v>
      </c>
      <c r="J95" s="2">
        <v>0</v>
      </c>
      <c r="K95" s="807"/>
      <c r="L95" s="5"/>
      <c r="M95" s="5"/>
      <c r="N95" s="5"/>
      <c r="AB95" s="5"/>
      <c r="AC95" s="1189" t="s">
        <v>220</v>
      </c>
      <c r="AD95" s="1189" t="s">
        <v>221</v>
      </c>
      <c r="AE95" s="1189"/>
      <c r="AF95" s="1189"/>
      <c r="AG95" s="1189"/>
      <c r="AH95" s="108" t="s">
        <v>222</v>
      </c>
      <c r="AI95" s="108" t="s">
        <v>223</v>
      </c>
      <c r="AJ95" s="108" t="s">
        <v>224</v>
      </c>
      <c r="AK95" s="236" t="s">
        <v>225</v>
      </c>
      <c r="AL95" s="807"/>
      <c r="AM95" s="5"/>
      <c r="AN95" s="5"/>
    </row>
    <row r="96" spans="1:40" ht="20.25">
      <c r="A96" s="5"/>
      <c r="B96" s="1247" t="s">
        <v>430</v>
      </c>
      <c r="C96" s="818"/>
      <c r="D96" s="818"/>
      <c r="E96" s="818"/>
      <c r="F96" s="818"/>
      <c r="G96" s="818"/>
      <c r="H96" s="818"/>
      <c r="I96" s="818"/>
      <c r="J96" s="238">
        <f>SUM(J94:J95)</f>
        <v>0</v>
      </c>
      <c r="K96" s="807"/>
      <c r="L96" s="5"/>
      <c r="M96" s="5"/>
      <c r="N96" s="5"/>
      <c r="AB96" s="5"/>
      <c r="AC96" s="1189"/>
      <c r="AD96" s="1189"/>
      <c r="AE96" s="1189"/>
      <c r="AF96" s="1189"/>
      <c r="AG96" s="1189"/>
      <c r="AH96" s="2" t="s">
        <v>226</v>
      </c>
      <c r="AI96" s="89" t="s">
        <v>227</v>
      </c>
      <c r="AJ96" s="89" t="s">
        <v>228</v>
      </c>
      <c r="AK96" s="301" t="s">
        <v>229</v>
      </c>
      <c r="AL96" s="807"/>
      <c r="AM96" s="5"/>
      <c r="AN96" s="5"/>
    </row>
    <row r="97" spans="1:40" ht="18">
      <c r="A97" s="5"/>
      <c r="B97" s="1189" t="s">
        <v>220</v>
      </c>
      <c r="C97" s="1189" t="s">
        <v>302</v>
      </c>
      <c r="D97" s="1189"/>
      <c r="E97" s="1189"/>
      <c r="F97" s="1189"/>
      <c r="G97" s="108" t="s">
        <v>303</v>
      </c>
      <c r="H97" s="108" t="s">
        <v>304</v>
      </c>
      <c r="I97" s="108" t="s">
        <v>224</v>
      </c>
      <c r="J97" s="239" t="s">
        <v>305</v>
      </c>
      <c r="K97" s="807"/>
      <c r="L97" s="5"/>
      <c r="M97" s="5"/>
      <c r="N97" s="5"/>
      <c r="AB97" s="5"/>
      <c r="AC97" s="2" t="s">
        <v>437</v>
      </c>
      <c r="AD97" s="818" t="s">
        <v>561</v>
      </c>
      <c r="AE97" s="818"/>
      <c r="AF97" s="818"/>
      <c r="AG97" s="818"/>
      <c r="AH97" s="2">
        <f>3.78*1.5</f>
        <v>5.67</v>
      </c>
      <c r="AI97" s="2">
        <f>Parois!AM24</f>
        <v>0</v>
      </c>
      <c r="AJ97">
        <v>1</v>
      </c>
      <c r="AK97" s="2">
        <v>0</v>
      </c>
      <c r="AL97" s="807"/>
      <c r="AM97" s="5"/>
      <c r="AN97" s="5"/>
    </row>
    <row r="98" spans="1:40">
      <c r="A98" s="5"/>
      <c r="B98" s="1189"/>
      <c r="C98" s="1189"/>
      <c r="D98" s="1189"/>
      <c r="E98" s="1189"/>
      <c r="F98" s="1189"/>
      <c r="G98" s="2" t="s">
        <v>307</v>
      </c>
      <c r="H98" s="2" t="s">
        <v>308</v>
      </c>
      <c r="I98" s="2" t="s">
        <v>228</v>
      </c>
      <c r="J98" s="222" t="s">
        <v>229</v>
      </c>
      <c r="K98" s="807"/>
      <c r="L98" s="5"/>
      <c r="M98" s="5"/>
      <c r="N98" s="5"/>
      <c r="AB98" s="5"/>
      <c r="AC98" s="2" t="s">
        <v>544</v>
      </c>
      <c r="AD98" s="818" t="s">
        <v>206</v>
      </c>
      <c r="AE98" s="818"/>
      <c r="AF98" s="818"/>
      <c r="AG98" s="818"/>
      <c r="AH98" s="2">
        <f>1.4*3.38</f>
        <v>4.7319999999999993</v>
      </c>
      <c r="AI98" s="2">
        <f>Parois!AM62</f>
        <v>0</v>
      </c>
      <c r="AJ98">
        <v>1</v>
      </c>
      <c r="AK98" s="2">
        <v>0</v>
      </c>
      <c r="AL98" s="807"/>
      <c r="AM98" s="5"/>
      <c r="AN98" s="5"/>
    </row>
    <row r="99" spans="1:40" ht="18.75">
      <c r="A99" s="5"/>
      <c r="B99" s="167"/>
      <c r="C99" s="1248" t="s">
        <v>174</v>
      </c>
      <c r="D99" s="1249"/>
      <c r="E99" s="1249"/>
      <c r="F99" s="1250"/>
      <c r="G99" s="209"/>
      <c r="H99" s="240"/>
      <c r="I99" s="240"/>
      <c r="J99" s="117"/>
      <c r="K99" s="807"/>
      <c r="L99" s="5"/>
      <c r="M99" s="5"/>
      <c r="N99" s="5"/>
      <c r="AB99" s="5"/>
      <c r="AC99" s="1247" t="s">
        <v>430</v>
      </c>
      <c r="AD99" s="818"/>
      <c r="AE99" s="818"/>
      <c r="AF99" s="818"/>
      <c r="AG99" s="818"/>
      <c r="AH99" s="818"/>
      <c r="AI99" s="818"/>
      <c r="AJ99" s="818"/>
      <c r="AK99" s="238">
        <f>SUM(AK97:AK98)</f>
        <v>0</v>
      </c>
      <c r="AL99" s="807"/>
      <c r="AM99" s="5"/>
      <c r="AN99" s="5"/>
    </row>
    <row r="100" spans="1:40" ht="18.75">
      <c r="A100" s="5"/>
      <c r="B100" s="1029" t="s">
        <v>282</v>
      </c>
      <c r="C100" s="1126"/>
      <c r="D100" s="1126"/>
      <c r="E100" s="1126"/>
      <c r="F100" s="1126"/>
      <c r="G100" s="1126"/>
      <c r="H100" s="1127"/>
      <c r="I100" s="1128"/>
      <c r="J100" s="95">
        <f>0</f>
        <v>0</v>
      </c>
      <c r="K100" s="807"/>
      <c r="L100" s="5"/>
      <c r="M100" s="5"/>
      <c r="N100" s="5"/>
      <c r="AB100" s="5"/>
      <c r="AC100" s="1189" t="s">
        <v>220</v>
      </c>
      <c r="AD100" s="1189" t="s">
        <v>302</v>
      </c>
      <c r="AE100" s="1189"/>
      <c r="AF100" s="1189"/>
      <c r="AG100" s="1189"/>
      <c r="AH100" s="108" t="s">
        <v>303</v>
      </c>
      <c r="AI100" s="108" t="s">
        <v>304</v>
      </c>
      <c r="AJ100" s="108" t="s">
        <v>224</v>
      </c>
      <c r="AK100" s="239" t="s">
        <v>305</v>
      </c>
      <c r="AL100" s="807"/>
      <c r="AM100" s="5"/>
      <c r="AN100" s="5"/>
    </row>
    <row r="101" spans="1:40" ht="18">
      <c r="A101" s="5"/>
      <c r="B101" s="1199" t="s">
        <v>244</v>
      </c>
      <c r="C101" s="1127"/>
      <c r="D101" s="1127"/>
      <c r="E101" s="1127"/>
      <c r="F101" s="1127"/>
      <c r="G101" s="1127"/>
      <c r="H101" s="1200" t="s">
        <v>245</v>
      </c>
      <c r="I101" s="1200"/>
      <c r="J101" s="1200"/>
      <c r="K101" s="96">
        <f>J96+J100</f>
        <v>0</v>
      </c>
      <c r="L101" s="1" t="s">
        <v>431</v>
      </c>
      <c r="M101" s="5"/>
      <c r="N101" s="5"/>
      <c r="AB101" s="5"/>
      <c r="AC101" s="1189"/>
      <c r="AD101" s="1189"/>
      <c r="AE101" s="1189"/>
      <c r="AF101" s="1189"/>
      <c r="AG101" s="1189"/>
      <c r="AH101" s="2" t="s">
        <v>307</v>
      </c>
      <c r="AI101" s="2" t="s">
        <v>308</v>
      </c>
      <c r="AJ101" s="2" t="s">
        <v>228</v>
      </c>
      <c r="AK101" s="222" t="s">
        <v>229</v>
      </c>
      <c r="AL101" s="807"/>
      <c r="AM101" s="5"/>
      <c r="AN101" s="5"/>
    </row>
    <row r="102" spans="1:40">
      <c r="A102" s="5"/>
      <c r="B102" s="1001" t="s">
        <v>247</v>
      </c>
      <c r="C102" s="1001"/>
      <c r="D102" s="1001"/>
      <c r="E102" s="1001"/>
      <c r="F102" s="1001"/>
      <c r="G102" s="1001"/>
      <c r="H102" s="1001"/>
      <c r="I102" s="1001"/>
      <c r="J102" s="1202"/>
      <c r="K102" s="1246"/>
      <c r="L102" s="5"/>
      <c r="M102" s="5"/>
      <c r="N102" s="5"/>
      <c r="AB102" s="5"/>
      <c r="AC102" s="167"/>
      <c r="AD102" s="1248" t="s">
        <v>174</v>
      </c>
      <c r="AE102" s="1249"/>
      <c r="AF102" s="1249"/>
      <c r="AG102" s="1250"/>
      <c r="AH102" s="209"/>
      <c r="AI102" s="240"/>
      <c r="AJ102" s="240"/>
      <c r="AK102" s="117"/>
      <c r="AL102" s="807"/>
      <c r="AM102" s="5"/>
      <c r="AN102" s="5"/>
    </row>
    <row r="103" spans="1:40" ht="18.75">
      <c r="A103" s="5"/>
      <c r="B103" s="1189" t="s">
        <v>220</v>
      </c>
      <c r="C103" s="1189" t="s">
        <v>249</v>
      </c>
      <c r="D103" s="1189"/>
      <c r="E103" s="1189"/>
      <c r="F103" s="1189"/>
      <c r="G103" s="108" t="s">
        <v>222</v>
      </c>
      <c r="H103" s="108" t="s">
        <v>223</v>
      </c>
      <c r="I103" s="318" t="s">
        <v>546</v>
      </c>
      <c r="J103" s="214" t="s">
        <v>225</v>
      </c>
      <c r="K103" s="1246"/>
      <c r="L103" s="5"/>
      <c r="M103" s="5"/>
      <c r="N103" s="5"/>
      <c r="AB103" s="5"/>
      <c r="AC103" s="1029" t="s">
        <v>282</v>
      </c>
      <c r="AD103" s="1126"/>
      <c r="AE103" s="1126"/>
      <c r="AF103" s="1126"/>
      <c r="AG103" s="1126"/>
      <c r="AH103" s="1126"/>
      <c r="AI103" s="1127"/>
      <c r="AJ103" s="1128"/>
      <c r="AK103" s="95">
        <f>0</f>
        <v>0</v>
      </c>
      <c r="AL103" s="807"/>
      <c r="AM103" s="5"/>
      <c r="AN103" s="5"/>
    </row>
    <row r="104" spans="1:40" ht="19.5">
      <c r="A104" s="5"/>
      <c r="B104" s="1189"/>
      <c r="C104" s="1189"/>
      <c r="D104" s="1189"/>
      <c r="E104" s="1189"/>
      <c r="F104" s="1189"/>
      <c r="G104" s="2" t="s">
        <v>226</v>
      </c>
      <c r="H104" s="89" t="s">
        <v>227</v>
      </c>
      <c r="I104" s="92" t="s">
        <v>228</v>
      </c>
      <c r="J104" s="225" t="s">
        <v>229</v>
      </c>
      <c r="K104" s="1246"/>
      <c r="L104" s="5"/>
      <c r="M104" s="5"/>
      <c r="N104" s="5"/>
      <c r="AB104" s="5"/>
      <c r="AC104" s="1199" t="s">
        <v>244</v>
      </c>
      <c r="AD104" s="1127"/>
      <c r="AE104" s="1127"/>
      <c r="AF104" s="1127"/>
      <c r="AG104" s="1127"/>
      <c r="AH104" s="1127"/>
      <c r="AI104" s="1200" t="s">
        <v>245</v>
      </c>
      <c r="AJ104" s="1200"/>
      <c r="AK104" s="1200"/>
      <c r="AL104" s="96">
        <f>AK99+AK103</f>
        <v>0</v>
      </c>
      <c r="AM104" s="1" t="s">
        <v>431</v>
      </c>
      <c r="AN104" s="5"/>
    </row>
    <row r="105" spans="1:40">
      <c r="A105" s="5"/>
      <c r="J105" s="215"/>
      <c r="K105" s="1246"/>
      <c r="L105" s="5"/>
      <c r="M105" s="5"/>
      <c r="N105" s="5"/>
      <c r="AB105" s="5"/>
      <c r="AC105" s="1183" t="s">
        <v>247</v>
      </c>
      <c r="AD105" s="1183"/>
      <c r="AE105" s="1183"/>
      <c r="AF105" s="1183"/>
      <c r="AG105" s="1183"/>
      <c r="AH105" s="1183"/>
      <c r="AI105" s="1183"/>
      <c r="AJ105" s="1183"/>
      <c r="AK105" s="1241"/>
      <c r="AL105" s="1246"/>
      <c r="AM105" s="5"/>
      <c r="AN105" s="5"/>
    </row>
    <row r="106" spans="1:40" ht="18.75">
      <c r="A106" s="5"/>
      <c r="B106" s="1205" t="s">
        <v>439</v>
      </c>
      <c r="C106" s="818"/>
      <c r="D106" s="818"/>
      <c r="E106" s="818"/>
      <c r="F106" s="818"/>
      <c r="G106" s="818"/>
      <c r="H106" s="818"/>
      <c r="I106" s="862"/>
      <c r="J106" s="216">
        <f>J105</f>
        <v>0</v>
      </c>
      <c r="K106" s="1246"/>
      <c r="L106" s="5"/>
      <c r="M106" s="5"/>
      <c r="N106" s="5"/>
      <c r="AB106" s="5"/>
      <c r="AC106" s="1189" t="s">
        <v>220</v>
      </c>
      <c r="AD106" s="1189" t="s">
        <v>249</v>
      </c>
      <c r="AE106" s="1189"/>
      <c r="AF106" s="1189"/>
      <c r="AG106" s="1189"/>
      <c r="AH106" s="108" t="s">
        <v>222</v>
      </c>
      <c r="AI106" s="108" t="s">
        <v>223</v>
      </c>
      <c r="AJ106" s="318" t="s">
        <v>546</v>
      </c>
      <c r="AK106" s="214" t="s">
        <v>225</v>
      </c>
      <c r="AL106" s="1246"/>
      <c r="AM106" s="5"/>
      <c r="AN106" s="5"/>
    </row>
    <row r="107" spans="1:40" ht="20.25">
      <c r="A107" s="5"/>
      <c r="B107" s="1130" t="s">
        <v>220</v>
      </c>
      <c r="C107" s="1132" t="s">
        <v>302</v>
      </c>
      <c r="D107" s="1133"/>
      <c r="E107" s="1133"/>
      <c r="F107" s="1134"/>
      <c r="G107" s="114" t="s">
        <v>303</v>
      </c>
      <c r="H107" s="114" t="s">
        <v>304</v>
      </c>
      <c r="I107" s="318" t="s">
        <v>546</v>
      </c>
      <c r="J107" s="115" t="s">
        <v>305</v>
      </c>
      <c r="K107" s="1246"/>
      <c r="L107" s="5"/>
      <c r="M107" s="5"/>
      <c r="N107" s="5"/>
      <c r="AB107" s="5"/>
      <c r="AC107" s="1189"/>
      <c r="AD107" s="1189"/>
      <c r="AE107" s="1189"/>
      <c r="AF107" s="1189"/>
      <c r="AG107" s="1189"/>
      <c r="AH107" s="2" t="s">
        <v>226</v>
      </c>
      <c r="AI107" s="89" t="s">
        <v>227</v>
      </c>
      <c r="AJ107" s="92" t="s">
        <v>228</v>
      </c>
      <c r="AK107" s="225" t="s">
        <v>229</v>
      </c>
      <c r="AL107" s="1246"/>
      <c r="AM107" s="5"/>
      <c r="AN107" s="5"/>
    </row>
    <row r="108" spans="1:40">
      <c r="A108" s="5"/>
      <c r="B108" s="1131"/>
      <c r="C108" s="1135"/>
      <c r="D108" s="1136"/>
      <c r="E108" s="1136"/>
      <c r="F108" s="1137"/>
      <c r="G108" s="116" t="s">
        <v>307</v>
      </c>
      <c r="H108" s="116" t="s">
        <v>308</v>
      </c>
      <c r="I108" s="117" t="s">
        <v>228</v>
      </c>
      <c r="J108" s="85" t="s">
        <v>229</v>
      </c>
      <c r="K108" s="1246"/>
      <c r="L108" s="5"/>
      <c r="M108" s="5"/>
      <c r="N108" s="5"/>
      <c r="AB108" s="5"/>
      <c r="AK108" s="215"/>
      <c r="AL108" s="1246"/>
      <c r="AM108" s="5"/>
      <c r="AN108" s="5"/>
    </row>
    <row r="109" spans="1:40">
      <c r="A109" s="5"/>
      <c r="B109" s="1"/>
      <c r="C109" s="807" t="s">
        <v>174</v>
      </c>
      <c r="D109" s="807"/>
      <c r="E109" s="807"/>
      <c r="F109" s="807"/>
      <c r="G109" s="1"/>
      <c r="H109" s="1"/>
      <c r="I109" s="1"/>
      <c r="J109" s="217"/>
      <c r="K109" s="1246"/>
      <c r="L109" s="233"/>
      <c r="M109" s="5"/>
      <c r="N109" s="5"/>
      <c r="AB109" s="5"/>
      <c r="AC109" s="1205" t="s">
        <v>439</v>
      </c>
      <c r="AD109" s="818"/>
      <c r="AE109" s="818"/>
      <c r="AF109" s="818"/>
      <c r="AG109" s="818"/>
      <c r="AH109" s="818"/>
      <c r="AI109" s="818"/>
      <c r="AJ109" s="862"/>
      <c r="AK109" s="216">
        <f>AK108</f>
        <v>0</v>
      </c>
      <c r="AL109" s="1246"/>
      <c r="AM109" s="5"/>
      <c r="AN109" s="5"/>
    </row>
    <row r="110" spans="1:40" ht="18.75">
      <c r="A110" s="5"/>
      <c r="B110" s="130" t="s">
        <v>443</v>
      </c>
      <c r="C110" s="2"/>
      <c r="D110" s="2"/>
      <c r="E110" s="2"/>
      <c r="F110" s="2"/>
      <c r="G110" s="1"/>
      <c r="H110" s="1"/>
      <c r="I110" s="119"/>
      <c r="J110" s="90">
        <v>0</v>
      </c>
      <c r="K110" s="1246"/>
      <c r="L110" s="233"/>
      <c r="M110" s="5"/>
      <c r="N110" s="5"/>
      <c r="AB110" s="5"/>
      <c r="AC110" s="1130" t="s">
        <v>220</v>
      </c>
      <c r="AD110" s="1132" t="s">
        <v>302</v>
      </c>
      <c r="AE110" s="1133"/>
      <c r="AF110" s="1133"/>
      <c r="AG110" s="1134"/>
      <c r="AH110" s="114" t="s">
        <v>303</v>
      </c>
      <c r="AI110" s="114" t="s">
        <v>304</v>
      </c>
      <c r="AJ110" s="318" t="s">
        <v>546</v>
      </c>
      <c r="AK110" s="115" t="s">
        <v>305</v>
      </c>
      <c r="AL110" s="1246"/>
      <c r="AM110" s="5"/>
      <c r="AN110" s="5"/>
    </row>
    <row r="111" spans="1:40">
      <c r="A111" s="5"/>
      <c r="B111" s="1004" t="s">
        <v>444</v>
      </c>
      <c r="C111" s="1026"/>
      <c r="D111" s="1026"/>
      <c r="E111" s="1026"/>
      <c r="F111" s="1026"/>
      <c r="G111" s="1026"/>
      <c r="H111" s="1026"/>
      <c r="I111" s="1027"/>
      <c r="J111" s="123" t="s">
        <v>445</v>
      </c>
      <c r="K111" s="218">
        <f>J106+J109</f>
        <v>0</v>
      </c>
      <c r="L111" s="122" t="s">
        <v>431</v>
      </c>
      <c r="M111" s="5"/>
      <c r="N111" s="5"/>
      <c r="AB111" s="5"/>
      <c r="AC111" s="1131"/>
      <c r="AD111" s="1135"/>
      <c r="AE111" s="1136"/>
      <c r="AF111" s="1136"/>
      <c r="AG111" s="1137"/>
      <c r="AH111" s="116" t="s">
        <v>307</v>
      </c>
      <c r="AI111" s="116" t="s">
        <v>308</v>
      </c>
      <c r="AJ111" s="117" t="s">
        <v>228</v>
      </c>
      <c r="AK111" s="85" t="s">
        <v>229</v>
      </c>
      <c r="AL111" s="1246"/>
      <c r="AM111" s="5"/>
      <c r="AN111" s="5"/>
    </row>
    <row r="112" spans="1:40">
      <c r="A112" s="5"/>
      <c r="B112" s="1002" t="s">
        <v>321</v>
      </c>
      <c r="C112" s="1138"/>
      <c r="D112" s="1138"/>
      <c r="E112" s="1138"/>
      <c r="F112" s="1138"/>
      <c r="G112" s="1138"/>
      <c r="H112" s="1138"/>
      <c r="I112" s="1138"/>
      <c r="J112" s="1257"/>
      <c r="K112" s="807"/>
      <c r="L112" s="233"/>
      <c r="M112" s="5"/>
      <c r="N112" s="5"/>
      <c r="AB112" s="5"/>
      <c r="AC112" s="1"/>
      <c r="AD112" s="807" t="s">
        <v>174</v>
      </c>
      <c r="AE112" s="807"/>
      <c r="AF112" s="807"/>
      <c r="AG112" s="807"/>
      <c r="AH112" s="1"/>
      <c r="AI112" s="1"/>
      <c r="AJ112" s="1"/>
      <c r="AK112" s="217"/>
      <c r="AL112" s="1246"/>
      <c r="AM112" s="233"/>
      <c r="AN112" s="5"/>
    </row>
    <row r="113" spans="1:40" ht="18">
      <c r="A113" s="5"/>
      <c r="B113" s="1189" t="s">
        <v>220</v>
      </c>
      <c r="C113" s="1189" t="s">
        <v>249</v>
      </c>
      <c r="D113" s="1189"/>
      <c r="E113" s="1189"/>
      <c r="F113" s="1189"/>
      <c r="G113" s="108" t="s">
        <v>222</v>
      </c>
      <c r="H113" s="108" t="s">
        <v>223</v>
      </c>
      <c r="I113" s="108" t="s">
        <v>224</v>
      </c>
      <c r="J113" s="108" t="s">
        <v>225</v>
      </c>
      <c r="K113" s="807"/>
      <c r="L113" s="5"/>
      <c r="M113" s="5"/>
      <c r="N113" s="5"/>
      <c r="AB113" s="5"/>
      <c r="AC113" s="130" t="s">
        <v>443</v>
      </c>
      <c r="AD113" s="2"/>
      <c r="AE113" s="2"/>
      <c r="AF113" s="2"/>
      <c r="AG113" s="2"/>
      <c r="AH113" s="1"/>
      <c r="AI113" s="1"/>
      <c r="AJ113" s="119"/>
      <c r="AK113" s="90">
        <v>0</v>
      </c>
      <c r="AL113" s="1246"/>
      <c r="AM113" s="233"/>
      <c r="AN113" s="5"/>
    </row>
    <row r="114" spans="1:40" ht="15.75" customHeight="1">
      <c r="A114" s="5"/>
      <c r="B114" s="1189"/>
      <c r="C114" s="1189"/>
      <c r="D114" s="1189"/>
      <c r="E114" s="1189"/>
      <c r="F114" s="1189"/>
      <c r="G114" s="2" t="s">
        <v>226</v>
      </c>
      <c r="H114" s="89" t="s">
        <v>227</v>
      </c>
      <c r="I114" s="89" t="s">
        <v>228</v>
      </c>
      <c r="J114" s="89" t="s">
        <v>229</v>
      </c>
      <c r="K114" s="807"/>
      <c r="L114" s="5"/>
      <c r="M114" s="5"/>
      <c r="N114" s="5"/>
      <c r="AB114" s="5"/>
      <c r="AC114" s="1004" t="s">
        <v>444</v>
      </c>
      <c r="AD114" s="1026"/>
      <c r="AE114" s="1026"/>
      <c r="AF114" s="1026"/>
      <c r="AG114" s="1026"/>
      <c r="AH114" s="1026"/>
      <c r="AI114" s="1026"/>
      <c r="AJ114" s="1027"/>
      <c r="AK114" s="123" t="s">
        <v>445</v>
      </c>
      <c r="AL114" s="218">
        <f>AK109+AK112</f>
        <v>0</v>
      </c>
      <c r="AM114" s="122" t="s">
        <v>431</v>
      </c>
      <c r="AN114" s="5"/>
    </row>
    <row r="115" spans="1:40" ht="18" customHeight="1">
      <c r="A115" s="5"/>
      <c r="B115" s="1"/>
      <c r="C115" s="862" t="s">
        <v>391</v>
      </c>
      <c r="D115" s="863"/>
      <c r="E115" s="863"/>
      <c r="F115" s="864"/>
      <c r="G115" s="2"/>
      <c r="H115" s="2"/>
      <c r="I115" s="2"/>
      <c r="J115" s="2"/>
      <c r="K115" s="807"/>
      <c r="L115" s="5"/>
      <c r="M115" s="5"/>
      <c r="N115" s="5"/>
      <c r="AB115" s="5"/>
      <c r="AC115" s="1180" t="s">
        <v>321</v>
      </c>
      <c r="AD115" s="1181"/>
      <c r="AE115" s="1181"/>
      <c r="AF115" s="1181"/>
      <c r="AG115" s="1181"/>
      <c r="AH115" s="1181"/>
      <c r="AI115" s="1181"/>
      <c r="AJ115" s="1181"/>
      <c r="AK115" s="1242"/>
      <c r="AL115" s="807"/>
      <c r="AM115" s="233"/>
      <c r="AN115" s="5"/>
    </row>
    <row r="116" spans="1:40" ht="18" customHeight="1">
      <c r="A116" s="5"/>
      <c r="B116" s="98" t="s">
        <v>287</v>
      </c>
      <c r="C116" s="98"/>
      <c r="D116" s="98"/>
      <c r="E116" s="98"/>
      <c r="F116" s="98"/>
      <c r="G116" s="98"/>
      <c r="H116" s="1030" t="s">
        <v>288</v>
      </c>
      <c r="I116" s="1139"/>
      <c r="J116" s="1139"/>
      <c r="K116" s="96">
        <f>J115</f>
        <v>0</v>
      </c>
      <c r="L116" s="2" t="s">
        <v>431</v>
      </c>
      <c r="M116" s="5"/>
      <c r="N116" s="5"/>
      <c r="AB116" s="5"/>
      <c r="AC116" s="1189" t="s">
        <v>220</v>
      </c>
      <c r="AD116" s="1189" t="s">
        <v>249</v>
      </c>
      <c r="AE116" s="1189"/>
      <c r="AF116" s="1189"/>
      <c r="AG116" s="1189"/>
      <c r="AH116" s="108" t="s">
        <v>222</v>
      </c>
      <c r="AI116" s="108" t="s">
        <v>223</v>
      </c>
      <c r="AJ116" s="108" t="s">
        <v>224</v>
      </c>
      <c r="AK116" s="108" t="s">
        <v>225</v>
      </c>
      <c r="AL116" s="807"/>
      <c r="AM116" s="5"/>
      <c r="AN116" s="5"/>
    </row>
    <row r="117" spans="1:40" ht="15.75" customHeight="1">
      <c r="A117" s="5"/>
      <c r="B117" s="1206" t="s">
        <v>257</v>
      </c>
      <c r="C117" s="1207"/>
      <c r="D117" s="1207"/>
      <c r="E117" s="1207"/>
      <c r="F117" s="1207"/>
      <c r="G117" s="1207"/>
      <c r="H117" s="1207"/>
      <c r="I117" s="1207"/>
      <c r="J117" s="1207"/>
      <c r="K117" s="1243"/>
      <c r="L117" s="289"/>
      <c r="M117" s="5"/>
      <c r="N117" s="5"/>
      <c r="AB117" s="5"/>
      <c r="AC117" s="1189"/>
      <c r="AD117" s="1189"/>
      <c r="AE117" s="1189"/>
      <c r="AF117" s="1189"/>
      <c r="AG117" s="1189"/>
      <c r="AH117" s="2" t="s">
        <v>226</v>
      </c>
      <c r="AI117" s="89" t="s">
        <v>227</v>
      </c>
      <c r="AJ117" s="89" t="s">
        <v>228</v>
      </c>
      <c r="AK117" s="89" t="s">
        <v>229</v>
      </c>
      <c r="AL117" s="807"/>
      <c r="AM117" s="5"/>
      <c r="AN117" s="5"/>
    </row>
    <row r="118" spans="1:40" ht="15.75" customHeight="1">
      <c r="A118" s="5"/>
      <c r="B118" s="1208" t="s">
        <v>220</v>
      </c>
      <c r="C118" s="1132" t="s">
        <v>221</v>
      </c>
      <c r="D118" s="1133"/>
      <c r="E118" s="1133"/>
      <c r="F118" s="1133"/>
      <c r="G118" s="108" t="s">
        <v>232</v>
      </c>
      <c r="H118" s="108" t="s">
        <v>222</v>
      </c>
      <c r="I118" s="108" t="s">
        <v>223</v>
      </c>
      <c r="J118" s="109" t="s">
        <v>233</v>
      </c>
      <c r="K118" s="1244"/>
      <c r="L118" s="5"/>
      <c r="M118" s="5"/>
      <c r="N118" s="5"/>
      <c r="AB118" s="5"/>
      <c r="AC118" s="1"/>
      <c r="AD118" s="862" t="s">
        <v>391</v>
      </c>
      <c r="AE118" s="863"/>
      <c r="AF118" s="863"/>
      <c r="AG118" s="864"/>
      <c r="AH118" s="2"/>
      <c r="AI118" s="2"/>
      <c r="AJ118" s="2"/>
      <c r="AK118" s="2"/>
      <c r="AL118" s="807"/>
      <c r="AM118" s="5"/>
      <c r="AN118" s="5"/>
    </row>
    <row r="119" spans="1:40" ht="15.75" customHeight="1">
      <c r="A119" s="5"/>
      <c r="B119" s="1209"/>
      <c r="C119" s="1196"/>
      <c r="D119" s="1197"/>
      <c r="E119" s="1197"/>
      <c r="F119" s="1197"/>
      <c r="G119" s="2" t="s">
        <v>228</v>
      </c>
      <c r="H119" s="2" t="s">
        <v>226</v>
      </c>
      <c r="I119" s="89" t="s">
        <v>227</v>
      </c>
      <c r="J119" s="92" t="s">
        <v>229</v>
      </c>
      <c r="K119" s="1244"/>
      <c r="L119" s="5"/>
      <c r="M119" s="5"/>
      <c r="N119" s="5"/>
      <c r="T119" s="152">
        <f t="shared" ref="G119:T123" si="0">-1/14</f>
        <v>-7.1428571428571425E-2</v>
      </c>
      <c r="U119" s="2">
        <f>3.25*3.7</f>
        <v>12.025</v>
      </c>
      <c r="V119" s="89">
        <f>Parois!L42</f>
        <v>1.8115853807007718</v>
      </c>
      <c r="W119" s="92">
        <f>V119*U119*T119</f>
        <v>-1.5560224430661986</v>
      </c>
      <c r="AB119" s="5"/>
      <c r="AC119" s="98" t="s">
        <v>287</v>
      </c>
      <c r="AD119" s="98"/>
      <c r="AE119" s="98"/>
      <c r="AF119" s="98"/>
      <c r="AG119" s="98"/>
      <c r="AH119" s="98"/>
      <c r="AI119" s="1030" t="s">
        <v>288</v>
      </c>
      <c r="AJ119" s="1139"/>
      <c r="AK119" s="1139"/>
      <c r="AL119" s="96">
        <f>AK118</f>
        <v>0</v>
      </c>
      <c r="AM119" s="2" t="s">
        <v>431</v>
      </c>
      <c r="AN119" s="5"/>
    </row>
    <row r="120" spans="1:40" ht="15.75" customHeight="1">
      <c r="A120" s="5"/>
      <c r="B120" s="140" t="s">
        <v>432</v>
      </c>
      <c r="C120" s="1160" t="s">
        <v>562</v>
      </c>
      <c r="D120" s="1210"/>
      <c r="E120" s="1210"/>
      <c r="F120" s="1211"/>
      <c r="H120" s="2">
        <f>(3.48+0.025)*3.78</f>
        <v>13.248899999999999</v>
      </c>
      <c r="I120" s="2">
        <f>Parois!L42</f>
        <v>1.8115853807007718</v>
      </c>
      <c r="K120" s="1244"/>
      <c r="L120" s="5"/>
      <c r="M120" s="5"/>
      <c r="N120" s="5"/>
      <c r="AB120" s="5"/>
      <c r="AC120" s="1177" t="s">
        <v>257</v>
      </c>
      <c r="AD120" s="1178"/>
      <c r="AE120" s="1178"/>
      <c r="AF120" s="1178"/>
      <c r="AG120" s="1178"/>
      <c r="AH120" s="1178"/>
      <c r="AI120" s="1178"/>
      <c r="AJ120" s="1178"/>
      <c r="AK120" s="1178"/>
      <c r="AL120" s="1243"/>
      <c r="AM120" s="289"/>
      <c r="AN120" s="5"/>
    </row>
    <row r="121" spans="1:40" ht="15.75" customHeight="1">
      <c r="A121" s="5"/>
      <c r="B121" s="116" t="s">
        <v>383</v>
      </c>
      <c r="C121" s="1212" t="s">
        <v>563</v>
      </c>
      <c r="D121" s="1213"/>
      <c r="E121" s="1213"/>
      <c r="F121" s="1213"/>
      <c r="G121" s="152">
        <f t="shared" si="0"/>
        <v>-7.1428571428571425E-2</v>
      </c>
      <c r="H121" s="298">
        <f>(1.5*3.78)-(2.03*0.81)</f>
        <v>4.0257000000000005</v>
      </c>
      <c r="I121" s="89">
        <f>Parois!L42</f>
        <v>1.8115853807007718</v>
      </c>
      <c r="J121" s="299">
        <f>PRODUCT(G121:I121)</f>
        <v>-0.52092137622050694</v>
      </c>
      <c r="K121" s="1244"/>
      <c r="L121" s="5"/>
      <c r="M121" s="5"/>
      <c r="N121" s="5"/>
      <c r="AB121" s="5"/>
      <c r="AC121" s="1208" t="s">
        <v>220</v>
      </c>
      <c r="AD121" s="1132" t="s">
        <v>221</v>
      </c>
      <c r="AE121" s="1133"/>
      <c r="AF121" s="1133"/>
      <c r="AG121" s="1133"/>
      <c r="AH121" s="108" t="s">
        <v>232</v>
      </c>
      <c r="AI121" s="108" t="s">
        <v>222</v>
      </c>
      <c r="AJ121" s="108" t="s">
        <v>223</v>
      </c>
      <c r="AK121" s="109" t="s">
        <v>233</v>
      </c>
      <c r="AL121" s="1244"/>
      <c r="AM121" s="5"/>
      <c r="AN121" s="5"/>
    </row>
    <row r="122" spans="1:40" ht="15.75" customHeight="1">
      <c r="A122" s="5"/>
      <c r="B122" s="194" t="s">
        <v>383</v>
      </c>
      <c r="C122" s="971" t="s">
        <v>216</v>
      </c>
      <c r="D122" s="971"/>
      <c r="E122" s="971"/>
      <c r="F122" s="971"/>
      <c r="G122" s="152">
        <f>-1/14</f>
        <v>-7.1428571428571425E-2</v>
      </c>
      <c r="H122" s="2">
        <f>(2.03*0.81)</f>
        <v>1.6442999999999999</v>
      </c>
      <c r="I122" s="89">
        <v>2.5</v>
      </c>
      <c r="J122" s="92">
        <f>PRODUCT(G122:I122)</f>
        <v>-0.29362499999999997</v>
      </c>
      <c r="K122" s="1244"/>
      <c r="L122" s="5"/>
      <c r="M122" s="5"/>
      <c r="N122" s="5"/>
      <c r="AB122" s="5"/>
      <c r="AC122" s="1209"/>
      <c r="AD122" s="1196"/>
      <c r="AE122" s="1197"/>
      <c r="AF122" s="1197"/>
      <c r="AG122" s="1197"/>
      <c r="AH122" s="2" t="s">
        <v>228</v>
      </c>
      <c r="AI122" s="2" t="s">
        <v>226</v>
      </c>
      <c r="AJ122" s="89" t="s">
        <v>227</v>
      </c>
      <c r="AK122" s="92" t="s">
        <v>229</v>
      </c>
      <c r="AL122" s="1244"/>
      <c r="AM122" s="5"/>
      <c r="AN122" s="5"/>
    </row>
    <row r="123" spans="1:40">
      <c r="A123" s="5"/>
      <c r="B123" s="194" t="s">
        <v>387</v>
      </c>
      <c r="C123" s="971" t="s">
        <v>564</v>
      </c>
      <c r="D123" s="971"/>
      <c r="E123" s="971"/>
      <c r="F123" s="971"/>
      <c r="G123" s="152">
        <f t="shared" si="0"/>
        <v>-7.1428571428571425E-2</v>
      </c>
      <c r="H123" s="2">
        <f>(3.48+0.025)*3.78</f>
        <v>13.248899999999999</v>
      </c>
      <c r="I123" s="89">
        <f>Parois!L42</f>
        <v>1.8115853807007718</v>
      </c>
      <c r="J123" s="92">
        <f>PRODUCT(G123:I123)</f>
        <v>-1.7143938250261752</v>
      </c>
      <c r="K123" s="1244"/>
      <c r="L123" s="5"/>
      <c r="M123" s="5"/>
      <c r="N123" s="5"/>
      <c r="AB123" s="5"/>
      <c r="AC123" s="140" t="s">
        <v>432</v>
      </c>
      <c r="AD123" s="1160" t="s">
        <v>562</v>
      </c>
      <c r="AE123" s="1210"/>
      <c r="AF123" s="1210"/>
      <c r="AG123" s="1211"/>
      <c r="AI123" s="2">
        <f>(3.48+0.025)*3.78</f>
        <v>13.248899999999999</v>
      </c>
      <c r="AJ123" s="2">
        <f>Parois!AM45</f>
        <v>0</v>
      </c>
      <c r="AL123" s="1244"/>
      <c r="AM123" s="5"/>
      <c r="AN123" s="5"/>
    </row>
    <row r="124" spans="1:40">
      <c r="A124" s="5"/>
      <c r="B124" s="194" t="s">
        <v>447</v>
      </c>
      <c r="C124" s="818" t="s">
        <v>199</v>
      </c>
      <c r="D124" s="818"/>
      <c r="E124" s="818"/>
      <c r="F124" s="818"/>
      <c r="G124" s="6">
        <f>(J129-10)/J130</f>
        <v>0.25</v>
      </c>
      <c r="H124" s="2">
        <f>1.5*3.505</f>
        <v>5.2575000000000003</v>
      </c>
      <c r="I124" s="2">
        <f>Parois!L49</f>
        <v>0.39937430012814151</v>
      </c>
      <c r="J124" s="120">
        <f>PRODUCT(G124:I124)</f>
        <v>0.52492759573092607</v>
      </c>
      <c r="K124" s="1245"/>
      <c r="L124" s="233"/>
      <c r="M124" s="5"/>
      <c r="N124" s="5"/>
      <c r="AB124" s="5"/>
      <c r="AC124" s="116" t="s">
        <v>383</v>
      </c>
      <c r="AD124" s="1212" t="s">
        <v>563</v>
      </c>
      <c r="AE124" s="1213"/>
      <c r="AF124" s="1213"/>
      <c r="AG124" s="1213"/>
      <c r="AH124" s="2">
        <f>(26-25)/(26-32)</f>
        <v>-0.16666666666666666</v>
      </c>
      <c r="AI124" s="298">
        <f>(1.5*3.78)-(2.03*0.81)</f>
        <v>4.0257000000000005</v>
      </c>
      <c r="AJ124" s="89">
        <f>AI81</f>
        <v>1.6442999999999999</v>
      </c>
      <c r="AK124" s="730">
        <f>PRODUCT(AH124:AJ124)</f>
        <v>-1.1032430849999999</v>
      </c>
      <c r="AL124" s="1244"/>
      <c r="AM124" s="5"/>
      <c r="AN124" s="5"/>
    </row>
    <row r="125" spans="1:40" ht="15.75" customHeight="1">
      <c r="A125" s="5"/>
      <c r="B125" s="1205" t="s">
        <v>255</v>
      </c>
      <c r="C125" s="1205"/>
      <c r="D125" s="1205"/>
      <c r="E125" s="1205"/>
      <c r="F125" s="1205"/>
      <c r="G125" s="1205"/>
      <c r="H125" s="1205"/>
      <c r="I125" s="1205"/>
      <c r="J125" s="108" t="s">
        <v>256</v>
      </c>
      <c r="K125" s="192">
        <f>SUM(J120:J124)-SUM(J121:J123)</f>
        <v>0.52492759573092584</v>
      </c>
      <c r="L125" s="131" t="s">
        <v>144</v>
      </c>
      <c r="M125" s="5"/>
      <c r="N125" s="5"/>
      <c r="AB125" s="5"/>
      <c r="AC125" s="194" t="s">
        <v>383</v>
      </c>
      <c r="AD125" s="971" t="s">
        <v>216</v>
      </c>
      <c r="AE125" s="971"/>
      <c r="AF125" s="971"/>
      <c r="AG125" s="971"/>
      <c r="AH125" s="2">
        <f>(26-25)/(26-32)</f>
        <v>-0.16666666666666666</v>
      </c>
      <c r="AI125" s="2">
        <f>(2.03*0.81)</f>
        <v>1.6442999999999999</v>
      </c>
      <c r="AJ125" s="89">
        <v>2.5</v>
      </c>
      <c r="AK125" s="729">
        <f>PRODUCT(AH125:AJ125)</f>
        <v>-0.68512499999999987</v>
      </c>
      <c r="AL125" s="1244"/>
      <c r="AM125" s="5"/>
      <c r="AN125" s="5"/>
    </row>
    <row r="126" spans="1:40" ht="18.75">
      <c r="A126" s="5"/>
      <c r="B126" s="1215" t="s">
        <v>450</v>
      </c>
      <c r="C126" s="1216"/>
      <c r="D126" s="1216"/>
      <c r="E126" s="1216"/>
      <c r="F126" s="1217"/>
      <c r="G126" s="1218" t="s">
        <v>451</v>
      </c>
      <c r="H126" s="1219"/>
      <c r="I126" s="1219"/>
      <c r="J126" s="1220"/>
      <c r="K126" s="124">
        <f>K125+K116+K111+K101</f>
        <v>0.52492759573092584</v>
      </c>
      <c r="L126" s="107" t="s">
        <v>431</v>
      </c>
      <c r="M126" s="5"/>
      <c r="N126" s="5"/>
      <c r="AB126" s="5"/>
      <c r="AC126" s="194" t="s">
        <v>387</v>
      </c>
      <c r="AD126" s="971" t="s">
        <v>564</v>
      </c>
      <c r="AE126" s="971"/>
      <c r="AF126" s="971"/>
      <c r="AG126" s="971"/>
      <c r="AH126" s="2">
        <f>(26-24)/(26-32)</f>
        <v>-0.33333333333333331</v>
      </c>
      <c r="AI126" s="2">
        <f>(3.48+0.025)*3.78</f>
        <v>13.248899999999999</v>
      </c>
      <c r="AJ126" s="89">
        <f>AJ124</f>
        <v>1.6442999999999999</v>
      </c>
      <c r="AK126" s="729">
        <f>PRODUCT(AH126:AJ126)</f>
        <v>-7.2617220899999992</v>
      </c>
      <c r="AL126" s="1244"/>
      <c r="AM126" s="5"/>
      <c r="AN126" s="5"/>
    </row>
    <row r="127" spans="1:40">
      <c r="A127" s="5"/>
      <c r="B127" s="104" t="s">
        <v>365</v>
      </c>
      <c r="C127" s="103"/>
      <c r="D127" s="103"/>
      <c r="E127" s="103"/>
      <c r="F127" s="103"/>
      <c r="G127" s="125"/>
      <c r="H127" s="125"/>
      <c r="I127" s="125"/>
      <c r="J127" s="126"/>
      <c r="K127" s="807"/>
      <c r="L127" s="5"/>
      <c r="M127" s="5"/>
      <c r="N127" s="5"/>
      <c r="AB127" s="5"/>
      <c r="AC127" s="194" t="s">
        <v>447</v>
      </c>
      <c r="AD127" s="818" t="s">
        <v>199</v>
      </c>
      <c r="AE127" s="818"/>
      <c r="AF127" s="818"/>
      <c r="AG127" s="818"/>
      <c r="AH127" s="2">
        <f>(26-20)/(26-32)</f>
        <v>-1</v>
      </c>
      <c r="AI127" s="2">
        <f>1.5*3.505</f>
        <v>5.2575000000000003</v>
      </c>
      <c r="AJ127" s="2">
        <f>AJ80</f>
        <v>0.39937430012814151</v>
      </c>
      <c r="AK127" s="666">
        <f>PRODUCT(AH127:AJ127)</f>
        <v>-2.0997103829237043</v>
      </c>
      <c r="AL127" s="1245"/>
      <c r="AM127" s="233"/>
      <c r="AN127" s="5"/>
    </row>
    <row r="128" spans="1:40" ht="19.5">
      <c r="A128" s="5"/>
      <c r="B128" s="818" t="s">
        <v>6</v>
      </c>
      <c r="C128" s="818"/>
      <c r="D128" s="818"/>
      <c r="E128" s="818"/>
      <c r="F128" s="818"/>
      <c r="G128" s="818"/>
      <c r="H128" s="2" t="s">
        <v>261</v>
      </c>
      <c r="I128" s="2" t="s">
        <v>262</v>
      </c>
      <c r="J128" s="2">
        <v>-8</v>
      </c>
      <c r="K128" s="807"/>
      <c r="L128" s="5"/>
      <c r="M128" s="5"/>
      <c r="N128" s="5"/>
      <c r="AB128" s="5"/>
      <c r="AC128" s="1205" t="s">
        <v>255</v>
      </c>
      <c r="AD128" s="1205"/>
      <c r="AE128" s="1205"/>
      <c r="AF128" s="1205"/>
      <c r="AG128" s="1205"/>
      <c r="AH128" s="1205"/>
      <c r="AI128" s="1205"/>
      <c r="AJ128" s="1205"/>
      <c r="AK128" s="108" t="s">
        <v>256</v>
      </c>
      <c r="AL128" s="192">
        <f>AK124+AK126+AK127+AK125</f>
        <v>-11.149800557923701</v>
      </c>
      <c r="AM128" s="131" t="s">
        <v>144</v>
      </c>
      <c r="AN128" s="5"/>
    </row>
    <row r="129" spans="1:40" ht="19.5">
      <c r="A129" s="5"/>
      <c r="B129" s="971" t="s">
        <v>264</v>
      </c>
      <c r="C129" s="971"/>
      <c r="D129" s="971"/>
      <c r="E129" s="971"/>
      <c r="F129" s="971"/>
      <c r="G129" s="971"/>
      <c r="H129" s="2" t="s">
        <v>265</v>
      </c>
      <c r="I129" s="2" t="s">
        <v>262</v>
      </c>
      <c r="J129" s="2">
        <v>16</v>
      </c>
      <c r="K129" s="807"/>
      <c r="L129" s="5"/>
      <c r="M129" s="5"/>
      <c r="N129" s="5"/>
      <c r="AB129" s="5"/>
      <c r="AC129" s="1215" t="s">
        <v>450</v>
      </c>
      <c r="AD129" s="1216"/>
      <c r="AE129" s="1216"/>
      <c r="AF129" s="1216"/>
      <c r="AG129" s="1217"/>
      <c r="AH129" s="1218" t="s">
        <v>451</v>
      </c>
      <c r="AI129" s="1219"/>
      <c r="AJ129" s="1219"/>
      <c r="AK129" s="1220"/>
      <c r="AL129" s="124">
        <f>AL128+AL119+AL114+AL104</f>
        <v>-11.149800557923701</v>
      </c>
      <c r="AM129" s="107" t="s">
        <v>431</v>
      </c>
      <c r="AN129" s="5"/>
    </row>
    <row r="130" spans="1:40" ht="19.5">
      <c r="A130" s="5"/>
      <c r="B130" s="818" t="s">
        <v>266</v>
      </c>
      <c r="C130" s="818"/>
      <c r="D130" s="818"/>
      <c r="E130" s="818"/>
      <c r="F130" s="818"/>
      <c r="G130" s="818"/>
      <c r="H130" s="2" t="s">
        <v>267</v>
      </c>
      <c r="I130" s="2" t="s">
        <v>262</v>
      </c>
      <c r="J130" s="2">
        <f>J129-J128</f>
        <v>24</v>
      </c>
      <c r="K130" s="807"/>
      <c r="L130" s="5"/>
      <c r="M130" s="5"/>
      <c r="N130" s="5"/>
      <c r="AB130" s="5"/>
      <c r="AC130" s="104" t="s">
        <v>365</v>
      </c>
      <c r="AD130" s="103"/>
      <c r="AE130" s="103"/>
      <c r="AF130" s="103"/>
      <c r="AG130" s="103"/>
      <c r="AH130" s="125"/>
      <c r="AI130" s="125"/>
      <c r="AJ130" s="125"/>
      <c r="AK130" s="126"/>
      <c r="AL130" s="807"/>
      <c r="AM130" s="5"/>
      <c r="AN130" s="5"/>
    </row>
    <row r="131" spans="1:40" ht="18" customHeight="1">
      <c r="A131" s="5"/>
      <c r="B131" s="1214" t="s">
        <v>452</v>
      </c>
      <c r="C131" s="988"/>
      <c r="D131" s="988"/>
      <c r="E131" s="988"/>
      <c r="F131" s="988"/>
      <c r="G131" s="988"/>
      <c r="H131" s="988"/>
      <c r="I131" s="988"/>
      <c r="J131" s="988"/>
      <c r="K131" s="274">
        <f>K126*J130</f>
        <v>12.59826229754222</v>
      </c>
      <c r="L131" s="2" t="s">
        <v>453</v>
      </c>
      <c r="M131" s="5"/>
      <c r="N131" s="5"/>
      <c r="AB131" s="5"/>
      <c r="AC131" s="818" t="s">
        <v>6</v>
      </c>
      <c r="AD131" s="818"/>
      <c r="AE131" s="818"/>
      <c r="AF131" s="818"/>
      <c r="AG131" s="818"/>
      <c r="AH131" s="818"/>
      <c r="AI131" s="2" t="s">
        <v>261</v>
      </c>
      <c r="AJ131" s="2" t="s">
        <v>262</v>
      </c>
      <c r="AK131" s="2">
        <v>32</v>
      </c>
      <c r="AL131" s="807"/>
      <c r="AM131" s="5"/>
      <c r="AN131" s="5"/>
    </row>
    <row r="132" spans="1:40" ht="19.5">
      <c r="A132" s="5"/>
      <c r="B132" s="5"/>
      <c r="C132" s="5"/>
      <c r="D132" s="5"/>
      <c r="E132" s="5"/>
      <c r="F132" s="5"/>
      <c r="G132" s="5"/>
      <c r="H132" s="5"/>
      <c r="I132" s="5"/>
      <c r="J132" s="5"/>
      <c r="K132" s="5"/>
      <c r="L132" s="5"/>
      <c r="M132" s="5"/>
      <c r="N132" s="5"/>
      <c r="AB132" s="5"/>
      <c r="AC132" s="971" t="s">
        <v>264</v>
      </c>
      <c r="AD132" s="971"/>
      <c r="AE132" s="971"/>
      <c r="AF132" s="971"/>
      <c r="AG132" s="971"/>
      <c r="AH132" s="971"/>
      <c r="AI132" s="2" t="s">
        <v>265</v>
      </c>
      <c r="AJ132" s="2" t="s">
        <v>262</v>
      </c>
      <c r="AK132" s="2">
        <v>26</v>
      </c>
      <c r="AL132" s="807"/>
      <c r="AM132" s="5"/>
      <c r="AN132" s="5"/>
    </row>
    <row r="133" spans="1:40" ht="15.75" customHeight="1">
      <c r="A133" s="5"/>
      <c r="B133" s="5"/>
      <c r="C133" s="5"/>
      <c r="D133" s="5"/>
      <c r="E133" s="5"/>
      <c r="F133" s="5"/>
      <c r="G133" s="5"/>
      <c r="H133" s="5"/>
      <c r="I133" s="5"/>
      <c r="J133" s="5"/>
      <c r="K133" s="5"/>
      <c r="L133" s="5"/>
      <c r="M133" s="5"/>
      <c r="N133" s="5"/>
      <c r="AB133" s="5"/>
      <c r="AC133" s="818" t="s">
        <v>266</v>
      </c>
      <c r="AD133" s="818"/>
      <c r="AE133" s="818"/>
      <c r="AF133" s="818"/>
      <c r="AG133" s="818"/>
      <c r="AH133" s="818"/>
      <c r="AI133" s="2" t="s">
        <v>267</v>
      </c>
      <c r="AJ133" s="2" t="s">
        <v>262</v>
      </c>
      <c r="AK133" s="2">
        <f>AK132-AK131</f>
        <v>-6</v>
      </c>
      <c r="AL133" s="807"/>
      <c r="AM133" s="5"/>
      <c r="AN133" s="5"/>
    </row>
    <row r="134" spans="1:40" ht="18.75">
      <c r="A134" s="5"/>
      <c r="B134" s="5"/>
      <c r="C134" s="5"/>
      <c r="D134" s="5"/>
      <c r="E134" s="5"/>
      <c r="F134" s="5"/>
      <c r="G134" s="5"/>
      <c r="H134" s="5"/>
      <c r="I134" s="5"/>
      <c r="J134" s="5"/>
      <c r="K134" s="5"/>
      <c r="L134" s="5"/>
      <c r="M134" s="5"/>
      <c r="N134" s="5"/>
      <c r="AB134" s="5"/>
      <c r="AC134" s="1214" t="s">
        <v>452</v>
      </c>
      <c r="AD134" s="988"/>
      <c r="AE134" s="988"/>
      <c r="AF134" s="988"/>
      <c r="AG134" s="988"/>
      <c r="AH134" s="988"/>
      <c r="AI134" s="988"/>
      <c r="AJ134" s="988"/>
      <c r="AK134" s="988"/>
      <c r="AL134" s="274">
        <f>AL129*AK133</f>
        <v>66.898803347542213</v>
      </c>
      <c r="AM134" s="2" t="s">
        <v>453</v>
      </c>
      <c r="AN134" s="5"/>
    </row>
    <row r="135" spans="1:40">
      <c r="A135" s="5"/>
      <c r="B135" s="5"/>
      <c r="C135" s="5"/>
      <c r="D135" s="5"/>
      <c r="E135" s="5"/>
      <c r="F135" s="5"/>
      <c r="G135" s="5"/>
      <c r="H135" s="5"/>
      <c r="I135" s="5"/>
      <c r="J135" s="5"/>
      <c r="K135" s="5"/>
      <c r="L135" s="5"/>
      <c r="M135" s="5"/>
      <c r="N135" s="5"/>
      <c r="AB135" s="5"/>
      <c r="AC135" s="5"/>
      <c r="AD135" s="5"/>
      <c r="AE135" s="5"/>
      <c r="AF135" s="5"/>
      <c r="AG135" s="5"/>
      <c r="AH135" s="5"/>
      <c r="AI135" s="5"/>
      <c r="AJ135" s="5"/>
      <c r="AK135" s="5"/>
      <c r="AL135" s="5"/>
      <c r="AM135" s="5"/>
      <c r="AN135" s="5"/>
    </row>
    <row r="136" spans="1:40" ht="16.5" thickBot="1">
      <c r="A136" s="5"/>
      <c r="B136" s="5"/>
      <c r="C136" s="5"/>
      <c r="D136" s="5"/>
      <c r="E136" s="5"/>
      <c r="F136" s="5"/>
      <c r="G136" s="5"/>
      <c r="H136" s="5"/>
      <c r="I136" s="5"/>
      <c r="J136" s="5"/>
      <c r="K136" s="5"/>
      <c r="L136" s="5"/>
      <c r="M136" s="5"/>
      <c r="N136" s="5"/>
      <c r="AB136" s="5"/>
      <c r="AC136" s="5"/>
      <c r="AD136" s="5"/>
      <c r="AE136" s="5"/>
      <c r="AF136" s="5"/>
      <c r="AG136" s="5"/>
      <c r="AH136" s="5"/>
      <c r="AI136" s="5"/>
      <c r="AJ136" s="5"/>
      <c r="AK136" s="5"/>
      <c r="AL136" s="5"/>
      <c r="AM136" s="5"/>
      <c r="AN136" s="5"/>
    </row>
    <row r="137" spans="1:40" ht="16.5" thickBot="1">
      <c r="A137" s="127" t="s">
        <v>565</v>
      </c>
      <c r="B137" s="1001" t="s">
        <v>219</v>
      </c>
      <c r="C137" s="1001"/>
      <c r="D137" s="1001"/>
      <c r="E137" s="1001"/>
      <c r="F137" s="1001"/>
      <c r="G137" s="1001"/>
      <c r="H137" s="1001"/>
      <c r="I137" s="1001"/>
      <c r="J137" s="1002"/>
      <c r="K137" s="815"/>
      <c r="L137" s="5"/>
      <c r="M137" s="5"/>
      <c r="N137" s="5"/>
      <c r="AB137" s="5"/>
      <c r="AC137" s="5"/>
      <c r="AD137" s="5"/>
      <c r="AE137" s="5"/>
      <c r="AF137" s="5"/>
      <c r="AG137" s="5"/>
      <c r="AH137" s="5"/>
      <c r="AI137" s="5"/>
      <c r="AJ137" s="5"/>
      <c r="AK137" s="5"/>
      <c r="AL137" s="5"/>
      <c r="AM137" s="5"/>
      <c r="AN137" s="5"/>
    </row>
    <row r="138" spans="1:40" ht="18">
      <c r="A138" s="5"/>
      <c r="B138" s="1189" t="s">
        <v>220</v>
      </c>
      <c r="C138" s="1189" t="s">
        <v>221</v>
      </c>
      <c r="D138" s="1189"/>
      <c r="E138" s="1189"/>
      <c r="F138" s="1189"/>
      <c r="G138" s="108" t="s">
        <v>222</v>
      </c>
      <c r="H138" s="108" t="s">
        <v>223</v>
      </c>
      <c r="I138" s="108" t="s">
        <v>224</v>
      </c>
      <c r="J138" s="109" t="s">
        <v>225</v>
      </c>
      <c r="K138" s="1188"/>
      <c r="L138" s="5"/>
      <c r="M138" s="5"/>
      <c r="N138" s="5"/>
      <c r="AB138" s="5"/>
      <c r="AC138" s="5"/>
      <c r="AD138" s="5"/>
      <c r="AE138" s="5"/>
      <c r="AF138" s="5"/>
      <c r="AG138" s="5"/>
      <c r="AH138" s="5"/>
      <c r="AI138" s="5"/>
      <c r="AJ138" s="5"/>
      <c r="AK138" s="5"/>
      <c r="AL138" s="5"/>
      <c r="AM138" s="5"/>
      <c r="AN138" s="5"/>
    </row>
    <row r="139" spans="1:40" ht="19.5" thickBot="1">
      <c r="A139" s="5"/>
      <c r="B139" s="1189"/>
      <c r="C139" s="1189"/>
      <c r="D139" s="1189"/>
      <c r="E139" s="1189"/>
      <c r="F139" s="1189"/>
      <c r="G139" s="2" t="s">
        <v>226</v>
      </c>
      <c r="H139" s="89" t="s">
        <v>227</v>
      </c>
      <c r="I139" s="89" t="s">
        <v>228</v>
      </c>
      <c r="J139" s="92" t="s">
        <v>229</v>
      </c>
      <c r="K139" s="1188"/>
      <c r="L139" s="5"/>
      <c r="M139" s="5"/>
      <c r="N139" s="5"/>
      <c r="AB139" s="5"/>
      <c r="AC139" s="5"/>
      <c r="AD139" s="5"/>
      <c r="AE139" s="5"/>
      <c r="AF139" s="5"/>
      <c r="AG139" s="5"/>
      <c r="AH139" s="5"/>
      <c r="AI139" s="5"/>
      <c r="AJ139" s="5"/>
      <c r="AK139" s="5"/>
      <c r="AL139" s="5"/>
      <c r="AM139" s="5"/>
      <c r="AN139" s="5"/>
    </row>
    <row r="140" spans="1:40" ht="16.5" thickBot="1">
      <c r="A140" s="5"/>
      <c r="B140" s="110" t="s">
        <v>544</v>
      </c>
      <c r="C140" s="1153" t="s">
        <v>206</v>
      </c>
      <c r="D140" s="1190"/>
      <c r="E140" s="1190"/>
      <c r="F140" s="1191"/>
      <c r="G140" s="110">
        <f>1.9*2.3</f>
        <v>4.3699999999999992</v>
      </c>
      <c r="H140" s="110">
        <f>Parois!L59</f>
        <v>0.14630087903826619</v>
      </c>
      <c r="I140" s="110">
        <v>1</v>
      </c>
      <c r="J140" s="111"/>
      <c r="K140" s="1188"/>
      <c r="L140" s="5"/>
      <c r="M140" s="5"/>
      <c r="N140" s="5"/>
      <c r="AB140" s="127" t="s">
        <v>565</v>
      </c>
      <c r="AC140" s="1183" t="s">
        <v>219</v>
      </c>
      <c r="AD140" s="1183"/>
      <c r="AE140" s="1183"/>
      <c r="AF140" s="1183"/>
      <c r="AG140" s="1183"/>
      <c r="AH140" s="1183"/>
      <c r="AI140" s="1183"/>
      <c r="AJ140" s="1183"/>
      <c r="AK140" s="1180"/>
      <c r="AL140" s="815"/>
      <c r="AM140" s="5"/>
      <c r="AN140" s="5"/>
    </row>
    <row r="141" spans="1:40" ht="18.75">
      <c r="A141" s="5"/>
      <c r="B141" s="1192" t="s">
        <v>430</v>
      </c>
      <c r="C141" s="1193"/>
      <c r="D141" s="1193"/>
      <c r="E141" s="1193"/>
      <c r="F141" s="1193"/>
      <c r="G141" s="1193"/>
      <c r="H141" s="1193"/>
      <c r="I141" s="1194"/>
      <c r="J141" s="105">
        <f>J140</f>
        <v>0</v>
      </c>
      <c r="K141" s="1188"/>
      <c r="L141" s="5"/>
      <c r="M141" s="5"/>
      <c r="N141" s="5"/>
      <c r="AB141" s="5"/>
      <c r="AC141" s="1189" t="s">
        <v>220</v>
      </c>
      <c r="AD141" s="1189" t="s">
        <v>221</v>
      </c>
      <c r="AE141" s="1189"/>
      <c r="AF141" s="1189"/>
      <c r="AG141" s="1189"/>
      <c r="AH141" s="108" t="s">
        <v>222</v>
      </c>
      <c r="AI141" s="108" t="s">
        <v>223</v>
      </c>
      <c r="AJ141" s="108" t="s">
        <v>224</v>
      </c>
      <c r="AK141" s="109" t="s">
        <v>225</v>
      </c>
      <c r="AL141" s="1188"/>
      <c r="AM141" s="5"/>
      <c r="AN141" s="5"/>
    </row>
    <row r="142" spans="1:40" ht="19.5">
      <c r="A142" s="5"/>
      <c r="B142" s="1130" t="s">
        <v>220</v>
      </c>
      <c r="C142" s="1132" t="s">
        <v>302</v>
      </c>
      <c r="D142" s="1133"/>
      <c r="E142" s="1133"/>
      <c r="F142" s="1134"/>
      <c r="G142" s="114" t="s">
        <v>303</v>
      </c>
      <c r="H142" s="114" t="s">
        <v>304</v>
      </c>
      <c r="I142" s="114" t="s">
        <v>224</v>
      </c>
      <c r="J142" s="115" t="s">
        <v>305</v>
      </c>
      <c r="K142" s="1188"/>
      <c r="L142" s="5"/>
      <c r="M142" s="5"/>
      <c r="N142" s="5"/>
      <c r="AB142" s="5"/>
      <c r="AC142" s="1189"/>
      <c r="AD142" s="1189"/>
      <c r="AE142" s="1189"/>
      <c r="AF142" s="1189"/>
      <c r="AG142" s="1189"/>
      <c r="AH142" s="2" t="s">
        <v>226</v>
      </c>
      <c r="AI142" s="89" t="s">
        <v>227</v>
      </c>
      <c r="AJ142" s="89" t="s">
        <v>228</v>
      </c>
      <c r="AK142" s="92" t="s">
        <v>229</v>
      </c>
      <c r="AL142" s="1188"/>
      <c r="AM142" s="5"/>
      <c r="AN142" s="5"/>
    </row>
    <row r="143" spans="1:40">
      <c r="A143" s="5"/>
      <c r="B143" s="1195"/>
      <c r="C143" s="1196"/>
      <c r="D143" s="1197"/>
      <c r="E143" s="1197"/>
      <c r="F143" s="1198"/>
      <c r="G143" s="107" t="s">
        <v>307</v>
      </c>
      <c r="H143" s="107" t="s">
        <v>308</v>
      </c>
      <c r="I143" s="107" t="s">
        <v>228</v>
      </c>
      <c r="J143" s="85" t="s">
        <v>229</v>
      </c>
      <c r="K143" s="1188"/>
      <c r="L143" s="5"/>
      <c r="M143" s="5"/>
      <c r="N143" s="5"/>
      <c r="AB143" s="5"/>
      <c r="AC143" s="110" t="s">
        <v>544</v>
      </c>
      <c r="AD143" s="1153" t="s">
        <v>206</v>
      </c>
      <c r="AE143" s="1190"/>
      <c r="AF143" s="1190"/>
      <c r="AG143" s="1191"/>
      <c r="AH143" s="110">
        <f>1.9*2.3</f>
        <v>4.3699999999999992</v>
      </c>
      <c r="AI143" s="110">
        <f>Parois!AM62</f>
        <v>0</v>
      </c>
      <c r="AJ143" s="110">
        <v>1</v>
      </c>
      <c r="AK143" s="111"/>
      <c r="AL143" s="1188"/>
      <c r="AM143" s="5"/>
      <c r="AN143" s="5"/>
    </row>
    <row r="144" spans="1:40" ht="18.75">
      <c r="A144" s="5"/>
      <c r="B144" s="57"/>
      <c r="C144" s="1123" t="s">
        <v>174</v>
      </c>
      <c r="D144" s="1124"/>
      <c r="E144" s="1124"/>
      <c r="F144" s="1125"/>
      <c r="G144" s="107"/>
      <c r="H144" s="116"/>
      <c r="I144" s="116"/>
      <c r="J144" s="117"/>
      <c r="K144" s="1188"/>
      <c r="L144" s="5"/>
      <c r="M144" s="5"/>
      <c r="N144" s="5"/>
      <c r="AB144" s="5"/>
      <c r="AC144" s="1192" t="s">
        <v>430</v>
      </c>
      <c r="AD144" s="1193"/>
      <c r="AE144" s="1193"/>
      <c r="AF144" s="1193"/>
      <c r="AG144" s="1193"/>
      <c r="AH144" s="1193"/>
      <c r="AI144" s="1193"/>
      <c r="AJ144" s="1194"/>
      <c r="AK144" s="105">
        <f>AK143</f>
        <v>0</v>
      </c>
      <c r="AL144" s="1188"/>
      <c r="AM144" s="5"/>
      <c r="AN144" s="5"/>
    </row>
    <row r="145" spans="1:40" ht="18.75">
      <c r="A145" s="5"/>
      <c r="B145" s="1029" t="s">
        <v>282</v>
      </c>
      <c r="C145" s="1126"/>
      <c r="D145" s="1126"/>
      <c r="E145" s="1126"/>
      <c r="F145" s="1126"/>
      <c r="G145" s="1126"/>
      <c r="H145" s="1127"/>
      <c r="I145" s="1128"/>
      <c r="J145" s="95">
        <f>0</f>
        <v>0</v>
      </c>
      <c r="K145" s="831"/>
      <c r="L145" s="5"/>
      <c r="M145" s="5"/>
      <c r="N145" s="5"/>
      <c r="AB145" s="5"/>
      <c r="AC145" s="1130" t="s">
        <v>220</v>
      </c>
      <c r="AD145" s="1132" t="s">
        <v>302</v>
      </c>
      <c r="AE145" s="1133"/>
      <c r="AF145" s="1133"/>
      <c r="AG145" s="1134"/>
      <c r="AH145" s="114" t="s">
        <v>303</v>
      </c>
      <c r="AI145" s="114" t="s">
        <v>304</v>
      </c>
      <c r="AJ145" s="114" t="s">
        <v>224</v>
      </c>
      <c r="AK145" s="115" t="s">
        <v>305</v>
      </c>
      <c r="AL145" s="1188"/>
      <c r="AM145" s="5"/>
      <c r="AN145" s="5"/>
    </row>
    <row r="146" spans="1:40" ht="18">
      <c r="A146" s="5"/>
      <c r="B146" s="1199" t="s">
        <v>244</v>
      </c>
      <c r="C146" s="1127"/>
      <c r="D146" s="1127"/>
      <c r="E146" s="1127"/>
      <c r="F146" s="1127"/>
      <c r="G146" s="1127"/>
      <c r="H146" s="1200" t="s">
        <v>245</v>
      </c>
      <c r="I146" s="1200"/>
      <c r="J146" s="1201"/>
      <c r="K146" s="210">
        <f>J141+J145</f>
        <v>0</v>
      </c>
      <c r="L146" s="1" t="s">
        <v>431</v>
      </c>
      <c r="M146" s="5"/>
      <c r="N146" s="5"/>
      <c r="AB146" s="5"/>
      <c r="AC146" s="1195"/>
      <c r="AD146" s="1196"/>
      <c r="AE146" s="1197"/>
      <c r="AF146" s="1197"/>
      <c r="AG146" s="1198"/>
      <c r="AH146" s="107" t="s">
        <v>307</v>
      </c>
      <c r="AI146" s="107" t="s">
        <v>308</v>
      </c>
      <c r="AJ146" s="107" t="s">
        <v>228</v>
      </c>
      <c r="AK146" s="85" t="s">
        <v>229</v>
      </c>
      <c r="AL146" s="1188"/>
      <c r="AM146" s="5"/>
      <c r="AN146" s="5"/>
    </row>
    <row r="147" spans="1:40">
      <c r="A147" s="5"/>
      <c r="B147" s="1001" t="s">
        <v>247</v>
      </c>
      <c r="C147" s="1001"/>
      <c r="D147" s="1001"/>
      <c r="E147" s="1001"/>
      <c r="F147" s="1001"/>
      <c r="G147" s="1001"/>
      <c r="H147" s="1001"/>
      <c r="I147" s="1001"/>
      <c r="J147" s="1202"/>
      <c r="K147" s="1203"/>
      <c r="L147" s="5"/>
      <c r="M147" s="5"/>
      <c r="N147" s="5"/>
      <c r="AB147" s="5"/>
      <c r="AC147" s="57"/>
      <c r="AD147" s="1123" t="s">
        <v>174</v>
      </c>
      <c r="AE147" s="1124"/>
      <c r="AF147" s="1124"/>
      <c r="AG147" s="1125"/>
      <c r="AH147" s="107"/>
      <c r="AI147" s="116"/>
      <c r="AJ147" s="116"/>
      <c r="AK147" s="117"/>
      <c r="AL147" s="1188"/>
      <c r="AM147" s="5"/>
      <c r="AN147" s="5"/>
    </row>
    <row r="148" spans="1:40" ht="18.75">
      <c r="A148" s="5"/>
      <c r="B148" s="1189" t="s">
        <v>220</v>
      </c>
      <c r="C148" s="1189" t="s">
        <v>249</v>
      </c>
      <c r="D148" s="1189"/>
      <c r="E148" s="1189"/>
      <c r="F148" s="1189"/>
      <c r="G148" s="108" t="s">
        <v>222</v>
      </c>
      <c r="H148" s="108" t="s">
        <v>223</v>
      </c>
      <c r="I148" s="318" t="s">
        <v>546</v>
      </c>
      <c r="J148" s="214" t="s">
        <v>225</v>
      </c>
      <c r="K148" s="1204"/>
      <c r="L148" s="5"/>
      <c r="M148" s="5"/>
      <c r="N148" s="5"/>
      <c r="AB148" s="5"/>
      <c r="AC148" s="1029" t="s">
        <v>282</v>
      </c>
      <c r="AD148" s="1126"/>
      <c r="AE148" s="1126"/>
      <c r="AF148" s="1126"/>
      <c r="AG148" s="1126"/>
      <c r="AH148" s="1126"/>
      <c r="AI148" s="1127"/>
      <c r="AJ148" s="1128"/>
      <c r="AK148" s="95">
        <f>0</f>
        <v>0</v>
      </c>
      <c r="AL148" s="831"/>
      <c r="AM148" s="5"/>
      <c r="AN148" s="5"/>
    </row>
    <row r="149" spans="1:40" ht="19.5">
      <c r="A149" s="5"/>
      <c r="B149" s="1189"/>
      <c r="C149" s="1189"/>
      <c r="D149" s="1189"/>
      <c r="E149" s="1189"/>
      <c r="F149" s="1189"/>
      <c r="G149" s="2" t="s">
        <v>226</v>
      </c>
      <c r="H149" s="89" t="s">
        <v>227</v>
      </c>
      <c r="I149" s="92" t="s">
        <v>228</v>
      </c>
      <c r="J149" s="225" t="s">
        <v>229</v>
      </c>
      <c r="K149" s="1204"/>
      <c r="L149" s="5"/>
      <c r="M149" s="5"/>
      <c r="N149" s="5"/>
      <c r="AB149" s="5"/>
      <c r="AC149" s="1199" t="s">
        <v>244</v>
      </c>
      <c r="AD149" s="1127"/>
      <c r="AE149" s="1127"/>
      <c r="AF149" s="1127"/>
      <c r="AG149" s="1127"/>
      <c r="AH149" s="1127"/>
      <c r="AI149" s="1200" t="s">
        <v>245</v>
      </c>
      <c r="AJ149" s="1200"/>
      <c r="AK149" s="1201"/>
      <c r="AL149" s="210">
        <f>AK144+AK148</f>
        <v>0</v>
      </c>
      <c r="AM149" s="1" t="s">
        <v>431</v>
      </c>
      <c r="AN149" s="5"/>
    </row>
    <row r="150" spans="1:40">
      <c r="A150" s="5"/>
      <c r="B150" s="2" t="s">
        <v>432</v>
      </c>
      <c r="I150" s="120">
        <f>(Données!G48-Données!G45)/(Données!G48-Données!G11)</f>
        <v>0</v>
      </c>
      <c r="J150" s="215">
        <f>I150*I170*H170</f>
        <v>0</v>
      </c>
      <c r="K150" s="1204"/>
      <c r="L150" s="5"/>
      <c r="M150" s="5"/>
      <c r="N150" s="5"/>
      <c r="AB150" s="5"/>
      <c r="AC150" s="1183" t="s">
        <v>247</v>
      </c>
      <c r="AD150" s="1183"/>
      <c r="AE150" s="1183"/>
      <c r="AF150" s="1183"/>
      <c r="AG150" s="1183"/>
      <c r="AH150" s="1183"/>
      <c r="AI150" s="1183"/>
      <c r="AJ150" s="1183"/>
      <c r="AK150" s="1241"/>
      <c r="AL150" s="1203"/>
      <c r="AM150" s="5"/>
      <c r="AN150" s="5"/>
    </row>
    <row r="151" spans="1:40" ht="18.75">
      <c r="A151" s="5"/>
      <c r="B151" s="1205" t="s">
        <v>439</v>
      </c>
      <c r="C151" s="818"/>
      <c r="D151" s="818"/>
      <c r="E151" s="818"/>
      <c r="F151" s="818"/>
      <c r="G151" s="818"/>
      <c r="H151" s="818"/>
      <c r="I151" s="862"/>
      <c r="J151" s="216">
        <f>J150</f>
        <v>0</v>
      </c>
      <c r="K151" s="1204"/>
      <c r="L151" s="5"/>
      <c r="M151" s="5"/>
      <c r="N151" s="5"/>
      <c r="AB151" s="5"/>
      <c r="AC151" s="1189" t="s">
        <v>220</v>
      </c>
      <c r="AD151" s="1189" t="s">
        <v>249</v>
      </c>
      <c r="AE151" s="1189"/>
      <c r="AF151" s="1189"/>
      <c r="AG151" s="1189"/>
      <c r="AH151" s="108" t="s">
        <v>222</v>
      </c>
      <c r="AI151" s="108" t="s">
        <v>223</v>
      </c>
      <c r="AJ151" s="318" t="s">
        <v>546</v>
      </c>
      <c r="AK151" s="214" t="s">
        <v>225</v>
      </c>
      <c r="AL151" s="1204"/>
      <c r="AM151" s="5"/>
      <c r="AN151" s="5"/>
    </row>
    <row r="152" spans="1:40" ht="20.25">
      <c r="A152" s="5"/>
      <c r="B152" s="1130" t="s">
        <v>220</v>
      </c>
      <c r="C152" s="1132" t="s">
        <v>302</v>
      </c>
      <c r="D152" s="1133"/>
      <c r="E152" s="1133"/>
      <c r="F152" s="1134"/>
      <c r="G152" s="114" t="s">
        <v>303</v>
      </c>
      <c r="H152" s="114" t="s">
        <v>304</v>
      </c>
      <c r="I152" s="318" t="s">
        <v>546</v>
      </c>
      <c r="J152" s="115" t="s">
        <v>305</v>
      </c>
      <c r="K152" s="1204"/>
      <c r="L152" s="5"/>
      <c r="M152" s="5"/>
      <c r="N152" s="5"/>
      <c r="AB152" s="5"/>
      <c r="AC152" s="1189"/>
      <c r="AD152" s="1189"/>
      <c r="AE152" s="1189"/>
      <c r="AF152" s="1189"/>
      <c r="AG152" s="1189"/>
      <c r="AH152" s="2" t="s">
        <v>226</v>
      </c>
      <c r="AI152" s="89" t="s">
        <v>227</v>
      </c>
      <c r="AJ152" s="92" t="s">
        <v>228</v>
      </c>
      <c r="AK152" s="225" t="s">
        <v>229</v>
      </c>
      <c r="AL152" s="1204"/>
      <c r="AM152" s="5"/>
      <c r="AN152" s="5"/>
    </row>
    <row r="153" spans="1:40">
      <c r="A153" s="5"/>
      <c r="B153" s="1131"/>
      <c r="C153" s="1135"/>
      <c r="D153" s="1136"/>
      <c r="E153" s="1136"/>
      <c r="F153" s="1137"/>
      <c r="G153" s="116" t="s">
        <v>307</v>
      </c>
      <c r="H153" s="116" t="s">
        <v>308</v>
      </c>
      <c r="I153" s="117" t="s">
        <v>228</v>
      </c>
      <c r="J153" s="85" t="s">
        <v>229</v>
      </c>
      <c r="K153" s="1204"/>
      <c r="L153" s="5"/>
      <c r="M153" s="5"/>
      <c r="N153" s="5"/>
      <c r="AB153" s="5"/>
      <c r="AC153" s="2" t="s">
        <v>432</v>
      </c>
      <c r="AJ153" s="120"/>
      <c r="AK153" s="215">
        <f>AJ153*AJ173*AI173</f>
        <v>0</v>
      </c>
      <c r="AL153" s="1204"/>
      <c r="AM153" s="5"/>
      <c r="AN153" s="5"/>
    </row>
    <row r="154" spans="1:40">
      <c r="A154" s="5"/>
      <c r="B154" s="1"/>
      <c r="C154" s="807" t="s">
        <v>174</v>
      </c>
      <c r="D154" s="807"/>
      <c r="E154" s="807"/>
      <c r="F154" s="807"/>
      <c r="G154" s="1"/>
      <c r="H154" s="1"/>
      <c r="I154" s="1"/>
      <c r="J154" s="217"/>
      <c r="K154" s="1204"/>
      <c r="L154" s="5"/>
      <c r="M154" s="5"/>
      <c r="N154" s="5"/>
      <c r="AB154" s="5"/>
      <c r="AC154" s="1205" t="s">
        <v>439</v>
      </c>
      <c r="AD154" s="818"/>
      <c r="AE154" s="818"/>
      <c r="AF154" s="818"/>
      <c r="AG154" s="818"/>
      <c r="AH154" s="818"/>
      <c r="AI154" s="818"/>
      <c r="AJ154" s="862"/>
      <c r="AK154" s="216">
        <f>AK153</f>
        <v>0</v>
      </c>
      <c r="AL154" s="1204"/>
      <c r="AM154" s="5"/>
      <c r="AN154" s="5"/>
    </row>
    <row r="155" spans="1:40" ht="18.75">
      <c r="A155" s="5"/>
      <c r="B155" s="130" t="s">
        <v>443</v>
      </c>
      <c r="C155" s="2"/>
      <c r="D155" s="2"/>
      <c r="E155" s="2"/>
      <c r="F155" s="2"/>
      <c r="G155" s="1"/>
      <c r="H155" s="1"/>
      <c r="I155" s="119"/>
      <c r="J155" s="90">
        <v>0</v>
      </c>
      <c r="K155" s="1204"/>
      <c r="L155" s="233"/>
      <c r="M155" s="5"/>
      <c r="N155" s="5"/>
      <c r="AB155" s="5"/>
      <c r="AC155" s="1130" t="s">
        <v>220</v>
      </c>
      <c r="AD155" s="1132" t="s">
        <v>302</v>
      </c>
      <c r="AE155" s="1133"/>
      <c r="AF155" s="1133"/>
      <c r="AG155" s="1134"/>
      <c r="AH155" s="114" t="s">
        <v>303</v>
      </c>
      <c r="AI155" s="114" t="s">
        <v>304</v>
      </c>
      <c r="AJ155" s="318" t="s">
        <v>546</v>
      </c>
      <c r="AK155" s="115" t="s">
        <v>305</v>
      </c>
      <c r="AL155" s="1204"/>
      <c r="AM155" s="5"/>
      <c r="AN155" s="5"/>
    </row>
    <row r="156" spans="1:40">
      <c r="A156" s="5"/>
      <c r="B156" s="1004" t="s">
        <v>444</v>
      </c>
      <c r="C156" s="1026"/>
      <c r="D156" s="1026"/>
      <c r="E156" s="1026"/>
      <c r="F156" s="1026"/>
      <c r="G156" s="1026"/>
      <c r="H156" s="1026"/>
      <c r="I156" s="1027"/>
      <c r="J156" s="123" t="s">
        <v>445</v>
      </c>
      <c r="K156" s="218">
        <f>J151+J154</f>
        <v>0</v>
      </c>
      <c r="L156" s="122" t="s">
        <v>431</v>
      </c>
      <c r="M156" s="5"/>
      <c r="N156" s="5"/>
      <c r="AB156" s="5"/>
      <c r="AC156" s="1131"/>
      <c r="AD156" s="1135"/>
      <c r="AE156" s="1136"/>
      <c r="AF156" s="1136"/>
      <c r="AG156" s="1137"/>
      <c r="AH156" s="116" t="s">
        <v>307</v>
      </c>
      <c r="AI156" s="116" t="s">
        <v>308</v>
      </c>
      <c r="AJ156" s="117" t="s">
        <v>228</v>
      </c>
      <c r="AK156" s="85" t="s">
        <v>229</v>
      </c>
      <c r="AL156" s="1204"/>
      <c r="AM156" s="5"/>
      <c r="AN156" s="5"/>
    </row>
    <row r="157" spans="1:40">
      <c r="A157" s="5"/>
      <c r="B157" s="1002" t="s">
        <v>321</v>
      </c>
      <c r="C157" s="1138"/>
      <c r="D157" s="1138"/>
      <c r="E157" s="1138"/>
      <c r="F157" s="1138"/>
      <c r="G157" s="1138"/>
      <c r="H157" s="1138"/>
      <c r="I157" s="1138"/>
      <c r="J157" s="1138"/>
      <c r="K157" s="807"/>
      <c r="L157" s="5"/>
      <c r="M157" s="5"/>
      <c r="N157" s="5"/>
      <c r="AB157" s="5"/>
      <c r="AC157" s="1"/>
      <c r="AD157" s="807" t="s">
        <v>174</v>
      </c>
      <c r="AE157" s="807"/>
      <c r="AF157" s="807"/>
      <c r="AG157" s="807"/>
      <c r="AH157" s="1"/>
      <c r="AI157" s="1"/>
      <c r="AJ157" s="1"/>
      <c r="AK157" s="217"/>
      <c r="AL157" s="1204"/>
      <c r="AM157" s="5"/>
      <c r="AN157" s="5"/>
    </row>
    <row r="158" spans="1:40" ht="18">
      <c r="A158" s="5"/>
      <c r="B158" s="1189" t="s">
        <v>220</v>
      </c>
      <c r="C158" s="1189" t="s">
        <v>249</v>
      </c>
      <c r="D158" s="1189"/>
      <c r="E158" s="1189"/>
      <c r="F158" s="1189"/>
      <c r="G158" s="108" t="s">
        <v>222</v>
      </c>
      <c r="H158" s="108" t="s">
        <v>223</v>
      </c>
      <c r="I158" s="108" t="s">
        <v>224</v>
      </c>
      <c r="J158" s="109" t="s">
        <v>225</v>
      </c>
      <c r="K158" s="807"/>
      <c r="L158" s="233"/>
      <c r="M158" s="5"/>
      <c r="N158" s="5"/>
      <c r="AB158" s="5"/>
      <c r="AC158" s="130" t="s">
        <v>443</v>
      </c>
      <c r="AD158" s="2"/>
      <c r="AE158" s="2"/>
      <c r="AF158" s="2"/>
      <c r="AG158" s="2"/>
      <c r="AH158" s="1"/>
      <c r="AI158" s="1"/>
      <c r="AJ158" s="119"/>
      <c r="AK158" s="90">
        <v>0</v>
      </c>
      <c r="AL158" s="1204"/>
      <c r="AM158" s="233"/>
      <c r="AN158" s="5"/>
    </row>
    <row r="159" spans="1:40" ht="18.75">
      <c r="A159" s="5"/>
      <c r="B159" s="1189"/>
      <c r="C159" s="1189"/>
      <c r="D159" s="1189"/>
      <c r="E159" s="1189"/>
      <c r="F159" s="1189"/>
      <c r="G159" s="2" t="s">
        <v>226</v>
      </c>
      <c r="H159" s="89" t="s">
        <v>227</v>
      </c>
      <c r="I159" s="89" t="s">
        <v>228</v>
      </c>
      <c r="J159" s="92" t="s">
        <v>229</v>
      </c>
      <c r="K159" s="807"/>
      <c r="L159" s="5"/>
      <c r="M159" s="5"/>
      <c r="N159" s="5"/>
      <c r="AB159" s="5"/>
      <c r="AC159" s="1004" t="s">
        <v>444</v>
      </c>
      <c r="AD159" s="1026"/>
      <c r="AE159" s="1026"/>
      <c r="AF159" s="1026"/>
      <c r="AG159" s="1026"/>
      <c r="AH159" s="1026"/>
      <c r="AI159" s="1026"/>
      <c r="AJ159" s="1027"/>
      <c r="AK159" s="123" t="s">
        <v>445</v>
      </c>
      <c r="AL159" s="218">
        <f>AK154+AK157</f>
        <v>0</v>
      </c>
      <c r="AM159" s="122" t="s">
        <v>431</v>
      </c>
      <c r="AN159" s="5"/>
    </row>
    <row r="160" spans="1:40">
      <c r="A160" s="5"/>
      <c r="B160" s="1"/>
      <c r="C160" s="862" t="s">
        <v>391</v>
      </c>
      <c r="D160" s="863"/>
      <c r="E160" s="863"/>
      <c r="F160" s="864"/>
      <c r="G160" s="2"/>
      <c r="H160" s="2"/>
      <c r="I160" s="2"/>
      <c r="J160" s="120"/>
      <c r="K160" s="807"/>
      <c r="L160" s="5"/>
      <c r="M160" s="5"/>
      <c r="N160" s="5"/>
      <c r="AB160" s="5"/>
      <c r="AC160" s="1180" t="s">
        <v>321</v>
      </c>
      <c r="AD160" s="1181"/>
      <c r="AE160" s="1181"/>
      <c r="AF160" s="1181"/>
      <c r="AG160" s="1181"/>
      <c r="AH160" s="1181"/>
      <c r="AI160" s="1181"/>
      <c r="AJ160" s="1181"/>
      <c r="AK160" s="1181"/>
      <c r="AL160" s="807"/>
      <c r="AM160" s="5"/>
      <c r="AN160" s="5"/>
    </row>
    <row r="161" spans="1:40" ht="18.75">
      <c r="A161" s="5"/>
      <c r="B161" s="98" t="s">
        <v>287</v>
      </c>
      <c r="C161" s="98"/>
      <c r="D161" s="98"/>
      <c r="E161" s="98"/>
      <c r="F161" s="98"/>
      <c r="G161" s="98"/>
      <c r="H161" s="1030" t="s">
        <v>288</v>
      </c>
      <c r="I161" s="1139"/>
      <c r="J161" s="1139"/>
      <c r="K161" s="210">
        <f>J160</f>
        <v>0</v>
      </c>
      <c r="L161" s="2" t="s">
        <v>431</v>
      </c>
      <c r="M161" s="5"/>
      <c r="N161" s="5"/>
      <c r="AB161" s="5"/>
      <c r="AC161" s="1189" t="s">
        <v>220</v>
      </c>
      <c r="AD161" s="1189" t="s">
        <v>249</v>
      </c>
      <c r="AE161" s="1189"/>
      <c r="AF161" s="1189"/>
      <c r="AG161" s="1189"/>
      <c r="AH161" s="108" t="s">
        <v>222</v>
      </c>
      <c r="AI161" s="108" t="s">
        <v>223</v>
      </c>
      <c r="AJ161" s="108" t="s">
        <v>224</v>
      </c>
      <c r="AK161" s="109" t="s">
        <v>225</v>
      </c>
      <c r="AL161" s="807"/>
      <c r="AM161" s="233"/>
      <c r="AN161" s="5"/>
    </row>
    <row r="162" spans="1:40" ht="18.75">
      <c r="A162" s="5"/>
      <c r="B162" s="1206" t="s">
        <v>257</v>
      </c>
      <c r="C162" s="1207"/>
      <c r="D162" s="1207"/>
      <c r="E162" s="1207"/>
      <c r="F162" s="1207"/>
      <c r="G162" s="1207"/>
      <c r="H162" s="1207"/>
      <c r="I162" s="1207"/>
      <c r="J162" s="1207"/>
      <c r="K162" s="807"/>
      <c r="L162" s="5"/>
      <c r="M162" s="5"/>
      <c r="N162" s="5"/>
      <c r="AB162" s="5"/>
      <c r="AC162" s="1189"/>
      <c r="AD162" s="1189"/>
      <c r="AE162" s="1189"/>
      <c r="AF162" s="1189"/>
      <c r="AG162" s="1189"/>
      <c r="AH162" s="2" t="s">
        <v>226</v>
      </c>
      <c r="AI162" s="89" t="s">
        <v>227</v>
      </c>
      <c r="AJ162" s="89" t="s">
        <v>228</v>
      </c>
      <c r="AK162" s="92" t="s">
        <v>229</v>
      </c>
      <c r="AL162" s="807"/>
      <c r="AM162" s="5"/>
      <c r="AN162" s="5"/>
    </row>
    <row r="163" spans="1:40" ht="18">
      <c r="A163" s="5"/>
      <c r="B163" s="1208" t="s">
        <v>220</v>
      </c>
      <c r="C163" s="1132" t="s">
        <v>221</v>
      </c>
      <c r="D163" s="1133"/>
      <c r="E163" s="1133"/>
      <c r="F163" s="1133"/>
      <c r="G163" s="108" t="s">
        <v>232</v>
      </c>
      <c r="H163" s="108" t="s">
        <v>222</v>
      </c>
      <c r="I163" s="108" t="s">
        <v>223</v>
      </c>
      <c r="J163" s="109" t="s">
        <v>233</v>
      </c>
      <c r="K163" s="807"/>
      <c r="L163" s="289"/>
      <c r="M163" s="5"/>
      <c r="N163" s="5"/>
      <c r="AB163" s="5"/>
      <c r="AC163" s="1"/>
      <c r="AD163" s="862" t="s">
        <v>391</v>
      </c>
      <c r="AE163" s="863"/>
      <c r="AF163" s="863"/>
      <c r="AG163" s="864"/>
      <c r="AH163" s="2"/>
      <c r="AI163" s="2"/>
      <c r="AJ163" s="2"/>
      <c r="AK163" s="120"/>
      <c r="AL163" s="807"/>
      <c r="AM163" s="5"/>
      <c r="AN163" s="5"/>
    </row>
    <row r="164" spans="1:40" ht="20.25">
      <c r="A164" s="5"/>
      <c r="B164" s="1209"/>
      <c r="C164" s="1196"/>
      <c r="D164" s="1197"/>
      <c r="E164" s="1197"/>
      <c r="F164" s="1197"/>
      <c r="G164" s="2" t="s">
        <v>228</v>
      </c>
      <c r="H164" s="2" t="s">
        <v>226</v>
      </c>
      <c r="I164" s="89" t="s">
        <v>227</v>
      </c>
      <c r="J164" s="92" t="s">
        <v>229</v>
      </c>
      <c r="K164" s="807"/>
      <c r="L164" s="5"/>
      <c r="M164" s="5"/>
      <c r="N164" s="5"/>
      <c r="AB164" s="5"/>
      <c r="AC164" s="98" t="s">
        <v>287</v>
      </c>
      <c r="AD164" s="98"/>
      <c r="AE164" s="98"/>
      <c r="AF164" s="98"/>
      <c r="AG164" s="98"/>
      <c r="AH164" s="98"/>
      <c r="AI164" s="1030" t="s">
        <v>288</v>
      </c>
      <c r="AJ164" s="1139"/>
      <c r="AK164" s="1139"/>
      <c r="AL164" s="210">
        <f>AK163</f>
        <v>0</v>
      </c>
      <c r="AM164" s="2" t="s">
        <v>431</v>
      </c>
      <c r="AN164" s="5"/>
    </row>
    <row r="165" spans="1:40">
      <c r="A165" s="5"/>
      <c r="B165" s="140" t="s">
        <v>437</v>
      </c>
      <c r="C165" s="1160" t="s">
        <v>566</v>
      </c>
      <c r="D165" s="1210"/>
      <c r="E165" s="1210"/>
      <c r="F165" s="1211"/>
      <c r="G165" s="152">
        <f t="shared" ref="G165:G168" si="1">-1/14</f>
        <v>-7.1428571428571425E-2</v>
      </c>
      <c r="H165" s="2">
        <f>(2*3.78)-(0.81*2.03)</f>
        <v>5.9156999999999993</v>
      </c>
      <c r="I165" s="89">
        <f>Parois!L42</f>
        <v>1.8115853807007718</v>
      </c>
      <c r="J165" s="92">
        <f>I165*H165*G165</f>
        <v>-0.765485402615111</v>
      </c>
      <c r="K165" s="807"/>
      <c r="L165" s="5"/>
      <c r="M165" s="5"/>
      <c r="N165" s="5"/>
      <c r="AB165" s="5"/>
      <c r="AC165" s="1177" t="s">
        <v>257</v>
      </c>
      <c r="AD165" s="1178"/>
      <c r="AE165" s="1178"/>
      <c r="AF165" s="1178"/>
      <c r="AG165" s="1178"/>
      <c r="AH165" s="1178"/>
      <c r="AI165" s="1178"/>
      <c r="AJ165" s="1178"/>
      <c r="AK165" s="1178"/>
      <c r="AL165" s="807"/>
      <c r="AM165" s="5"/>
      <c r="AN165" s="5"/>
    </row>
    <row r="166" spans="1:40" ht="18">
      <c r="A166" s="5"/>
      <c r="B166" s="116" t="s">
        <v>437</v>
      </c>
      <c r="C166" s="1212" t="s">
        <v>216</v>
      </c>
      <c r="D166" s="1213"/>
      <c r="E166" s="1213"/>
      <c r="F166" s="1213"/>
      <c r="G166" s="193">
        <f t="shared" si="1"/>
        <v>-7.1428571428571425E-2</v>
      </c>
      <c r="H166" s="298">
        <f>(2.03*0.81)</f>
        <v>1.6442999999999999</v>
      </c>
      <c r="I166" s="298">
        <v>2.5</v>
      </c>
      <c r="J166" s="299">
        <f>I166*H166*G166</f>
        <v>-0.29362499999999997</v>
      </c>
      <c r="K166" s="807"/>
      <c r="L166" s="5"/>
      <c r="M166" s="5"/>
      <c r="N166" s="5"/>
      <c r="AB166" s="5"/>
      <c r="AC166" s="1208" t="s">
        <v>220</v>
      </c>
      <c r="AD166" s="1132" t="s">
        <v>221</v>
      </c>
      <c r="AE166" s="1133"/>
      <c r="AF166" s="1133"/>
      <c r="AG166" s="1133"/>
      <c r="AH166" s="108" t="s">
        <v>232</v>
      </c>
      <c r="AI166" s="108" t="s">
        <v>222</v>
      </c>
      <c r="AJ166" s="108" t="s">
        <v>223</v>
      </c>
      <c r="AK166" s="109" t="s">
        <v>233</v>
      </c>
      <c r="AL166" s="807"/>
      <c r="AM166" s="289"/>
      <c r="AN166" s="5"/>
    </row>
    <row r="167" spans="1:40" ht="18.75">
      <c r="A167" s="5"/>
      <c r="B167" s="194" t="s">
        <v>387</v>
      </c>
      <c r="C167" s="971" t="s">
        <v>567</v>
      </c>
      <c r="D167" s="971"/>
      <c r="E167" s="971"/>
      <c r="F167" s="971"/>
      <c r="G167" s="152">
        <f t="shared" si="1"/>
        <v>-7.1428571428571425E-2</v>
      </c>
      <c r="H167" s="2">
        <f>3.78*2.4</f>
        <v>9.0719999999999992</v>
      </c>
      <c r="I167" s="89">
        <f>Parois!L42</f>
        <v>1.8115853807007718</v>
      </c>
      <c r="J167" s="92">
        <f>PRODUCT(G167:I167)</f>
        <v>-1.1739073266941</v>
      </c>
      <c r="K167" s="807"/>
      <c r="L167" s="5"/>
      <c r="M167" s="5"/>
      <c r="N167" s="5"/>
      <c r="AB167" s="5"/>
      <c r="AC167" s="1209"/>
      <c r="AD167" s="1196"/>
      <c r="AE167" s="1197"/>
      <c r="AF167" s="1197"/>
      <c r="AG167" s="1197"/>
      <c r="AH167" s="2" t="s">
        <v>228</v>
      </c>
      <c r="AI167" s="2" t="s">
        <v>226</v>
      </c>
      <c r="AJ167" s="89" t="s">
        <v>227</v>
      </c>
      <c r="AK167" s="92" t="s">
        <v>229</v>
      </c>
      <c r="AL167" s="807"/>
      <c r="AM167" s="5"/>
      <c r="AN167" s="5"/>
    </row>
    <row r="168" spans="1:40">
      <c r="A168" s="5"/>
      <c r="B168" s="194" t="s">
        <v>383</v>
      </c>
      <c r="C168" s="971" t="s">
        <v>568</v>
      </c>
      <c r="D168" s="971"/>
      <c r="E168" s="971"/>
      <c r="F168" s="971"/>
      <c r="G168" s="152">
        <f t="shared" si="1"/>
        <v>-7.1428571428571425E-2</v>
      </c>
      <c r="H168" s="2">
        <f>3.78*2</f>
        <v>7.56</v>
      </c>
      <c r="I168" s="89">
        <f>Parois!L42</f>
        <v>1.8115853807007718</v>
      </c>
      <c r="J168" s="92">
        <f>PRODUCT(G168:I168)</f>
        <v>-0.97825610557841658</v>
      </c>
      <c r="K168" s="807"/>
      <c r="L168" s="300"/>
      <c r="M168" s="5"/>
      <c r="N168" s="5"/>
      <c r="AB168" s="5"/>
      <c r="AC168" s="140" t="s">
        <v>437</v>
      </c>
      <c r="AD168" s="1160" t="s">
        <v>566</v>
      </c>
      <c r="AE168" s="1210"/>
      <c r="AF168" s="1210"/>
      <c r="AG168" s="1211"/>
      <c r="AH168" s="2">
        <f>(26-25)/(26-32)</f>
        <v>-0.16666666666666666</v>
      </c>
      <c r="AI168" s="2">
        <f>(2*3.78)-(0.81*2.03)</f>
        <v>5.9156999999999993</v>
      </c>
      <c r="AJ168" s="89">
        <f>AI125</f>
        <v>1.6442999999999999</v>
      </c>
      <c r="AK168" s="729">
        <f>AJ168*AI168*AH168</f>
        <v>-1.6211975849999996</v>
      </c>
      <c r="AL168" s="807"/>
      <c r="AM168" s="5"/>
      <c r="AN168" s="5"/>
    </row>
    <row r="169" spans="1:40" ht="15.75" customHeight="1">
      <c r="A169" s="5"/>
      <c r="B169" s="194" t="s">
        <v>447</v>
      </c>
      <c r="C169" s="818" t="s">
        <v>199</v>
      </c>
      <c r="D169" s="818"/>
      <c r="E169" s="818"/>
      <c r="F169" s="818"/>
      <c r="G169" s="152">
        <f>(J129-10)/J130</f>
        <v>0.25</v>
      </c>
      <c r="H169" s="1">
        <f>2*2.4</f>
        <v>4.8</v>
      </c>
      <c r="I169" s="1">
        <f>Parois!L49</f>
        <v>0.39937430012814151</v>
      </c>
      <c r="J169" s="119">
        <f>PRODUCT(G169:I169)</f>
        <v>0.47924916015376978</v>
      </c>
      <c r="K169" s="807"/>
      <c r="L169" s="5"/>
      <c r="M169" s="5"/>
      <c r="N169" s="5"/>
      <c r="AB169" s="5"/>
      <c r="AC169" s="116" t="s">
        <v>437</v>
      </c>
      <c r="AD169" s="1212" t="s">
        <v>216</v>
      </c>
      <c r="AE169" s="1213"/>
      <c r="AF169" s="1213"/>
      <c r="AG169" s="1213"/>
      <c r="AH169" s="2">
        <f>(26-25)/(26-32)</f>
        <v>-0.16666666666666666</v>
      </c>
      <c r="AI169" s="298">
        <f>(2.03*0.81)</f>
        <v>1.6442999999999999</v>
      </c>
      <c r="AJ169" s="298">
        <v>2.5</v>
      </c>
      <c r="AK169" s="730">
        <f>AJ169*AI169*AH169</f>
        <v>-0.68512499999999987</v>
      </c>
      <c r="AL169" s="807"/>
      <c r="AM169" s="5"/>
      <c r="AN169" s="5"/>
    </row>
    <row r="170" spans="1:40">
      <c r="C170" s="862" t="s">
        <v>569</v>
      </c>
      <c r="D170" s="863"/>
      <c r="E170" s="863"/>
      <c r="F170" s="864"/>
      <c r="H170" s="2">
        <f>3.78*2.4</f>
        <v>9.0719999999999992</v>
      </c>
      <c r="I170" s="2">
        <f>Parois!L42</f>
        <v>1.8115853807007718</v>
      </c>
      <c r="N170" s="5"/>
      <c r="AB170" s="5"/>
      <c r="AC170" s="194" t="s">
        <v>387</v>
      </c>
      <c r="AD170" s="971" t="s">
        <v>567</v>
      </c>
      <c r="AE170" s="971"/>
      <c r="AF170" s="971"/>
      <c r="AG170" s="971"/>
      <c r="AH170" s="2">
        <f>(26-25)/(26-32)</f>
        <v>-0.16666666666666666</v>
      </c>
      <c r="AI170" s="2">
        <f>3.78*2.4</f>
        <v>9.0719999999999992</v>
      </c>
      <c r="AJ170" s="89">
        <f>AI127</f>
        <v>5.2575000000000003</v>
      </c>
      <c r="AK170" s="729">
        <f>PRODUCT(AH170:AJ170)</f>
        <v>-7.9493399999999994</v>
      </c>
      <c r="AL170" s="807"/>
      <c r="AM170" s="5"/>
      <c r="AN170" s="5"/>
    </row>
    <row r="171" spans="1:40" ht="18">
      <c r="A171" s="5"/>
      <c r="B171" s="1205" t="s">
        <v>255</v>
      </c>
      <c r="C171" s="1205"/>
      <c r="D171" s="1205"/>
      <c r="E171" s="1205"/>
      <c r="F171" s="1205"/>
      <c r="G171" s="1205"/>
      <c r="H171" s="1205"/>
      <c r="I171" s="1205"/>
      <c r="J171" s="88" t="s">
        <v>256</v>
      </c>
      <c r="K171" s="192">
        <f>SUM(J169)</f>
        <v>0.47924916015376978</v>
      </c>
      <c r="L171" s="89" t="s">
        <v>144</v>
      </c>
      <c r="M171" s="5"/>
      <c r="N171" s="5"/>
      <c r="AB171" s="5"/>
      <c r="AC171" s="194" t="s">
        <v>383</v>
      </c>
      <c r="AD171" s="971" t="s">
        <v>568</v>
      </c>
      <c r="AE171" s="971"/>
      <c r="AF171" s="971"/>
      <c r="AG171" s="971"/>
      <c r="AH171" s="2">
        <f>(26-24)/(26-32)</f>
        <v>-0.33333333333333331</v>
      </c>
      <c r="AI171" s="2">
        <f>3.78*2</f>
        <v>7.56</v>
      </c>
      <c r="AJ171" s="89">
        <f>Parois!AM45</f>
        <v>0</v>
      </c>
      <c r="AK171" s="92">
        <f>PRODUCT(AH171:AJ171)</f>
        <v>0</v>
      </c>
      <c r="AL171" s="807"/>
      <c r="AM171" s="300"/>
      <c r="AN171" s="5"/>
    </row>
    <row r="172" spans="1:40" ht="18.75">
      <c r="A172" s="5"/>
      <c r="B172" s="412" t="s">
        <v>450</v>
      </c>
      <c r="C172" s="413"/>
      <c r="D172" s="413"/>
      <c r="E172" s="413"/>
      <c r="F172" s="414"/>
      <c r="G172" s="415" t="s">
        <v>451</v>
      </c>
      <c r="H172" s="416"/>
      <c r="I172" s="416"/>
      <c r="J172" s="417"/>
      <c r="K172" s="124">
        <f>K171+K161+K156+K146</f>
        <v>0.47924916015376978</v>
      </c>
      <c r="L172" s="209" t="s">
        <v>431</v>
      </c>
      <c r="M172" s="5"/>
      <c r="N172" s="5"/>
      <c r="AB172" s="5"/>
      <c r="AC172" s="194" t="s">
        <v>447</v>
      </c>
      <c r="AD172" s="818" t="s">
        <v>199</v>
      </c>
      <c r="AE172" s="818"/>
      <c r="AF172" s="818"/>
      <c r="AG172" s="818"/>
      <c r="AH172" s="2">
        <f>(26-20)/(26-32)</f>
        <v>-1</v>
      </c>
      <c r="AI172" s="1">
        <f>2*2.4</f>
        <v>4.8</v>
      </c>
      <c r="AJ172" s="1">
        <f>AJ127</f>
        <v>0.39937430012814151</v>
      </c>
      <c r="AK172" s="667">
        <f>PRODUCT(AH172:AJ172)</f>
        <v>-1.9169966406150791</v>
      </c>
      <c r="AL172" s="807"/>
      <c r="AM172" s="5"/>
      <c r="AN172" s="5"/>
    </row>
    <row r="173" spans="1:40">
      <c r="A173" s="5"/>
      <c r="B173" s="104" t="s">
        <v>365</v>
      </c>
      <c r="C173" s="103"/>
      <c r="D173" s="103"/>
      <c r="E173" s="103"/>
      <c r="F173" s="103"/>
      <c r="G173" s="125"/>
      <c r="H173" s="125"/>
      <c r="I173" s="125"/>
      <c r="J173" s="126"/>
      <c r="K173" s="220"/>
      <c r="L173" s="5"/>
      <c r="M173" s="5"/>
      <c r="N173" s="5"/>
      <c r="AD173" s="862" t="s">
        <v>569</v>
      </c>
      <c r="AE173" s="863"/>
      <c r="AF173" s="863"/>
      <c r="AG173" s="864"/>
      <c r="AI173" s="2">
        <f>3.78*2.4</f>
        <v>9.0719999999999992</v>
      </c>
      <c r="AJ173" s="2">
        <f>Parois!AM45</f>
        <v>0</v>
      </c>
    </row>
    <row r="174" spans="1:40" ht="19.5">
      <c r="A174" s="5"/>
      <c r="B174" s="351" t="s">
        <v>6</v>
      </c>
      <c r="C174" s="351"/>
      <c r="D174" s="351"/>
      <c r="E174" s="351"/>
      <c r="F174" s="351"/>
      <c r="G174" s="351"/>
      <c r="H174" s="2" t="s">
        <v>261</v>
      </c>
      <c r="I174" s="2" t="s">
        <v>262</v>
      </c>
      <c r="J174" s="2">
        <v>-8</v>
      </c>
      <c r="K174" s="398"/>
      <c r="L174" s="5"/>
      <c r="M174" s="5"/>
      <c r="N174" s="5"/>
      <c r="AB174" s="5"/>
      <c r="AC174" s="1205" t="s">
        <v>255</v>
      </c>
      <c r="AD174" s="1205"/>
      <c r="AE174" s="1205"/>
      <c r="AF174" s="1205"/>
      <c r="AG174" s="1205"/>
      <c r="AH174" s="1205"/>
      <c r="AI174" s="1205"/>
      <c r="AJ174" s="1205"/>
      <c r="AK174" s="88" t="s">
        <v>256</v>
      </c>
      <c r="AL174" s="192">
        <f>AK168+AK169+AK170+AK172</f>
        <v>-12.172659225615078</v>
      </c>
      <c r="AM174" s="89" t="s">
        <v>144</v>
      </c>
      <c r="AN174" s="5"/>
    </row>
    <row r="175" spans="1:40" ht="19.5">
      <c r="A175" s="5"/>
      <c r="B175" s="352" t="s">
        <v>264</v>
      </c>
      <c r="C175" s="352"/>
      <c r="D175" s="352"/>
      <c r="E175" s="352"/>
      <c r="F175" s="352"/>
      <c r="G175" s="352"/>
      <c r="H175" s="2" t="s">
        <v>265</v>
      </c>
      <c r="I175" s="2" t="s">
        <v>262</v>
      </c>
      <c r="J175" s="2">
        <v>16</v>
      </c>
      <c r="K175" s="398"/>
      <c r="L175" s="5"/>
      <c r="M175" s="5"/>
      <c r="N175" s="5"/>
      <c r="AB175" s="5"/>
      <c r="AC175" s="412" t="s">
        <v>450</v>
      </c>
      <c r="AD175" s="413"/>
      <c r="AE175" s="413"/>
      <c r="AF175" s="413"/>
      <c r="AG175" s="414"/>
      <c r="AH175" s="415" t="s">
        <v>451</v>
      </c>
      <c r="AI175" s="416"/>
      <c r="AJ175" s="416"/>
      <c r="AK175" s="417"/>
      <c r="AL175" s="124">
        <f>AL174+AL164+AL159+AL149</f>
        <v>-12.172659225615078</v>
      </c>
      <c r="AM175" s="209" t="s">
        <v>431</v>
      </c>
      <c r="AN175" s="5"/>
    </row>
    <row r="176" spans="1:40" ht="19.5">
      <c r="A176" s="5"/>
      <c r="B176" s="351" t="s">
        <v>266</v>
      </c>
      <c r="C176" s="351"/>
      <c r="D176" s="351"/>
      <c r="E176" s="351"/>
      <c r="F176" s="351"/>
      <c r="G176" s="351"/>
      <c r="H176" s="2" t="s">
        <v>267</v>
      </c>
      <c r="I176" s="2" t="s">
        <v>262</v>
      </c>
      <c r="J176" s="2">
        <f>J175-J174</f>
        <v>24</v>
      </c>
      <c r="K176" s="399"/>
      <c r="L176" s="5"/>
      <c r="M176" s="5"/>
      <c r="N176" s="5"/>
      <c r="AB176" s="5"/>
      <c r="AC176" s="104" t="s">
        <v>365</v>
      </c>
      <c r="AD176" s="103"/>
      <c r="AE176" s="103"/>
      <c r="AF176" s="103"/>
      <c r="AG176" s="103"/>
      <c r="AH176" s="125"/>
      <c r="AI176" s="125"/>
      <c r="AJ176" s="125"/>
      <c r="AK176" s="126"/>
      <c r="AL176" s="220"/>
      <c r="AM176" s="5"/>
      <c r="AN176" s="5"/>
    </row>
    <row r="177" spans="1:40" ht="19.5">
      <c r="A177" s="5"/>
      <c r="B177" s="418" t="s">
        <v>452</v>
      </c>
      <c r="C177" s="356"/>
      <c r="D177" s="356"/>
      <c r="E177" s="356"/>
      <c r="F177" s="356"/>
      <c r="G177" s="356"/>
      <c r="H177" s="356"/>
      <c r="I177" s="356"/>
      <c r="J177" s="356"/>
      <c r="K177" s="273">
        <f>K172*J176</f>
        <v>11.501979843690474</v>
      </c>
      <c r="L177" s="2" t="s">
        <v>453</v>
      </c>
      <c r="M177" s="5"/>
      <c r="N177" s="5"/>
      <c r="AB177" s="5"/>
      <c r="AC177" s="351" t="s">
        <v>6</v>
      </c>
      <c r="AD177" s="351"/>
      <c r="AE177" s="351"/>
      <c r="AF177" s="351"/>
      <c r="AG177" s="351"/>
      <c r="AH177" s="351"/>
      <c r="AI177" s="2" t="s">
        <v>261</v>
      </c>
      <c r="AJ177" s="2" t="s">
        <v>262</v>
      </c>
      <c r="AK177" s="2">
        <v>32</v>
      </c>
      <c r="AL177" s="398"/>
      <c r="AM177" s="5"/>
      <c r="AN177" s="5"/>
    </row>
    <row r="178" spans="1:40" ht="19.5">
      <c r="A178" s="5"/>
      <c r="B178" s="5"/>
      <c r="C178" s="5"/>
      <c r="D178" s="5"/>
      <c r="E178" s="5"/>
      <c r="F178" s="5"/>
      <c r="G178" s="5"/>
      <c r="H178" s="5"/>
      <c r="I178" s="5"/>
      <c r="J178" s="5"/>
      <c r="K178" s="5"/>
      <c r="L178" s="5"/>
      <c r="M178" s="5"/>
      <c r="N178" s="5"/>
      <c r="AB178" s="5"/>
      <c r="AC178" s="352" t="s">
        <v>264</v>
      </c>
      <c r="AD178" s="352"/>
      <c r="AE178" s="352"/>
      <c r="AF178" s="352"/>
      <c r="AG178" s="352"/>
      <c r="AH178" s="352"/>
      <c r="AI178" s="2" t="s">
        <v>265</v>
      </c>
      <c r="AJ178" s="2" t="s">
        <v>262</v>
      </c>
      <c r="AK178" s="2">
        <v>26</v>
      </c>
      <c r="AL178" s="398"/>
      <c r="AM178" s="5"/>
      <c r="AN178" s="5"/>
    </row>
    <row r="179" spans="1:40" ht="19.5">
      <c r="A179" s="5"/>
      <c r="B179" s="5"/>
      <c r="C179" s="5"/>
      <c r="D179" s="5"/>
      <c r="E179" s="5"/>
      <c r="F179" s="5"/>
      <c r="G179" s="5"/>
      <c r="H179" s="5"/>
      <c r="I179" s="5"/>
      <c r="J179" s="5"/>
      <c r="K179" s="5"/>
      <c r="L179" s="5"/>
      <c r="M179" s="5"/>
      <c r="N179" s="5"/>
      <c r="AB179" s="5"/>
      <c r="AC179" s="351" t="s">
        <v>266</v>
      </c>
      <c r="AD179" s="351"/>
      <c r="AE179" s="351"/>
      <c r="AF179" s="351"/>
      <c r="AG179" s="351"/>
      <c r="AH179" s="351"/>
      <c r="AI179" s="2" t="s">
        <v>267</v>
      </c>
      <c r="AJ179" s="2" t="s">
        <v>262</v>
      </c>
      <c r="AK179" s="2">
        <f>AK178-AK177</f>
        <v>-6</v>
      </c>
      <c r="AL179" s="399"/>
      <c r="AM179" s="5"/>
      <c r="AN179" s="5"/>
    </row>
    <row r="180" spans="1:40" ht="18.75">
      <c r="A180" s="5"/>
      <c r="B180" s="5"/>
      <c r="C180" s="5"/>
      <c r="D180" s="5"/>
      <c r="E180" s="5"/>
      <c r="F180" s="5"/>
      <c r="G180" s="5"/>
      <c r="H180" s="5"/>
      <c r="I180" s="5"/>
      <c r="J180" s="5"/>
      <c r="K180" s="5"/>
      <c r="L180" s="5"/>
      <c r="AB180" s="5"/>
      <c r="AC180" s="418" t="s">
        <v>452</v>
      </c>
      <c r="AD180" s="356"/>
      <c r="AE180" s="356"/>
      <c r="AF180" s="356"/>
      <c r="AG180" s="356"/>
      <c r="AH180" s="356"/>
      <c r="AI180" s="356"/>
      <c r="AJ180" s="356"/>
      <c r="AK180" s="356"/>
      <c r="AL180" s="273">
        <f>AL175*AK179</f>
        <v>73.035955353690468</v>
      </c>
      <c r="AM180" s="2" t="s">
        <v>453</v>
      </c>
      <c r="AN180" s="5"/>
    </row>
    <row r="181" spans="1:40">
      <c r="A181" s="5"/>
      <c r="L181" s="5"/>
      <c r="AB181" s="5"/>
      <c r="AC181" s="5"/>
      <c r="AD181" s="5"/>
      <c r="AE181" s="5"/>
      <c r="AF181" s="5"/>
      <c r="AG181" s="5"/>
      <c r="AH181" s="5"/>
      <c r="AI181" s="5"/>
      <c r="AJ181" s="5"/>
      <c r="AK181" s="5"/>
      <c r="AL181" s="5"/>
      <c r="AM181" s="5"/>
      <c r="AN181" s="5"/>
    </row>
    <row r="182" spans="1:40">
      <c r="A182" s="5"/>
      <c r="L182" s="5"/>
      <c r="AB182" s="5"/>
      <c r="AC182" s="5"/>
      <c r="AD182" s="5"/>
      <c r="AE182" s="5"/>
      <c r="AF182" s="5"/>
      <c r="AG182" s="5"/>
      <c r="AH182" s="5"/>
      <c r="AI182" s="5"/>
      <c r="AJ182" s="5"/>
      <c r="AK182" s="5"/>
      <c r="AL182" s="5"/>
      <c r="AM182" s="5"/>
      <c r="AN182" s="5"/>
    </row>
    <row r="183" spans="1:40">
      <c r="AB183" s="5"/>
      <c r="AC183" s="5"/>
      <c r="AD183" s="5"/>
      <c r="AE183" s="5"/>
      <c r="AF183" s="5"/>
      <c r="AG183" s="5"/>
      <c r="AH183" s="5"/>
      <c r="AI183" s="5"/>
      <c r="AJ183" s="5"/>
      <c r="AK183" s="5"/>
      <c r="AL183" s="5"/>
      <c r="AM183" s="5"/>
    </row>
    <row r="184" spans="1:40">
      <c r="AB184" s="5"/>
      <c r="AM184" s="5"/>
    </row>
  </sheetData>
  <mergeCells count="296">
    <mergeCell ref="K1:K11"/>
    <mergeCell ref="K29:K32"/>
    <mergeCell ref="B23:I23"/>
    <mergeCell ref="B156:I156"/>
    <mergeCell ref="B111:I111"/>
    <mergeCell ref="B145:I145"/>
    <mergeCell ref="C144:F144"/>
    <mergeCell ref="C142:F143"/>
    <mergeCell ref="B142:B143"/>
    <mergeCell ref="B141:I141"/>
    <mergeCell ref="C140:F140"/>
    <mergeCell ref="C138:F139"/>
    <mergeCell ref="B138:B139"/>
    <mergeCell ref="B137:J137"/>
    <mergeCell ref="C154:F154"/>
    <mergeCell ref="C148:F149"/>
    <mergeCell ref="B148:B149"/>
    <mergeCell ref="B147:J147"/>
    <mergeCell ref="H146:J146"/>
    <mergeCell ref="B146:G146"/>
    <mergeCell ref="K13:K22"/>
    <mergeCell ref="B106:I106"/>
    <mergeCell ref="K102:K110"/>
    <mergeCell ref="K112:K115"/>
    <mergeCell ref="K117:K124"/>
    <mergeCell ref="K127:K130"/>
    <mergeCell ref="K24:K27"/>
    <mergeCell ref="C167:F167"/>
    <mergeCell ref="B128:G128"/>
    <mergeCell ref="B129:G129"/>
    <mergeCell ref="B130:G130"/>
    <mergeCell ref="H116:J116"/>
    <mergeCell ref="B117:J117"/>
    <mergeCell ref="B118:B119"/>
    <mergeCell ref="C118:F119"/>
    <mergeCell ref="C97:F98"/>
    <mergeCell ref="C99:F99"/>
    <mergeCell ref="C115:F115"/>
    <mergeCell ref="B101:G101"/>
    <mergeCell ref="H101:J101"/>
    <mergeCell ref="B102:J102"/>
    <mergeCell ref="B103:B104"/>
    <mergeCell ref="C103:F104"/>
    <mergeCell ref="K137:K145"/>
    <mergeCell ref="K91:K100"/>
    <mergeCell ref="B151:I151"/>
    <mergeCell ref="K46:K54"/>
    <mergeCell ref="C124:F124"/>
    <mergeCell ref="B171:I171"/>
    <mergeCell ref="C166:F166"/>
    <mergeCell ref="C49:F49"/>
    <mergeCell ref="C120:F120"/>
    <mergeCell ref="C121:F121"/>
    <mergeCell ref="C122:F122"/>
    <mergeCell ref="C123:F123"/>
    <mergeCell ref="B57:B58"/>
    <mergeCell ref="C57:F58"/>
    <mergeCell ref="C59:F59"/>
    <mergeCell ref="B152:B153"/>
    <mergeCell ref="C152:F153"/>
    <mergeCell ref="H161:J161"/>
    <mergeCell ref="B162:J162"/>
    <mergeCell ref="B163:B164"/>
    <mergeCell ref="C163:F164"/>
    <mergeCell ref="B92:B93"/>
    <mergeCell ref="C92:F93"/>
    <mergeCell ref="C94:F94"/>
    <mergeCell ref="B96:I96"/>
    <mergeCell ref="B97:B98"/>
    <mergeCell ref="C107:F108"/>
    <mergeCell ref="B107:B108"/>
    <mergeCell ref="C170:F170"/>
    <mergeCell ref="B112:J112"/>
    <mergeCell ref="B113:B114"/>
    <mergeCell ref="C113:F114"/>
    <mergeCell ref="K162:K169"/>
    <mergeCell ref="K157:K160"/>
    <mergeCell ref="K147:K155"/>
    <mergeCell ref="K56:K64"/>
    <mergeCell ref="K66:K69"/>
    <mergeCell ref="K71:K78"/>
    <mergeCell ref="C95:F95"/>
    <mergeCell ref="B131:J131"/>
    <mergeCell ref="C62:F62"/>
    <mergeCell ref="B125:I125"/>
    <mergeCell ref="B126:F126"/>
    <mergeCell ref="C165:F165"/>
    <mergeCell ref="B157:J157"/>
    <mergeCell ref="B158:B159"/>
    <mergeCell ref="C158:F159"/>
    <mergeCell ref="C160:F160"/>
    <mergeCell ref="G126:J126"/>
    <mergeCell ref="C169:F169"/>
    <mergeCell ref="C168:F168"/>
    <mergeCell ref="C109:F109"/>
    <mergeCell ref="B91:J91"/>
    <mergeCell ref="B45:J45"/>
    <mergeCell ref="B55:G55"/>
    <mergeCell ref="H55:J55"/>
    <mergeCell ref="B56:J56"/>
    <mergeCell ref="C80:F80"/>
    <mergeCell ref="C78:F78"/>
    <mergeCell ref="C77:F77"/>
    <mergeCell ref="B46:B47"/>
    <mergeCell ref="C46:F47"/>
    <mergeCell ref="C48:F48"/>
    <mergeCell ref="B50:I50"/>
    <mergeCell ref="B51:B52"/>
    <mergeCell ref="C51:F52"/>
    <mergeCell ref="C53:F53"/>
    <mergeCell ref="B54:I54"/>
    <mergeCell ref="C60:F60"/>
    <mergeCell ref="C64:F65"/>
    <mergeCell ref="B64:B65"/>
    <mergeCell ref="B63:I63"/>
    <mergeCell ref="B100:I100"/>
    <mergeCell ref="B1:J1"/>
    <mergeCell ref="C30:F31"/>
    <mergeCell ref="B30:B31"/>
    <mergeCell ref="C32:F32"/>
    <mergeCell ref="C17:F17"/>
    <mergeCell ref="B7:I7"/>
    <mergeCell ref="C2:F3"/>
    <mergeCell ref="B2:B3"/>
    <mergeCell ref="C8:F9"/>
    <mergeCell ref="B8:B9"/>
    <mergeCell ref="B34:I34"/>
    <mergeCell ref="B19:B20"/>
    <mergeCell ref="C19:F20"/>
    <mergeCell ref="C21:F21"/>
    <mergeCell ref="C25:F26"/>
    <mergeCell ref="H28:J28"/>
    <mergeCell ref="C33:F33"/>
    <mergeCell ref="C4:F4"/>
    <mergeCell ref="C10:F10"/>
    <mergeCell ref="B11:I11"/>
    <mergeCell ref="B12:G12"/>
    <mergeCell ref="C6:F6"/>
    <mergeCell ref="B14:B15"/>
    <mergeCell ref="C16:F16"/>
    <mergeCell ref="B29:J29"/>
    <mergeCell ref="H12:J12"/>
    <mergeCell ref="B13:J13"/>
    <mergeCell ref="C14:F15"/>
    <mergeCell ref="B18:I18"/>
    <mergeCell ref="B25:B26"/>
    <mergeCell ref="B24:J24"/>
    <mergeCell ref="C27:F27"/>
    <mergeCell ref="AC4:AK4"/>
    <mergeCell ref="AL4:AL14"/>
    <mergeCell ref="AC5:AC6"/>
    <mergeCell ref="AD5:AG6"/>
    <mergeCell ref="AD7:AG7"/>
    <mergeCell ref="AD9:AG9"/>
    <mergeCell ref="AC10:AJ10"/>
    <mergeCell ref="AC11:AC12"/>
    <mergeCell ref="AD11:AG12"/>
    <mergeCell ref="AD13:AG13"/>
    <mergeCell ref="AC14:AJ14"/>
    <mergeCell ref="AC15:AH15"/>
    <mergeCell ref="AI15:AK15"/>
    <mergeCell ref="AC16:AK16"/>
    <mergeCell ref="AL16:AL25"/>
    <mergeCell ref="AC17:AC18"/>
    <mergeCell ref="AD17:AG18"/>
    <mergeCell ref="AD19:AG19"/>
    <mergeCell ref="AD20:AG20"/>
    <mergeCell ref="AC21:AJ21"/>
    <mergeCell ref="AC22:AC23"/>
    <mergeCell ref="AD22:AG23"/>
    <mergeCell ref="AD24:AG24"/>
    <mergeCell ref="AC26:AJ26"/>
    <mergeCell ref="AC27:AK27"/>
    <mergeCell ref="AL27:AL30"/>
    <mergeCell ref="AC28:AC29"/>
    <mergeCell ref="AD28:AG29"/>
    <mergeCell ref="AD30:AG30"/>
    <mergeCell ref="AI31:AK31"/>
    <mergeCell ref="AC32:AK32"/>
    <mergeCell ref="AL32:AL35"/>
    <mergeCell ref="AC33:AC34"/>
    <mergeCell ref="AD33:AG34"/>
    <mergeCell ref="AD35:AG35"/>
    <mergeCell ref="AD36:AG36"/>
    <mergeCell ref="AC37:AJ37"/>
    <mergeCell ref="AC48:AK48"/>
    <mergeCell ref="AC49:AC50"/>
    <mergeCell ref="AD49:AG50"/>
    <mergeCell ref="AL49:AL57"/>
    <mergeCell ref="AD51:AG51"/>
    <mergeCell ref="AD52:AG52"/>
    <mergeCell ref="AC53:AJ53"/>
    <mergeCell ref="AC54:AC55"/>
    <mergeCell ref="AD54:AG55"/>
    <mergeCell ref="AD56:AG56"/>
    <mergeCell ref="AC57:AJ57"/>
    <mergeCell ref="AC58:AH58"/>
    <mergeCell ref="AI58:AK58"/>
    <mergeCell ref="AC59:AK59"/>
    <mergeCell ref="AL59:AL67"/>
    <mergeCell ref="AC60:AC61"/>
    <mergeCell ref="AD60:AG61"/>
    <mergeCell ref="AD62:AG62"/>
    <mergeCell ref="AD63:AG63"/>
    <mergeCell ref="AD65:AG65"/>
    <mergeCell ref="AC66:AJ66"/>
    <mergeCell ref="AC67:AC68"/>
    <mergeCell ref="AD67:AG68"/>
    <mergeCell ref="AL69:AL72"/>
    <mergeCell ref="AL74:AL81"/>
    <mergeCell ref="AD80:AG80"/>
    <mergeCell ref="AD81:AG81"/>
    <mergeCell ref="AD83:AG83"/>
    <mergeCell ref="AC94:AK94"/>
    <mergeCell ref="AL94:AL103"/>
    <mergeCell ref="AC95:AC96"/>
    <mergeCell ref="AD95:AG96"/>
    <mergeCell ref="AD97:AG97"/>
    <mergeCell ref="AD98:AG98"/>
    <mergeCell ref="AC99:AJ99"/>
    <mergeCell ref="AC100:AC101"/>
    <mergeCell ref="AD100:AG101"/>
    <mergeCell ref="AD102:AG102"/>
    <mergeCell ref="AC103:AJ103"/>
    <mergeCell ref="AC104:AH104"/>
    <mergeCell ref="AI104:AK104"/>
    <mergeCell ref="AC105:AK105"/>
    <mergeCell ref="AL105:AL113"/>
    <mergeCell ref="AC106:AC107"/>
    <mergeCell ref="AD106:AG107"/>
    <mergeCell ref="AC109:AJ109"/>
    <mergeCell ref="AC110:AC111"/>
    <mergeCell ref="AD110:AG111"/>
    <mergeCell ref="AD112:AG112"/>
    <mergeCell ref="AC114:AJ114"/>
    <mergeCell ref="AC115:AK115"/>
    <mergeCell ref="AL115:AL118"/>
    <mergeCell ref="AC116:AC117"/>
    <mergeCell ref="AD116:AG117"/>
    <mergeCell ref="AD118:AG118"/>
    <mergeCell ref="AI119:AK119"/>
    <mergeCell ref="AC120:AK120"/>
    <mergeCell ref="AL120:AL127"/>
    <mergeCell ref="AC121:AC122"/>
    <mergeCell ref="AD121:AG122"/>
    <mergeCell ref="AD123:AG123"/>
    <mergeCell ref="AD124:AG124"/>
    <mergeCell ref="AD125:AG125"/>
    <mergeCell ref="AD126:AG126"/>
    <mergeCell ref="AD127:AG127"/>
    <mergeCell ref="AC128:AJ128"/>
    <mergeCell ref="AC129:AG129"/>
    <mergeCell ref="AH129:AK129"/>
    <mergeCell ref="AL130:AL133"/>
    <mergeCell ref="AC131:AH131"/>
    <mergeCell ref="AC132:AH132"/>
    <mergeCell ref="AC133:AH133"/>
    <mergeCell ref="AC134:AK134"/>
    <mergeCell ref="AC140:AK140"/>
    <mergeCell ref="AL140:AL148"/>
    <mergeCell ref="AC141:AC142"/>
    <mergeCell ref="AD141:AG142"/>
    <mergeCell ref="AD143:AG143"/>
    <mergeCell ref="AC144:AJ144"/>
    <mergeCell ref="AC145:AC146"/>
    <mergeCell ref="AD145:AG146"/>
    <mergeCell ref="AD147:AG147"/>
    <mergeCell ref="AC148:AJ148"/>
    <mergeCell ref="AC149:AH149"/>
    <mergeCell ref="AI149:AK149"/>
    <mergeCell ref="AC150:AK150"/>
    <mergeCell ref="AL150:AL158"/>
    <mergeCell ref="AC151:AC152"/>
    <mergeCell ref="AD151:AG152"/>
    <mergeCell ref="AC154:AJ154"/>
    <mergeCell ref="AC155:AC156"/>
    <mergeCell ref="AD155:AG156"/>
    <mergeCell ref="AD157:AG157"/>
    <mergeCell ref="AD173:AG173"/>
    <mergeCell ref="AC174:AJ174"/>
    <mergeCell ref="AC159:AJ159"/>
    <mergeCell ref="AC160:AK160"/>
    <mergeCell ref="AL160:AL163"/>
    <mergeCell ref="AC161:AC162"/>
    <mergeCell ref="AD161:AG162"/>
    <mergeCell ref="AD163:AG163"/>
    <mergeCell ref="AI164:AK164"/>
    <mergeCell ref="AC165:AK165"/>
    <mergeCell ref="AL165:AL172"/>
    <mergeCell ref="AC166:AC167"/>
    <mergeCell ref="AD166:AG167"/>
    <mergeCell ref="AD168:AG168"/>
    <mergeCell ref="AD169:AG169"/>
    <mergeCell ref="AD170:AG170"/>
    <mergeCell ref="AD171:AG171"/>
    <mergeCell ref="AD172:AG172"/>
  </mergeCells>
  <pageMargins left="0.7" right="0.7" top="0.75" bottom="0.75" header="0.3" footer="0.3"/>
  <pageSetup paperSize="0" orientation="portrait" horizontalDpi="0" verticalDpi="0" copies="0"/>
  <drawing r:id="rId1"/>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DD49D8-8606-E346-8C2D-14BFDBEC2DB2}">
  <sheetPr codeName="Feuil13"/>
  <dimension ref="A1:AR131"/>
  <sheetViews>
    <sheetView zoomScale="55" zoomScaleNormal="55" workbookViewId="0">
      <selection activeCell="M25" sqref="M25:M26"/>
    </sheetView>
  </sheetViews>
  <sheetFormatPr baseColWidth="10" defaultColWidth="11" defaultRowHeight="15.75"/>
  <cols>
    <col min="13" max="13" width="31.25" customWidth="1"/>
    <col min="20" max="20" width="11" customWidth="1"/>
  </cols>
  <sheetData>
    <row r="1" spans="1:44">
      <c r="A1" s="5"/>
      <c r="B1" s="5"/>
      <c r="C1" s="5"/>
      <c r="D1" s="5"/>
      <c r="E1" s="5"/>
      <c r="F1" s="5"/>
      <c r="G1" s="5"/>
      <c r="H1" s="5"/>
      <c r="I1" s="5"/>
      <c r="J1" s="5"/>
      <c r="K1" s="5"/>
      <c r="L1" s="5"/>
      <c r="M1" s="5"/>
      <c r="N1" s="5"/>
      <c r="O1" s="5"/>
      <c r="P1" s="5"/>
      <c r="Q1" s="5"/>
      <c r="R1" s="5"/>
      <c r="S1" s="5"/>
      <c r="T1" s="5"/>
      <c r="U1" s="5"/>
      <c r="V1" s="5"/>
      <c r="W1" s="5"/>
      <c r="X1" s="5"/>
      <c r="Y1" s="5"/>
      <c r="Z1" s="5"/>
      <c r="AA1" s="5"/>
      <c r="AB1" s="5"/>
      <c r="AC1" s="5"/>
      <c r="AD1" s="5"/>
      <c r="AE1" s="5"/>
      <c r="AF1" s="5"/>
      <c r="AG1" s="5"/>
    </row>
    <row r="2" spans="1:44">
      <c r="A2" s="5"/>
      <c r="B2" s="5"/>
      <c r="C2" s="5"/>
      <c r="D2" s="5"/>
      <c r="E2" s="5"/>
      <c r="F2" s="5"/>
      <c r="G2" s="5"/>
      <c r="H2" s="5"/>
      <c r="I2" s="5"/>
      <c r="J2" s="5"/>
      <c r="K2" s="5"/>
      <c r="L2" s="5"/>
      <c r="M2" s="5"/>
      <c r="N2" s="5"/>
      <c r="O2" s="5"/>
      <c r="P2" s="5"/>
      <c r="Q2" s="5"/>
      <c r="R2" s="5"/>
      <c r="S2" s="5"/>
      <c r="T2" s="5"/>
      <c r="U2" s="5"/>
      <c r="V2" s="5"/>
      <c r="W2" s="5"/>
      <c r="X2" s="5"/>
      <c r="Y2" s="5"/>
      <c r="Z2" s="5"/>
      <c r="AA2" s="5"/>
      <c r="AB2" s="5"/>
      <c r="AC2" s="5"/>
      <c r="AD2" s="5"/>
      <c r="AE2" s="5"/>
      <c r="AF2" s="5"/>
      <c r="AG2" s="5"/>
    </row>
    <row r="3" spans="1:44" ht="16.5" customHeight="1">
      <c r="A3" s="5"/>
      <c r="B3" s="817" t="s">
        <v>570</v>
      </c>
      <c r="C3" s="817"/>
      <c r="D3" s="817"/>
      <c r="E3" s="817"/>
      <c r="F3" s="817"/>
      <c r="G3" s="817"/>
      <c r="H3" s="812" t="s">
        <v>571</v>
      </c>
      <c r="I3" s="812" t="s">
        <v>572</v>
      </c>
      <c r="J3" s="812" t="s">
        <v>573</v>
      </c>
      <c r="K3" s="812" t="s">
        <v>574</v>
      </c>
      <c r="L3" s="812" t="s">
        <v>575</v>
      </c>
      <c r="M3" s="812" t="s">
        <v>576</v>
      </c>
      <c r="N3" s="812" t="s">
        <v>40</v>
      </c>
      <c r="O3" s="812" t="s">
        <v>577</v>
      </c>
      <c r="P3" s="812" t="s">
        <v>578</v>
      </c>
      <c r="Q3" s="812" t="s">
        <v>579</v>
      </c>
      <c r="R3" s="804" t="s">
        <v>580</v>
      </c>
      <c r="S3" s="804" t="s">
        <v>581</v>
      </c>
      <c r="T3" s="804" t="s">
        <v>582</v>
      </c>
      <c r="U3" s="812" t="s">
        <v>583</v>
      </c>
      <c r="V3" s="812" t="s">
        <v>584</v>
      </c>
      <c r="W3" s="812" t="s">
        <v>585</v>
      </c>
      <c r="X3" s="804" t="s">
        <v>586</v>
      </c>
      <c r="Y3" s="812" t="s">
        <v>587</v>
      </c>
      <c r="Z3" s="812" t="s">
        <v>588</v>
      </c>
      <c r="AA3" s="812" t="s">
        <v>589</v>
      </c>
      <c r="AB3" s="812" t="s">
        <v>590</v>
      </c>
      <c r="AC3" s="812" t="s">
        <v>591</v>
      </c>
      <c r="AD3" s="498"/>
      <c r="AE3" s="813" t="s">
        <v>71</v>
      </c>
      <c r="AF3" s="5"/>
      <c r="AG3" s="5"/>
    </row>
    <row r="4" spans="1:44">
      <c r="A4" s="5"/>
      <c r="B4" s="817"/>
      <c r="C4" s="817"/>
      <c r="D4" s="817"/>
      <c r="E4" s="817"/>
      <c r="F4" s="817"/>
      <c r="G4" s="817"/>
      <c r="H4" s="812"/>
      <c r="I4" s="812"/>
      <c r="J4" s="812"/>
      <c r="K4" s="812"/>
      <c r="L4" s="812"/>
      <c r="M4" s="812"/>
      <c r="N4" s="812"/>
      <c r="O4" s="812"/>
      <c r="P4" s="812"/>
      <c r="Q4" s="812"/>
      <c r="R4" s="805"/>
      <c r="S4" s="805"/>
      <c r="T4" s="805"/>
      <c r="U4" s="812"/>
      <c r="V4" s="812"/>
      <c r="W4" s="812"/>
      <c r="X4" s="805"/>
      <c r="Y4" s="812"/>
      <c r="Z4" s="812"/>
      <c r="AA4" s="812"/>
      <c r="AB4" s="812"/>
      <c r="AC4" s="812"/>
      <c r="AD4" s="804" t="s">
        <v>592</v>
      </c>
      <c r="AE4" s="814"/>
      <c r="AF4" s="5"/>
      <c r="AG4" s="5"/>
    </row>
    <row r="5" spans="1:44">
      <c r="A5" s="5"/>
      <c r="B5" s="817"/>
      <c r="C5" s="817"/>
      <c r="D5" s="817"/>
      <c r="E5" s="817"/>
      <c r="F5" s="817"/>
      <c r="G5" s="817"/>
      <c r="H5" s="812"/>
      <c r="I5" s="812"/>
      <c r="J5" s="812"/>
      <c r="K5" s="812"/>
      <c r="L5" s="812"/>
      <c r="M5" s="812"/>
      <c r="N5" s="812"/>
      <c r="O5" s="812"/>
      <c r="P5" s="812"/>
      <c r="Q5" s="812"/>
      <c r="R5" s="805"/>
      <c r="S5" s="805"/>
      <c r="T5" s="805"/>
      <c r="U5" s="812"/>
      <c r="V5" s="812"/>
      <c r="W5" s="812"/>
      <c r="X5" s="805"/>
      <c r="Y5" s="812"/>
      <c r="Z5" s="812"/>
      <c r="AA5" s="812"/>
      <c r="AB5" s="812"/>
      <c r="AC5" s="812"/>
      <c r="AD5" s="805"/>
      <c r="AE5" s="814"/>
      <c r="AF5" s="5"/>
      <c r="AG5" s="5"/>
    </row>
    <row r="6" spans="1:44">
      <c r="A6" s="5"/>
      <c r="B6" s="817"/>
      <c r="C6" s="817"/>
      <c r="D6" s="817"/>
      <c r="E6" s="817"/>
      <c r="F6" s="817"/>
      <c r="G6" s="817"/>
      <c r="H6" s="812"/>
      <c r="I6" s="812"/>
      <c r="J6" s="812"/>
      <c r="K6" s="812"/>
      <c r="L6" s="812"/>
      <c r="M6" s="812"/>
      <c r="N6" s="812"/>
      <c r="O6" s="812"/>
      <c r="P6" s="812"/>
      <c r="Q6" s="812"/>
      <c r="R6" s="805"/>
      <c r="S6" s="805"/>
      <c r="T6" s="805"/>
      <c r="U6" s="812"/>
      <c r="V6" s="812"/>
      <c r="W6" s="812"/>
      <c r="X6" s="805"/>
      <c r="Y6" s="812"/>
      <c r="Z6" s="812"/>
      <c r="AA6" s="812"/>
      <c r="AB6" s="812"/>
      <c r="AC6" s="812"/>
      <c r="AD6" s="805"/>
      <c r="AE6" s="814"/>
      <c r="AF6" s="5"/>
      <c r="AG6" s="5"/>
    </row>
    <row r="7" spans="1:44">
      <c r="A7" s="5"/>
      <c r="B7" s="817"/>
      <c r="C7" s="817"/>
      <c r="D7" s="817"/>
      <c r="E7" s="817"/>
      <c r="F7" s="817"/>
      <c r="G7" s="817"/>
      <c r="H7" s="812"/>
      <c r="I7" s="812"/>
      <c r="J7" s="812"/>
      <c r="K7" s="812"/>
      <c r="L7" s="812"/>
      <c r="M7" s="812"/>
      <c r="N7" s="812"/>
      <c r="O7" s="812"/>
      <c r="P7" s="812"/>
      <c r="Q7" s="812"/>
      <c r="R7" s="805"/>
      <c r="S7" s="805"/>
      <c r="T7" s="805"/>
      <c r="U7" s="812"/>
      <c r="V7" s="812"/>
      <c r="W7" s="812"/>
      <c r="X7" s="805"/>
      <c r="Y7" s="812"/>
      <c r="Z7" s="812"/>
      <c r="AA7" s="812"/>
      <c r="AB7" s="812"/>
      <c r="AC7" s="812"/>
      <c r="AD7" s="805"/>
      <c r="AE7" s="814"/>
      <c r="AF7" s="5"/>
      <c r="AG7" s="5"/>
    </row>
    <row r="8" spans="1:44">
      <c r="A8" s="5"/>
      <c r="B8" s="817"/>
      <c r="C8" s="817"/>
      <c r="D8" s="817"/>
      <c r="E8" s="817"/>
      <c r="F8" s="817"/>
      <c r="G8" s="817"/>
      <c r="H8" s="812"/>
      <c r="I8" s="812"/>
      <c r="J8" s="812"/>
      <c r="K8" s="812"/>
      <c r="L8" s="812"/>
      <c r="M8" s="812"/>
      <c r="N8" s="812"/>
      <c r="O8" s="812"/>
      <c r="P8" s="812"/>
      <c r="Q8" s="812"/>
      <c r="R8" s="805"/>
      <c r="S8" s="805"/>
      <c r="T8" s="805"/>
      <c r="U8" s="812"/>
      <c r="V8" s="812"/>
      <c r="W8" s="812"/>
      <c r="X8" s="805"/>
      <c r="Y8" s="812"/>
      <c r="Z8" s="812"/>
      <c r="AA8" s="812"/>
      <c r="AB8" s="812"/>
      <c r="AC8" s="812"/>
      <c r="AD8" s="805"/>
      <c r="AE8" s="814"/>
      <c r="AF8" s="5"/>
      <c r="AG8" s="5"/>
    </row>
    <row r="9" spans="1:44">
      <c r="A9" s="5"/>
      <c r="B9" s="817"/>
      <c r="C9" s="817"/>
      <c r="D9" s="817"/>
      <c r="E9" s="817"/>
      <c r="F9" s="817"/>
      <c r="G9" s="817"/>
      <c r="H9" s="812"/>
      <c r="I9" s="812"/>
      <c r="J9" s="812"/>
      <c r="K9" s="812"/>
      <c r="L9" s="812"/>
      <c r="M9" s="812"/>
      <c r="N9" s="812"/>
      <c r="O9" s="812"/>
      <c r="P9" s="812"/>
      <c r="Q9" s="812"/>
      <c r="R9" s="805"/>
      <c r="S9" s="805"/>
      <c r="T9" s="805"/>
      <c r="U9" s="812"/>
      <c r="V9" s="812"/>
      <c r="W9" s="812"/>
      <c r="X9" s="805"/>
      <c r="Y9" s="812"/>
      <c r="Z9" s="812"/>
      <c r="AA9" s="812"/>
      <c r="AB9" s="812"/>
      <c r="AC9" s="812"/>
      <c r="AD9" s="805"/>
      <c r="AE9" s="814"/>
      <c r="AF9" s="5"/>
      <c r="AG9" s="5"/>
      <c r="AR9" t="s">
        <v>593</v>
      </c>
    </row>
    <row r="10" spans="1:44" ht="59.25" customHeight="1">
      <c r="A10" s="5"/>
      <c r="B10" s="817"/>
      <c r="C10" s="817"/>
      <c r="D10" s="817"/>
      <c r="E10" s="817"/>
      <c r="F10" s="817"/>
      <c r="G10" s="817"/>
      <c r="H10" s="812"/>
      <c r="I10" s="812"/>
      <c r="J10" s="812"/>
      <c r="K10" s="812"/>
      <c r="L10" s="812"/>
      <c r="M10" s="812"/>
      <c r="N10" s="812"/>
      <c r="O10" s="812"/>
      <c r="P10" s="812"/>
      <c r="Q10" s="812"/>
      <c r="R10" s="806"/>
      <c r="S10" s="806"/>
      <c r="T10" s="806"/>
      <c r="U10" s="812"/>
      <c r="V10" s="812"/>
      <c r="W10" s="812"/>
      <c r="X10" s="806"/>
      <c r="Y10" s="812"/>
      <c r="Z10" s="812"/>
      <c r="AA10" s="812"/>
      <c r="AB10" s="812"/>
      <c r="AC10" s="812"/>
      <c r="AD10" s="806"/>
      <c r="AE10" s="814"/>
      <c r="AF10" s="5"/>
      <c r="AG10" s="5"/>
    </row>
    <row r="11" spans="1:44" ht="20.25">
      <c r="A11" s="5"/>
      <c r="B11" s="816" t="s">
        <v>594</v>
      </c>
      <c r="C11" s="816"/>
      <c r="D11" s="816"/>
      <c r="E11" s="816"/>
      <c r="F11" s="6" t="s">
        <v>595</v>
      </c>
      <c r="G11" s="6" t="s">
        <v>596</v>
      </c>
      <c r="H11" s="7">
        <f>6.9*4.4*3.6</f>
        <v>109.29600000000001</v>
      </c>
      <c r="I11" s="7">
        <f>4.57*5*3.6</f>
        <v>82.26</v>
      </c>
      <c r="J11" s="7">
        <f>3.65*3.4*3.6</f>
        <v>44.676000000000002</v>
      </c>
      <c r="K11" s="716">
        <f>98.96</f>
        <v>98.96</v>
      </c>
      <c r="L11" s="716">
        <f>64.87</f>
        <v>64.87</v>
      </c>
      <c r="M11" s="716">
        <v>65.268000000000001</v>
      </c>
      <c r="N11" s="716">
        <v>65.268000000000001</v>
      </c>
      <c r="O11" s="716">
        <v>119.88</v>
      </c>
      <c r="P11" s="716">
        <v>164.88</v>
      </c>
      <c r="Q11" s="7">
        <v>26.064</v>
      </c>
      <c r="R11" s="847">
        <v>65.546999999999997</v>
      </c>
      <c r="S11" s="848"/>
      <c r="T11" s="849"/>
      <c r="U11" s="716">
        <v>76.356000000000009</v>
      </c>
      <c r="V11" s="716">
        <v>108.072</v>
      </c>
      <c r="W11" s="716">
        <v>189.43199999999999</v>
      </c>
      <c r="X11" s="715">
        <v>199.15200000000002</v>
      </c>
      <c r="Y11" s="6">
        <v>17.028000000000002</v>
      </c>
      <c r="Z11" s="6">
        <v>15.732000000000001</v>
      </c>
      <c r="AA11" s="714">
        <v>62.639999999999993</v>
      </c>
      <c r="AB11" s="714">
        <v>44.171999999999997</v>
      </c>
      <c r="AC11" s="6">
        <v>39.204000000000001</v>
      </c>
      <c r="AD11" s="6">
        <v>12.650399999999998</v>
      </c>
      <c r="AE11" s="1">
        <f>SUM(H11:AC11)</f>
        <v>1658.7570000000001</v>
      </c>
      <c r="AF11" s="5"/>
      <c r="AG11" s="5"/>
    </row>
    <row r="12" spans="1:44" ht="19.5">
      <c r="A12" s="5"/>
      <c r="B12" s="818" t="s">
        <v>597</v>
      </c>
      <c r="C12" s="818"/>
      <c r="D12" s="818"/>
      <c r="E12" s="818"/>
      <c r="F12" s="2" t="s">
        <v>261</v>
      </c>
      <c r="G12" s="2" t="s">
        <v>262</v>
      </c>
      <c r="H12" s="807">
        <f>Données!G11</f>
        <v>-8</v>
      </c>
      <c r="I12" s="807"/>
      <c r="J12" s="807"/>
      <c r="K12" s="807"/>
      <c r="L12" s="807"/>
      <c r="M12" s="807"/>
      <c r="N12" s="807"/>
      <c r="O12" s="807"/>
      <c r="P12" s="807"/>
      <c r="Q12" s="807"/>
      <c r="R12" s="807"/>
      <c r="S12" s="807"/>
      <c r="T12" s="807"/>
      <c r="U12" s="807"/>
      <c r="V12" s="807"/>
      <c r="W12" s="807"/>
      <c r="X12" s="807"/>
      <c r="Y12" s="815"/>
      <c r="Z12" s="815"/>
      <c r="AA12" s="815"/>
      <c r="AB12" s="815"/>
      <c r="AC12" s="815"/>
      <c r="AD12" s="499"/>
      <c r="AE12" s="819"/>
      <c r="AF12" s="5"/>
      <c r="AG12" s="5"/>
    </row>
    <row r="13" spans="1:44" ht="19.5">
      <c r="A13" s="5"/>
      <c r="B13" s="818" t="s">
        <v>598</v>
      </c>
      <c r="C13" s="818"/>
      <c r="D13" s="818"/>
      <c r="E13" s="818"/>
      <c r="F13" s="2" t="s">
        <v>265</v>
      </c>
      <c r="G13" s="2" t="s">
        <v>262</v>
      </c>
      <c r="H13" s="1">
        <f>Données!G45</f>
        <v>16</v>
      </c>
      <c r="I13" s="1">
        <f>Données!E22</f>
        <v>20</v>
      </c>
      <c r="J13" s="1">
        <f>Données!E23</f>
        <v>22</v>
      </c>
      <c r="K13" s="1">
        <f>Données!G46</f>
        <v>16</v>
      </c>
      <c r="L13" s="1">
        <f>Données!E24</f>
        <v>22</v>
      </c>
      <c r="M13" s="1">
        <f>Données!G47</f>
        <v>16</v>
      </c>
      <c r="N13" s="1">
        <f>Données!E27</f>
        <v>22</v>
      </c>
      <c r="O13" s="1">
        <f>Données!E28</f>
        <v>20</v>
      </c>
      <c r="P13" s="1">
        <f>Données!E33</f>
        <v>18</v>
      </c>
      <c r="Q13" s="1">
        <f>Données!G51</f>
        <v>18</v>
      </c>
      <c r="R13" s="865">
        <f>Données!G52</f>
        <v>18</v>
      </c>
      <c r="S13" s="866"/>
      <c r="T13" s="867"/>
      <c r="U13" s="1">
        <f>Données!G51</f>
        <v>18</v>
      </c>
      <c r="V13" s="1">
        <f>Données!E29</f>
        <v>22</v>
      </c>
      <c r="W13" s="1">
        <f>20</f>
        <v>20</v>
      </c>
      <c r="X13" s="119">
        <f>Données!E25</f>
        <v>20</v>
      </c>
      <c r="Y13" s="1">
        <v>16</v>
      </c>
      <c r="Z13" s="1">
        <v>16</v>
      </c>
      <c r="AA13" s="1">
        <v>16</v>
      </c>
      <c r="AB13" s="1">
        <v>16</v>
      </c>
      <c r="AC13" s="1">
        <v>16</v>
      </c>
      <c r="AD13" s="1">
        <v>16</v>
      </c>
      <c r="AE13" s="820"/>
      <c r="AF13" s="5"/>
      <c r="AG13" s="5"/>
    </row>
    <row r="14" spans="1:44" ht="19.5">
      <c r="A14" s="5"/>
      <c r="B14" s="818" t="s">
        <v>599</v>
      </c>
      <c r="C14" s="818"/>
      <c r="D14" s="818"/>
      <c r="E14" s="818"/>
      <c r="F14" s="2" t="s">
        <v>267</v>
      </c>
      <c r="G14" s="2" t="s">
        <v>262</v>
      </c>
      <c r="H14" s="1">
        <f>H13-H12</f>
        <v>24</v>
      </c>
      <c r="I14" s="1">
        <f>I13-H12</f>
        <v>28</v>
      </c>
      <c r="J14" s="1">
        <f>J13-H12</f>
        <v>30</v>
      </c>
      <c r="K14" s="1">
        <f>K13-H12</f>
        <v>24</v>
      </c>
      <c r="L14" s="1">
        <f>L13-H12</f>
        <v>30</v>
      </c>
      <c r="M14" s="1">
        <f>M13-H12</f>
        <v>24</v>
      </c>
      <c r="N14" s="1">
        <f>N13-H12</f>
        <v>30</v>
      </c>
      <c r="O14" s="1">
        <f>O13-H12</f>
        <v>28</v>
      </c>
      <c r="P14" s="1">
        <f>P13-H12</f>
        <v>26</v>
      </c>
      <c r="Q14" s="1">
        <f>Q13-H12</f>
        <v>26</v>
      </c>
      <c r="R14" s="865">
        <f>R13-H12</f>
        <v>26</v>
      </c>
      <c r="S14" s="866"/>
      <c r="T14" s="867"/>
      <c r="U14" s="1">
        <f>U13-H12</f>
        <v>26</v>
      </c>
      <c r="V14" s="1">
        <f>V13-H12</f>
        <v>30</v>
      </c>
      <c r="W14" s="1">
        <f>W13-H12</f>
        <v>28</v>
      </c>
      <c r="X14" s="119">
        <f>Y13-H12</f>
        <v>24</v>
      </c>
      <c r="Y14" s="101">
        <f>Y13-H12</f>
        <v>24</v>
      </c>
      <c r="Z14" s="101">
        <f>ABS(H12-Z13)</f>
        <v>24</v>
      </c>
      <c r="AA14" s="101">
        <f>ABS(H12-AA13)</f>
        <v>24</v>
      </c>
      <c r="AB14" s="101">
        <f>ABS(H12-AB13)</f>
        <v>24</v>
      </c>
      <c r="AC14" s="101">
        <f>ABS(H12-AC13)</f>
        <v>24</v>
      </c>
      <c r="AD14" s="101">
        <f>ABS(H12-AD13)</f>
        <v>24</v>
      </c>
      <c r="AE14" s="820"/>
      <c r="AF14" s="5"/>
      <c r="AG14" s="5"/>
    </row>
    <row r="15" spans="1:44">
      <c r="A15" s="5"/>
      <c r="B15" s="874" t="s">
        <v>600</v>
      </c>
      <c r="C15" s="903" t="s">
        <v>601</v>
      </c>
      <c r="D15" s="904"/>
      <c r="E15" s="905"/>
      <c r="F15" s="807" t="s">
        <v>602</v>
      </c>
      <c r="G15" s="810" t="s">
        <v>603</v>
      </c>
      <c r="H15" s="807">
        <v>0.5</v>
      </c>
      <c r="I15" s="807">
        <v>1</v>
      </c>
      <c r="J15" s="807">
        <v>0</v>
      </c>
      <c r="K15" s="807">
        <v>1</v>
      </c>
      <c r="L15" s="807">
        <v>1</v>
      </c>
      <c r="M15" s="807">
        <v>1</v>
      </c>
      <c r="N15" s="807">
        <v>1</v>
      </c>
      <c r="O15" s="807">
        <v>2</v>
      </c>
      <c r="P15" s="807">
        <v>0.5</v>
      </c>
      <c r="Q15" s="807">
        <v>0.5</v>
      </c>
      <c r="R15" s="808">
        <v>0.5</v>
      </c>
      <c r="S15" s="915"/>
      <c r="T15" s="916"/>
      <c r="U15" s="807">
        <v>0.5</v>
      </c>
      <c r="V15" s="807">
        <v>1</v>
      </c>
      <c r="W15" s="807">
        <v>2</v>
      </c>
      <c r="X15" s="815">
        <v>0.5</v>
      </c>
      <c r="Y15" s="807">
        <v>1.5</v>
      </c>
      <c r="Z15" s="807">
        <v>1.5</v>
      </c>
      <c r="AA15" s="807">
        <v>1.5</v>
      </c>
      <c r="AB15" s="807">
        <v>1.5</v>
      </c>
      <c r="AC15" s="808">
        <v>0</v>
      </c>
      <c r="AD15" s="807">
        <v>0</v>
      </c>
      <c r="AE15" s="820"/>
      <c r="AF15" s="5"/>
      <c r="AG15" s="5"/>
    </row>
    <row r="16" spans="1:44">
      <c r="A16" s="5"/>
      <c r="B16" s="875"/>
      <c r="C16" s="906"/>
      <c r="D16" s="907"/>
      <c r="E16" s="908"/>
      <c r="F16" s="807"/>
      <c r="G16" s="810"/>
      <c r="H16" s="807"/>
      <c r="I16" s="807"/>
      <c r="J16" s="807"/>
      <c r="K16" s="807"/>
      <c r="L16" s="807"/>
      <c r="M16" s="807"/>
      <c r="N16" s="807"/>
      <c r="O16" s="807"/>
      <c r="P16" s="807"/>
      <c r="Q16" s="807"/>
      <c r="R16" s="809"/>
      <c r="S16" s="917"/>
      <c r="T16" s="918"/>
      <c r="U16" s="807"/>
      <c r="V16" s="807"/>
      <c r="W16" s="807"/>
      <c r="X16" s="831"/>
      <c r="Y16" s="807"/>
      <c r="Z16" s="807"/>
      <c r="AA16" s="807"/>
      <c r="AB16" s="807"/>
      <c r="AC16" s="809"/>
      <c r="AD16" s="807"/>
      <c r="AE16" s="820"/>
      <c r="AF16" s="5"/>
      <c r="AG16" s="5"/>
    </row>
    <row r="17" spans="1:33">
      <c r="A17" s="5"/>
      <c r="B17" s="875"/>
      <c r="C17" s="909" t="s">
        <v>604</v>
      </c>
      <c r="D17" s="910"/>
      <c r="E17" s="911"/>
      <c r="F17" s="810" t="s">
        <v>605</v>
      </c>
      <c r="G17" s="810" t="s">
        <v>606</v>
      </c>
      <c r="H17" s="810">
        <f>H15*H11</f>
        <v>54.648000000000003</v>
      </c>
      <c r="I17" s="810">
        <f>I11*I15</f>
        <v>82.26</v>
      </c>
      <c r="J17" s="810">
        <f t="shared" ref="J17:W17" si="0">J11*J15</f>
        <v>0</v>
      </c>
      <c r="K17" s="810">
        <f t="shared" si="0"/>
        <v>98.96</v>
      </c>
      <c r="L17" s="810">
        <f t="shared" si="0"/>
        <v>64.87</v>
      </c>
      <c r="M17" s="810">
        <f t="shared" si="0"/>
        <v>65.268000000000001</v>
      </c>
      <c r="N17" s="810">
        <f>N11*N15</f>
        <v>65.268000000000001</v>
      </c>
      <c r="O17" s="810">
        <f t="shared" si="0"/>
        <v>239.76</v>
      </c>
      <c r="P17" s="810">
        <f>P11*P15</f>
        <v>82.44</v>
      </c>
      <c r="Q17" s="810">
        <f>Q11*Q15</f>
        <v>13.032</v>
      </c>
      <c r="R17" s="835">
        <f t="shared" si="0"/>
        <v>32.773499999999999</v>
      </c>
      <c r="S17" s="836"/>
      <c r="T17" s="837"/>
      <c r="U17" s="810">
        <f t="shared" si="0"/>
        <v>38.178000000000004</v>
      </c>
      <c r="V17" s="810">
        <f t="shared" si="0"/>
        <v>108.072</v>
      </c>
      <c r="W17" s="810">
        <f t="shared" si="0"/>
        <v>378.86399999999998</v>
      </c>
      <c r="X17" s="810">
        <f t="shared" ref="X17:AD17" si="1">X11*X15</f>
        <v>99.576000000000008</v>
      </c>
      <c r="Y17" s="810">
        <f t="shared" si="1"/>
        <v>25.542000000000002</v>
      </c>
      <c r="Z17" s="810">
        <f t="shared" si="1"/>
        <v>23.598000000000003</v>
      </c>
      <c r="AA17" s="810">
        <f t="shared" si="1"/>
        <v>93.96</v>
      </c>
      <c r="AB17" s="810">
        <f t="shared" si="1"/>
        <v>66.257999999999996</v>
      </c>
      <c r="AC17" s="810">
        <f t="shared" si="1"/>
        <v>0</v>
      </c>
      <c r="AD17" s="810">
        <f t="shared" si="1"/>
        <v>0</v>
      </c>
      <c r="AE17" s="820"/>
      <c r="AF17" s="5"/>
      <c r="AG17" s="5"/>
    </row>
    <row r="18" spans="1:33" ht="30" customHeight="1">
      <c r="A18" s="5"/>
      <c r="B18" s="876"/>
      <c r="C18" s="912"/>
      <c r="D18" s="913"/>
      <c r="E18" s="914"/>
      <c r="F18" s="810"/>
      <c r="G18" s="810"/>
      <c r="H18" s="810"/>
      <c r="I18" s="810"/>
      <c r="J18" s="810"/>
      <c r="K18" s="810"/>
      <c r="L18" s="810"/>
      <c r="M18" s="810"/>
      <c r="N18" s="810"/>
      <c r="O18" s="810"/>
      <c r="P18" s="810"/>
      <c r="Q18" s="810"/>
      <c r="R18" s="838"/>
      <c r="S18" s="839"/>
      <c r="T18" s="840"/>
      <c r="U18" s="810"/>
      <c r="V18" s="810"/>
      <c r="W18" s="810"/>
      <c r="X18" s="810"/>
      <c r="Y18" s="810"/>
      <c r="Z18" s="810"/>
      <c r="AA18" s="810"/>
      <c r="AB18" s="810"/>
      <c r="AC18" s="810"/>
      <c r="AD18" s="810"/>
      <c r="AE18" s="821"/>
      <c r="AF18" s="5"/>
      <c r="AG18" s="5"/>
    </row>
    <row r="19" spans="1:33">
      <c r="A19" s="5"/>
      <c r="B19" s="813" t="s">
        <v>607</v>
      </c>
      <c r="C19" s="818" t="s">
        <v>608</v>
      </c>
      <c r="D19" s="818"/>
      <c r="E19" s="818"/>
      <c r="F19" s="2" t="s">
        <v>228</v>
      </c>
      <c r="G19" s="2" t="s">
        <v>228</v>
      </c>
      <c r="H19" s="63">
        <v>0</v>
      </c>
      <c r="I19" s="63">
        <f>1</f>
        <v>1</v>
      </c>
      <c r="J19" s="63">
        <v>1</v>
      </c>
      <c r="K19" s="63">
        <f>1</f>
        <v>1</v>
      </c>
      <c r="L19" s="63">
        <f>1</f>
        <v>1</v>
      </c>
      <c r="M19" s="63">
        <f>2</f>
        <v>2</v>
      </c>
      <c r="N19" s="63">
        <v>2</v>
      </c>
      <c r="O19" s="63">
        <v>1</v>
      </c>
      <c r="P19" s="63">
        <v>0</v>
      </c>
      <c r="Q19" s="63">
        <v>0</v>
      </c>
      <c r="R19" s="835">
        <v>1</v>
      </c>
      <c r="S19" s="836"/>
      <c r="T19" s="837"/>
      <c r="U19" s="63">
        <v>0</v>
      </c>
      <c r="V19" s="63">
        <v>1</v>
      </c>
      <c r="W19" s="63">
        <v>0</v>
      </c>
      <c r="X19" s="481">
        <v>0</v>
      </c>
      <c r="Y19" s="524">
        <v>0</v>
      </c>
      <c r="Z19" s="524">
        <v>0</v>
      </c>
      <c r="AA19" s="524">
        <v>0</v>
      </c>
      <c r="AB19" s="524">
        <v>0</v>
      </c>
      <c r="AC19" s="524">
        <f>0</f>
        <v>0</v>
      </c>
      <c r="AD19" s="519">
        <f>0</f>
        <v>0</v>
      </c>
      <c r="AE19" s="819"/>
      <c r="AF19" s="5"/>
      <c r="AG19" s="5"/>
    </row>
    <row r="20" spans="1:33" ht="36" customHeight="1">
      <c r="A20" s="5"/>
      <c r="B20" s="813"/>
      <c r="C20" s="823" t="s">
        <v>609</v>
      </c>
      <c r="D20" s="823"/>
      <c r="E20" s="823"/>
      <c r="F20" s="62" t="s">
        <v>610</v>
      </c>
      <c r="G20" s="282" t="s">
        <v>603</v>
      </c>
      <c r="H20" s="810">
        <v>3</v>
      </c>
      <c r="I20" s="810"/>
      <c r="J20" s="810"/>
      <c r="K20" s="810"/>
      <c r="L20" s="810"/>
      <c r="M20" s="810"/>
      <c r="N20" s="810"/>
      <c r="O20" s="810"/>
      <c r="P20" s="810"/>
      <c r="Q20" s="810"/>
      <c r="R20" s="810"/>
      <c r="S20" s="810"/>
      <c r="T20" s="810"/>
      <c r="U20" s="810"/>
      <c r="V20" s="810"/>
      <c r="W20" s="810"/>
      <c r="X20" s="810"/>
      <c r="Y20" s="810"/>
      <c r="Z20" s="810"/>
      <c r="AA20" s="810"/>
      <c r="AB20" s="810"/>
      <c r="AC20" s="810"/>
      <c r="AD20" s="811"/>
      <c r="AE20" s="820"/>
      <c r="AF20" s="5"/>
      <c r="AG20" s="5" t="s">
        <v>611</v>
      </c>
    </row>
    <row r="21" spans="1:33">
      <c r="A21" s="5"/>
      <c r="B21" s="813"/>
      <c r="C21" s="818" t="s">
        <v>612</v>
      </c>
      <c r="D21" s="818"/>
      <c r="E21" s="818"/>
      <c r="F21" s="62" t="s">
        <v>357</v>
      </c>
      <c r="G21" s="62" t="s">
        <v>228</v>
      </c>
      <c r="H21" s="204">
        <f>0</f>
        <v>0</v>
      </c>
      <c r="I21" s="276">
        <f>0.01</f>
        <v>0.01</v>
      </c>
      <c r="J21" s="276">
        <f>0</f>
        <v>0</v>
      </c>
      <c r="K21" s="276">
        <f>0.01</f>
        <v>0.01</v>
      </c>
      <c r="L21" s="276">
        <f>0.01</f>
        <v>0.01</v>
      </c>
      <c r="M21" s="497">
        <f>0.02</f>
        <v>0.02</v>
      </c>
      <c r="N21" s="276">
        <v>0.02</v>
      </c>
      <c r="O21" s="276">
        <v>0.02</v>
      </c>
      <c r="P21" s="276">
        <v>0</v>
      </c>
      <c r="Q21" s="276">
        <v>0</v>
      </c>
      <c r="R21" s="838">
        <v>0.01</v>
      </c>
      <c r="S21" s="839"/>
      <c r="T21" s="840"/>
      <c r="U21" s="276">
        <v>0</v>
      </c>
      <c r="V21" s="276">
        <v>0.01</v>
      </c>
      <c r="W21" s="276">
        <v>0</v>
      </c>
      <c r="X21" s="482">
        <v>0</v>
      </c>
      <c r="Y21" s="482">
        <v>0</v>
      </c>
      <c r="Z21" s="276">
        <v>0</v>
      </c>
      <c r="AA21" s="276">
        <v>0</v>
      </c>
      <c r="AB21" s="276">
        <v>0</v>
      </c>
      <c r="AC21" s="482">
        <v>0</v>
      </c>
      <c r="AD21" s="63">
        <f>0</f>
        <v>0</v>
      </c>
      <c r="AE21" s="820"/>
      <c r="AF21" s="5"/>
      <c r="AG21" s="5"/>
    </row>
    <row r="22" spans="1:33">
      <c r="A22" s="5"/>
      <c r="B22" s="813"/>
      <c r="C22" s="818" t="s">
        <v>613</v>
      </c>
      <c r="D22" s="818"/>
      <c r="E22" s="818"/>
      <c r="F22" s="62" t="s">
        <v>614</v>
      </c>
      <c r="G22" s="62" t="s">
        <v>228</v>
      </c>
      <c r="H22" s="281">
        <v>1</v>
      </c>
      <c r="I22" s="62">
        <v>1</v>
      </c>
      <c r="J22" s="62">
        <v>1</v>
      </c>
      <c r="K22" s="62">
        <v>1</v>
      </c>
      <c r="L22" s="62">
        <v>1</v>
      </c>
      <c r="M22" s="62">
        <v>1</v>
      </c>
      <c r="N22" s="62">
        <v>1</v>
      </c>
      <c r="O22" s="62">
        <v>1</v>
      </c>
      <c r="P22" s="62">
        <v>1</v>
      </c>
      <c r="Q22" s="62">
        <v>1</v>
      </c>
      <c r="R22" s="841">
        <v>1</v>
      </c>
      <c r="S22" s="842"/>
      <c r="T22" s="827"/>
      <c r="U22" s="62">
        <v>1</v>
      </c>
      <c r="V22" s="62">
        <v>1</v>
      </c>
      <c r="W22" s="62">
        <v>1</v>
      </c>
      <c r="X22" s="282">
        <v>1</v>
      </c>
      <c r="Y22" s="282">
        <v>1</v>
      </c>
      <c r="Z22" s="282">
        <v>1</v>
      </c>
      <c r="AA22" s="282">
        <v>1</v>
      </c>
      <c r="AB22" s="282">
        <v>1</v>
      </c>
      <c r="AC22" s="282">
        <v>1</v>
      </c>
      <c r="AD22" s="62">
        <f>0</f>
        <v>0</v>
      </c>
      <c r="AE22" s="821"/>
      <c r="AF22" s="5"/>
      <c r="AG22" s="5"/>
    </row>
    <row r="23" spans="1:33" ht="16.5" customHeight="1">
      <c r="A23" s="5"/>
      <c r="B23" s="813"/>
      <c r="C23" s="822" t="s">
        <v>615</v>
      </c>
      <c r="D23" s="822"/>
      <c r="E23" s="822"/>
      <c r="F23" s="810" t="s">
        <v>616</v>
      </c>
      <c r="G23" s="810" t="s">
        <v>606</v>
      </c>
      <c r="H23" s="810">
        <f xml:space="preserve"> 2*H11*H20*H21*H22</f>
        <v>0</v>
      </c>
      <c r="I23" s="810">
        <f xml:space="preserve"> 2*I11*H20*I21*I22</f>
        <v>4.9356000000000009</v>
      </c>
      <c r="J23" s="810">
        <f xml:space="preserve"> 2*J11*H20*J21*J22</f>
        <v>0</v>
      </c>
      <c r="K23" s="810">
        <f xml:space="preserve"> 2*K11*H20*K21*K22</f>
        <v>5.9375999999999998</v>
      </c>
      <c r="L23" s="810">
        <f xml:space="preserve"> 2*L11*H20*L21*L22</f>
        <v>3.8922000000000003</v>
      </c>
      <c r="M23" s="810">
        <f xml:space="preserve"> 2*M11*H20*M21*M22</f>
        <v>7.83216</v>
      </c>
      <c r="N23" s="810">
        <f xml:space="preserve"> 2*N11*H20*N21*N22</f>
        <v>7.83216</v>
      </c>
      <c r="O23" s="810">
        <f xml:space="preserve"> 2*O11*H20*O21*O22</f>
        <v>14.3856</v>
      </c>
      <c r="P23" s="810">
        <f xml:space="preserve"> 2*P11*H20*P21*P22</f>
        <v>0</v>
      </c>
      <c r="Q23" s="810">
        <f xml:space="preserve"> 2*Q11*H20*Q21*Q22</f>
        <v>0</v>
      </c>
      <c r="R23" s="835">
        <f xml:space="preserve"> 2*R11*H20*R21*R22</f>
        <v>3.93282</v>
      </c>
      <c r="S23" s="836"/>
      <c r="T23" s="837"/>
      <c r="U23" s="810">
        <f xml:space="preserve"> 2*U11*H20*U21*U22</f>
        <v>0</v>
      </c>
      <c r="V23" s="810">
        <f xml:space="preserve"> 2*V11*H20*V21*V22</f>
        <v>6.4843200000000003</v>
      </c>
      <c r="W23" s="810">
        <f xml:space="preserve"> 2*W11*H20*W21*W22</f>
        <v>0</v>
      </c>
      <c r="X23" s="811">
        <f xml:space="preserve"> 2*X11*H20*X21*X22</f>
        <v>0</v>
      </c>
      <c r="Y23" s="811">
        <f t="shared" ref="Y23:AD23" si="2" xml:space="preserve"> 2*Y11*H20*Y21*Y22</f>
        <v>0</v>
      </c>
      <c r="Z23" s="811">
        <f t="shared" si="2"/>
        <v>0</v>
      </c>
      <c r="AA23" s="811">
        <f t="shared" si="2"/>
        <v>0</v>
      </c>
      <c r="AB23" s="811">
        <f t="shared" si="2"/>
        <v>0</v>
      </c>
      <c r="AC23" s="811">
        <f t="shared" si="2"/>
        <v>0</v>
      </c>
      <c r="AD23" s="811">
        <f t="shared" si="2"/>
        <v>0</v>
      </c>
      <c r="AE23" s="827">
        <f>SUM(H23:AC24)</f>
        <v>55.232460000000003</v>
      </c>
      <c r="AF23" s="5"/>
      <c r="AG23" s="5"/>
    </row>
    <row r="24" spans="1:33" ht="10.5" customHeight="1">
      <c r="A24" s="5"/>
      <c r="B24" s="813"/>
      <c r="C24" s="822"/>
      <c r="D24" s="822"/>
      <c r="E24" s="822"/>
      <c r="F24" s="810"/>
      <c r="G24" s="810"/>
      <c r="H24" s="810"/>
      <c r="I24" s="810"/>
      <c r="J24" s="810"/>
      <c r="K24" s="810"/>
      <c r="L24" s="810"/>
      <c r="M24" s="810"/>
      <c r="N24" s="810"/>
      <c r="O24" s="810"/>
      <c r="P24" s="810"/>
      <c r="Q24" s="810"/>
      <c r="R24" s="838"/>
      <c r="S24" s="839"/>
      <c r="T24" s="840"/>
      <c r="U24" s="810"/>
      <c r="V24" s="810"/>
      <c r="W24" s="810"/>
      <c r="X24" s="830"/>
      <c r="Y24" s="830"/>
      <c r="Z24" s="830"/>
      <c r="AA24" s="830"/>
      <c r="AB24" s="830"/>
      <c r="AC24" s="830"/>
      <c r="AD24" s="843"/>
      <c r="AE24" s="827"/>
      <c r="AF24" s="5"/>
      <c r="AG24" s="5"/>
    </row>
    <row r="25" spans="1:33" ht="18" customHeight="1">
      <c r="A25" s="5"/>
      <c r="B25" s="828" t="s">
        <v>617</v>
      </c>
      <c r="C25" s="823" t="s">
        <v>618</v>
      </c>
      <c r="D25" s="823"/>
      <c r="E25" s="823"/>
      <c r="F25" s="829" t="s">
        <v>619</v>
      </c>
      <c r="G25" s="815" t="s">
        <v>606</v>
      </c>
      <c r="H25" s="811">
        <f>MAX(H23,H17)</f>
        <v>54.648000000000003</v>
      </c>
      <c r="I25" s="811">
        <f t="shared" ref="I25:W25" si="3">MAX(I23,I17)</f>
        <v>82.26</v>
      </c>
      <c r="J25" s="811">
        <f t="shared" si="3"/>
        <v>0</v>
      </c>
      <c r="K25" s="811">
        <f t="shared" si="3"/>
        <v>98.96</v>
      </c>
      <c r="L25" s="811">
        <f t="shared" si="3"/>
        <v>64.87</v>
      </c>
      <c r="M25" s="811">
        <f t="shared" si="3"/>
        <v>65.268000000000001</v>
      </c>
      <c r="N25" s="811">
        <f>MAX(N23,N17)</f>
        <v>65.268000000000001</v>
      </c>
      <c r="O25" s="811">
        <f>MAX(O23,O17)</f>
        <v>239.76</v>
      </c>
      <c r="P25" s="811">
        <f>MAX(P23,P17)</f>
        <v>82.44</v>
      </c>
      <c r="Q25" s="811">
        <f t="shared" si="3"/>
        <v>13.032</v>
      </c>
      <c r="R25" s="835">
        <f t="shared" si="3"/>
        <v>32.773499999999999</v>
      </c>
      <c r="S25" s="836"/>
      <c r="T25" s="837"/>
      <c r="U25" s="811">
        <f t="shared" si="3"/>
        <v>38.178000000000004</v>
      </c>
      <c r="V25" s="811">
        <f t="shared" si="3"/>
        <v>108.072</v>
      </c>
      <c r="W25" s="811">
        <f t="shared" si="3"/>
        <v>378.86399999999998</v>
      </c>
      <c r="X25" s="811">
        <f t="shared" ref="X25:AD25" si="4">MAX(X23,X17)</f>
        <v>99.576000000000008</v>
      </c>
      <c r="Y25" s="811">
        <f t="shared" si="4"/>
        <v>25.542000000000002</v>
      </c>
      <c r="Z25" s="811">
        <f t="shared" si="4"/>
        <v>23.598000000000003</v>
      </c>
      <c r="AA25" s="811">
        <f t="shared" si="4"/>
        <v>93.96</v>
      </c>
      <c r="AB25" s="811">
        <f t="shared" si="4"/>
        <v>66.257999999999996</v>
      </c>
      <c r="AC25" s="811">
        <f t="shared" si="4"/>
        <v>0</v>
      </c>
      <c r="AD25" s="811">
        <f t="shared" si="4"/>
        <v>0</v>
      </c>
      <c r="AE25" s="819"/>
      <c r="AF25" s="5"/>
      <c r="AG25" s="5"/>
    </row>
    <row r="26" spans="1:33">
      <c r="A26" s="5"/>
      <c r="B26" s="828"/>
      <c r="C26" s="823"/>
      <c r="D26" s="823"/>
      <c r="E26" s="823"/>
      <c r="F26" s="830"/>
      <c r="G26" s="831"/>
      <c r="H26" s="830"/>
      <c r="I26" s="830"/>
      <c r="J26" s="830"/>
      <c r="K26" s="830"/>
      <c r="L26" s="830"/>
      <c r="M26" s="830"/>
      <c r="N26" s="830"/>
      <c r="O26" s="830"/>
      <c r="P26" s="830"/>
      <c r="Q26" s="830"/>
      <c r="R26" s="838"/>
      <c r="S26" s="839"/>
      <c r="T26" s="840"/>
      <c r="U26" s="830"/>
      <c r="V26" s="830"/>
      <c r="W26" s="830"/>
      <c r="X26" s="830"/>
      <c r="Y26" s="830"/>
      <c r="Z26" s="830"/>
      <c r="AA26" s="830"/>
      <c r="AB26" s="830"/>
      <c r="AC26" s="830"/>
      <c r="AD26" s="830"/>
      <c r="AE26" s="820"/>
      <c r="AF26" s="5"/>
      <c r="AG26" s="5"/>
    </row>
    <row r="27" spans="1:33" ht="34.5" customHeight="1">
      <c r="A27" s="5"/>
      <c r="B27" s="828"/>
      <c r="C27" s="832" t="s">
        <v>620</v>
      </c>
      <c r="D27" s="833"/>
      <c r="E27" s="834"/>
      <c r="F27" s="277" t="s">
        <v>621</v>
      </c>
      <c r="G27" s="62" t="s">
        <v>229</v>
      </c>
      <c r="H27" s="62">
        <f>0.34*H25</f>
        <v>18.580320000000004</v>
      </c>
      <c r="I27" s="62">
        <f>0.34*I25</f>
        <v>27.968400000000003</v>
      </c>
      <c r="J27" s="62">
        <f t="shared" ref="J27:W27" si="5">0.34*J25</f>
        <v>0</v>
      </c>
      <c r="K27" s="62">
        <f t="shared" si="5"/>
        <v>33.6464</v>
      </c>
      <c r="L27" s="62">
        <f t="shared" si="5"/>
        <v>22.055800000000001</v>
      </c>
      <c r="M27" s="62">
        <f t="shared" si="5"/>
        <v>22.191120000000002</v>
      </c>
      <c r="N27" s="62">
        <f>0.34*N25</f>
        <v>22.191120000000002</v>
      </c>
      <c r="O27" s="62">
        <f>0.34*O25</f>
        <v>81.5184</v>
      </c>
      <c r="P27" s="62">
        <f>0.34*P25</f>
        <v>28.029600000000002</v>
      </c>
      <c r="Q27" s="62">
        <f t="shared" si="5"/>
        <v>4.4308800000000002</v>
      </c>
      <c r="R27" s="841">
        <f t="shared" si="5"/>
        <v>11.142990000000001</v>
      </c>
      <c r="S27" s="842"/>
      <c r="T27" s="827"/>
      <c r="U27" s="62">
        <f>0.34*U25</f>
        <v>12.980520000000002</v>
      </c>
      <c r="V27" s="62">
        <f>0.34*V25</f>
        <v>36.744480000000003</v>
      </c>
      <c r="W27" s="62">
        <f t="shared" si="5"/>
        <v>128.81376</v>
      </c>
      <c r="X27" s="282">
        <f t="shared" ref="X27:AD27" si="6">0.34*X25</f>
        <v>33.855840000000008</v>
      </c>
      <c r="Y27" s="282">
        <f t="shared" si="6"/>
        <v>8.6842800000000011</v>
      </c>
      <c r="Z27" s="282">
        <f t="shared" si="6"/>
        <v>8.0233200000000018</v>
      </c>
      <c r="AA27" s="282">
        <f t="shared" si="6"/>
        <v>31.946400000000001</v>
      </c>
      <c r="AB27" s="282">
        <f t="shared" si="6"/>
        <v>22.527719999999999</v>
      </c>
      <c r="AC27" s="282">
        <f t="shared" si="6"/>
        <v>0</v>
      </c>
      <c r="AD27" s="282">
        <f t="shared" si="6"/>
        <v>0</v>
      </c>
      <c r="AE27" s="820"/>
      <c r="AF27" s="5"/>
      <c r="AG27" s="5"/>
    </row>
    <row r="28" spans="1:33" ht="41.25" customHeight="1">
      <c r="A28" s="5"/>
      <c r="B28" s="828"/>
      <c r="C28" s="823" t="s">
        <v>622</v>
      </c>
      <c r="D28" s="823"/>
      <c r="E28" s="823"/>
      <c r="F28" s="62" t="s">
        <v>172</v>
      </c>
      <c r="G28" s="62" t="s">
        <v>623</v>
      </c>
      <c r="H28" s="62">
        <f>H27*H14</f>
        <v>445.92768000000012</v>
      </c>
      <c r="I28" s="62">
        <f t="shared" ref="I28:Y28" si="7">I27*I14</f>
        <v>783.11520000000007</v>
      </c>
      <c r="J28" s="62">
        <f t="shared" si="7"/>
        <v>0</v>
      </c>
      <c r="K28" s="62">
        <f t="shared" si="7"/>
        <v>807.5136</v>
      </c>
      <c r="L28" s="62">
        <f t="shared" si="7"/>
        <v>661.67400000000009</v>
      </c>
      <c r="M28" s="62">
        <f t="shared" si="7"/>
        <v>532.58688000000006</v>
      </c>
      <c r="N28" s="62">
        <f>N27*N14</f>
        <v>665.73360000000002</v>
      </c>
      <c r="O28" s="62">
        <f>O27*O14</f>
        <v>2282.5151999999998</v>
      </c>
      <c r="P28" s="62">
        <f>P27*P14</f>
        <v>728.76960000000008</v>
      </c>
      <c r="Q28" s="62">
        <f t="shared" si="7"/>
        <v>115.20288000000001</v>
      </c>
      <c r="R28" s="841">
        <f t="shared" si="7"/>
        <v>289.71774000000005</v>
      </c>
      <c r="S28" s="842"/>
      <c r="T28" s="827"/>
      <c r="U28" s="62">
        <f>U27*U14</f>
        <v>337.49352000000005</v>
      </c>
      <c r="V28" s="62">
        <f>V27*V14</f>
        <v>1102.3344000000002</v>
      </c>
      <c r="W28" s="62">
        <f t="shared" si="7"/>
        <v>3606.7852800000001</v>
      </c>
      <c r="X28" s="62">
        <f t="shared" si="7"/>
        <v>812.54016000000024</v>
      </c>
      <c r="Y28" s="282">
        <f t="shared" si="7"/>
        <v>208.42272000000003</v>
      </c>
      <c r="Z28" s="282">
        <f>Z27*Z14</f>
        <v>192.55968000000004</v>
      </c>
      <c r="AA28" s="282">
        <f>AA27*AA14</f>
        <v>766.71360000000004</v>
      </c>
      <c r="AB28" s="282">
        <f>AB27*AB14</f>
        <v>540.66527999999994</v>
      </c>
      <c r="AC28" s="282">
        <f>AC27*AC14</f>
        <v>0</v>
      </c>
      <c r="AD28" s="282">
        <f>AD27*AD14</f>
        <v>0</v>
      </c>
      <c r="AE28" s="484">
        <f>SUM(H28:AC28)</f>
        <v>14880.271020000002</v>
      </c>
      <c r="AF28" s="5"/>
      <c r="AG28" s="5"/>
    </row>
    <row r="29" spans="1:33">
      <c r="A29" s="5"/>
      <c r="B29" s="5"/>
      <c r="C29" s="5"/>
      <c r="D29" s="5"/>
      <c r="E29" s="5"/>
      <c r="F29" s="5"/>
      <c r="G29" s="5"/>
      <c r="H29" s="5"/>
      <c r="I29" s="5"/>
      <c r="J29" s="5"/>
      <c r="K29" s="5"/>
      <c r="L29" s="5"/>
      <c r="N29" s="5"/>
      <c r="O29" s="5"/>
      <c r="P29" s="5"/>
      <c r="Q29" s="5"/>
      <c r="R29" s="5"/>
      <c r="S29" s="5"/>
      <c r="T29" s="5"/>
      <c r="U29" s="5"/>
      <c r="V29" s="5"/>
      <c r="W29" s="5"/>
      <c r="X29" s="5"/>
      <c r="Y29" s="5"/>
      <c r="Z29" s="5"/>
      <c r="AA29" s="5"/>
      <c r="AB29" s="5"/>
      <c r="AC29" s="5"/>
      <c r="AD29" s="5"/>
      <c r="AE29" s="5"/>
      <c r="AF29" s="5"/>
      <c r="AG29" s="5"/>
    </row>
    <row r="30" spans="1:33">
      <c r="A30" s="5"/>
      <c r="B30" s="5"/>
      <c r="C30" s="5"/>
      <c r="D30" s="5"/>
      <c r="E30" s="5"/>
      <c r="F30" s="5"/>
      <c r="G30" s="5"/>
      <c r="H30" s="5"/>
      <c r="I30" s="5"/>
      <c r="J30" s="5"/>
      <c r="K30" s="5"/>
      <c r="L30" s="5"/>
      <c r="N30" s="5"/>
      <c r="O30" s="5"/>
      <c r="P30" s="5"/>
      <c r="Q30" s="5"/>
      <c r="R30" s="5"/>
      <c r="S30" s="5"/>
      <c r="T30" s="5"/>
      <c r="U30" s="5"/>
      <c r="V30" s="5"/>
      <c r="W30" s="5"/>
      <c r="X30" s="5"/>
      <c r="Y30" s="5"/>
      <c r="Z30" s="5"/>
      <c r="AA30" s="5"/>
      <c r="AB30" s="5"/>
      <c r="AC30" s="5"/>
      <c r="AD30" s="5"/>
      <c r="AE30" s="5"/>
      <c r="AF30" s="5"/>
      <c r="AG30" s="5"/>
    </row>
    <row r="31" spans="1:33">
      <c r="A31" s="5"/>
      <c r="B31" s="5"/>
      <c r="C31" s="5"/>
      <c r="D31" s="5"/>
      <c r="E31" s="5"/>
      <c r="F31" s="5"/>
      <c r="G31" s="5"/>
      <c r="H31" s="5"/>
      <c r="I31" s="5"/>
      <c r="J31" s="5"/>
      <c r="K31" s="5"/>
      <c r="L31" s="5"/>
      <c r="N31" s="5"/>
      <c r="O31" s="5"/>
      <c r="P31" s="5"/>
      <c r="Q31" s="5"/>
      <c r="R31" s="5"/>
      <c r="S31" s="5"/>
      <c r="T31" s="5"/>
      <c r="U31" s="5"/>
      <c r="V31" s="5"/>
      <c r="W31" s="5"/>
      <c r="X31" s="5"/>
      <c r="Y31" s="5"/>
      <c r="Z31" s="5"/>
      <c r="AA31" s="5"/>
      <c r="AB31" s="5"/>
      <c r="AC31" s="5"/>
      <c r="AD31" s="5"/>
      <c r="AE31" s="5"/>
      <c r="AF31" s="5"/>
      <c r="AG31" s="5"/>
    </row>
    <row r="32" spans="1:33">
      <c r="A32" s="5"/>
      <c r="B32" s="5"/>
      <c r="C32" s="5"/>
      <c r="D32" s="5"/>
      <c r="E32" s="5"/>
      <c r="F32" s="5"/>
      <c r="G32" s="5"/>
      <c r="H32" s="5"/>
      <c r="I32" s="5"/>
      <c r="J32" s="5"/>
      <c r="K32" s="5"/>
      <c r="L32" s="5"/>
      <c r="M32" s="233"/>
      <c r="N32" s="5"/>
      <c r="O32" s="5"/>
      <c r="P32" s="5"/>
      <c r="Q32" s="5"/>
      <c r="R32" s="5"/>
      <c r="S32" s="5"/>
      <c r="T32" s="5"/>
      <c r="U32" s="5"/>
      <c r="V32" s="5"/>
      <c r="W32" s="5"/>
      <c r="X32" s="5"/>
      <c r="Y32" s="5"/>
      <c r="Z32" s="5"/>
      <c r="AA32" s="5"/>
      <c r="AB32" s="5"/>
      <c r="AC32" s="5"/>
      <c r="AD32" s="5"/>
      <c r="AE32" s="5"/>
      <c r="AF32" s="5"/>
      <c r="AG32" s="5"/>
    </row>
    <row r="33" spans="1:33">
      <c r="A33" s="5"/>
      <c r="B33" s="5"/>
      <c r="C33" s="5"/>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c r="AG33" s="5"/>
    </row>
    <row r="34" spans="1:33">
      <c r="A34" s="5"/>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c r="AG34" s="5"/>
    </row>
    <row r="35" spans="1:33">
      <c r="A35" s="5"/>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c r="AG35" s="5"/>
    </row>
    <row r="36" spans="1:33">
      <c r="A36" s="5"/>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c r="AG36" s="5"/>
    </row>
    <row r="99" spans="1:30">
      <c r="A99" s="850" t="s">
        <v>570</v>
      </c>
      <c r="B99" s="851"/>
      <c r="C99" s="851"/>
      <c r="D99" s="851"/>
      <c r="E99" s="851"/>
      <c r="F99" s="852"/>
      <c r="G99" s="804" t="s">
        <v>624</v>
      </c>
      <c r="H99" s="804" t="s">
        <v>625</v>
      </c>
      <c r="I99" s="804" t="s">
        <v>626</v>
      </c>
      <c r="J99" s="804" t="s">
        <v>455</v>
      </c>
      <c r="K99" s="804" t="s">
        <v>627</v>
      </c>
      <c r="L99" s="804" t="s">
        <v>628</v>
      </c>
      <c r="M99" s="804" t="s">
        <v>372</v>
      </c>
      <c r="N99" s="804" t="s">
        <v>629</v>
      </c>
      <c r="O99" s="804" t="s">
        <v>458</v>
      </c>
      <c r="P99" s="804" t="s">
        <v>370</v>
      </c>
      <c r="Q99" s="804" t="s">
        <v>630</v>
      </c>
      <c r="R99" s="804" t="s">
        <v>631</v>
      </c>
      <c r="S99" s="804" t="s">
        <v>632</v>
      </c>
      <c r="T99" s="804" t="s">
        <v>633</v>
      </c>
      <c r="U99" s="804" t="s">
        <v>457</v>
      </c>
      <c r="V99" s="804" t="s">
        <v>634</v>
      </c>
      <c r="W99" s="804" t="s">
        <v>635</v>
      </c>
      <c r="X99" s="293"/>
      <c r="Y99" s="804" t="s">
        <v>456</v>
      </c>
      <c r="Z99" s="804" t="s">
        <v>636</v>
      </c>
      <c r="AA99" s="804" t="s">
        <v>637</v>
      </c>
      <c r="AB99" s="804" t="s">
        <v>638</v>
      </c>
      <c r="AC99" s="824" t="s">
        <v>71</v>
      </c>
      <c r="AD99" s="520"/>
    </row>
    <row r="100" spans="1:30">
      <c r="A100" s="853"/>
      <c r="B100" s="854"/>
      <c r="C100" s="854"/>
      <c r="D100" s="854"/>
      <c r="E100" s="854"/>
      <c r="F100" s="855"/>
      <c r="G100" s="805"/>
      <c r="H100" s="805"/>
      <c r="I100" s="805"/>
      <c r="J100" s="805"/>
      <c r="K100" s="805"/>
      <c r="L100" s="805"/>
      <c r="M100" s="805"/>
      <c r="N100" s="805"/>
      <c r="O100" s="805"/>
      <c r="P100" s="805"/>
      <c r="Q100" s="805"/>
      <c r="R100" s="805"/>
      <c r="S100" s="805"/>
      <c r="T100" s="805"/>
      <c r="U100" s="805"/>
      <c r="V100" s="805"/>
      <c r="W100" s="805"/>
      <c r="X100" s="294"/>
      <c r="Y100" s="805"/>
      <c r="Z100" s="805"/>
      <c r="AA100" s="805"/>
      <c r="AB100" s="805"/>
      <c r="AC100" s="825"/>
      <c r="AD100" s="520"/>
    </row>
    <row r="101" spans="1:30">
      <c r="A101" s="853"/>
      <c r="B101" s="854"/>
      <c r="C101" s="854"/>
      <c r="D101" s="854"/>
      <c r="E101" s="854"/>
      <c r="F101" s="855"/>
      <c r="G101" s="805"/>
      <c r="H101" s="805"/>
      <c r="I101" s="805"/>
      <c r="J101" s="805"/>
      <c r="K101" s="805"/>
      <c r="L101" s="805"/>
      <c r="M101" s="805"/>
      <c r="N101" s="805"/>
      <c r="O101" s="805"/>
      <c r="P101" s="805"/>
      <c r="Q101" s="805"/>
      <c r="R101" s="805"/>
      <c r="S101" s="805"/>
      <c r="T101" s="805"/>
      <c r="U101" s="805"/>
      <c r="V101" s="805"/>
      <c r="W101" s="805"/>
      <c r="X101" s="294"/>
      <c r="Y101" s="805"/>
      <c r="Z101" s="805"/>
      <c r="AA101" s="805"/>
      <c r="AB101" s="805"/>
      <c r="AC101" s="825"/>
      <c r="AD101" s="520"/>
    </row>
    <row r="102" spans="1:30">
      <c r="A102" s="853"/>
      <c r="B102" s="854"/>
      <c r="C102" s="854"/>
      <c r="D102" s="854"/>
      <c r="E102" s="854"/>
      <c r="F102" s="855"/>
      <c r="G102" s="805"/>
      <c r="H102" s="805"/>
      <c r="I102" s="805"/>
      <c r="J102" s="805"/>
      <c r="K102" s="805"/>
      <c r="L102" s="805"/>
      <c r="M102" s="805"/>
      <c r="N102" s="805"/>
      <c r="O102" s="805"/>
      <c r="P102" s="805"/>
      <c r="Q102" s="805"/>
      <c r="R102" s="805"/>
      <c r="S102" s="805"/>
      <c r="T102" s="805"/>
      <c r="U102" s="805"/>
      <c r="V102" s="805"/>
      <c r="W102" s="805"/>
      <c r="X102" s="294"/>
      <c r="Y102" s="805"/>
      <c r="Z102" s="805"/>
      <c r="AA102" s="805"/>
      <c r="AB102" s="805"/>
      <c r="AC102" s="825"/>
      <c r="AD102" s="520"/>
    </row>
    <row r="103" spans="1:30">
      <c r="A103" s="853"/>
      <c r="B103" s="854"/>
      <c r="C103" s="854"/>
      <c r="D103" s="854"/>
      <c r="E103" s="854"/>
      <c r="F103" s="855"/>
      <c r="G103" s="805"/>
      <c r="H103" s="805"/>
      <c r="I103" s="805"/>
      <c r="J103" s="805"/>
      <c r="K103" s="805"/>
      <c r="L103" s="805"/>
      <c r="M103" s="805"/>
      <c r="N103" s="805"/>
      <c r="O103" s="805"/>
      <c r="P103" s="805"/>
      <c r="Q103" s="805"/>
      <c r="R103" s="805"/>
      <c r="S103" s="805"/>
      <c r="T103" s="805"/>
      <c r="U103" s="805"/>
      <c r="V103" s="805"/>
      <c r="W103" s="805"/>
      <c r="X103" s="294"/>
      <c r="Y103" s="805"/>
      <c r="Z103" s="805"/>
      <c r="AA103" s="805"/>
      <c r="AB103" s="805"/>
      <c r="AC103" s="825"/>
      <c r="AD103" s="520"/>
    </row>
    <row r="104" spans="1:30">
      <c r="A104" s="853"/>
      <c r="B104" s="854"/>
      <c r="C104" s="854"/>
      <c r="D104" s="854"/>
      <c r="E104" s="854"/>
      <c r="F104" s="855"/>
      <c r="G104" s="805"/>
      <c r="H104" s="805"/>
      <c r="I104" s="805"/>
      <c r="J104" s="805"/>
      <c r="K104" s="805"/>
      <c r="L104" s="805"/>
      <c r="M104" s="805"/>
      <c r="N104" s="805"/>
      <c r="O104" s="805"/>
      <c r="P104" s="805"/>
      <c r="Q104" s="805"/>
      <c r="R104" s="805"/>
      <c r="S104" s="805"/>
      <c r="T104" s="805"/>
      <c r="U104" s="805"/>
      <c r="V104" s="805"/>
      <c r="W104" s="805"/>
      <c r="X104" s="294"/>
      <c r="Y104" s="805"/>
      <c r="Z104" s="805"/>
      <c r="AA104" s="805"/>
      <c r="AB104" s="805"/>
      <c r="AC104" s="825"/>
      <c r="AD104" s="520"/>
    </row>
    <row r="105" spans="1:30">
      <c r="A105" s="853"/>
      <c r="B105" s="854"/>
      <c r="C105" s="854"/>
      <c r="D105" s="854"/>
      <c r="E105" s="854"/>
      <c r="F105" s="855"/>
      <c r="G105" s="805"/>
      <c r="H105" s="805"/>
      <c r="I105" s="805"/>
      <c r="J105" s="805"/>
      <c r="K105" s="805"/>
      <c r="L105" s="805"/>
      <c r="M105" s="805"/>
      <c r="N105" s="805"/>
      <c r="O105" s="805"/>
      <c r="P105" s="805"/>
      <c r="Q105" s="805"/>
      <c r="R105" s="805"/>
      <c r="S105" s="805"/>
      <c r="T105" s="805"/>
      <c r="U105" s="805"/>
      <c r="V105" s="805"/>
      <c r="W105" s="805"/>
      <c r="X105" s="294"/>
      <c r="Y105" s="805"/>
      <c r="Z105" s="805"/>
      <c r="AA105" s="805"/>
      <c r="AB105" s="805"/>
      <c r="AC105" s="825"/>
      <c r="AD105" s="520"/>
    </row>
    <row r="106" spans="1:30">
      <c r="A106" s="856"/>
      <c r="B106" s="857"/>
      <c r="C106" s="857"/>
      <c r="D106" s="857"/>
      <c r="E106" s="857"/>
      <c r="F106" s="858"/>
      <c r="G106" s="806"/>
      <c r="H106" s="806"/>
      <c r="I106" s="806"/>
      <c r="J106" s="806"/>
      <c r="K106" s="806"/>
      <c r="L106" s="806"/>
      <c r="M106" s="806"/>
      <c r="N106" s="806"/>
      <c r="O106" s="806"/>
      <c r="P106" s="806"/>
      <c r="Q106" s="806"/>
      <c r="R106" s="806"/>
      <c r="S106" s="806"/>
      <c r="T106" s="806"/>
      <c r="U106" s="806"/>
      <c r="V106" s="806"/>
      <c r="W106" s="806"/>
      <c r="X106" s="295"/>
      <c r="Y106" s="806"/>
      <c r="Z106" s="806"/>
      <c r="AA106" s="806"/>
      <c r="AB106" s="806"/>
      <c r="AC106" s="826"/>
      <c r="AD106" s="520"/>
    </row>
    <row r="107" spans="1:30" ht="20.25">
      <c r="A107" s="844" t="s">
        <v>594</v>
      </c>
      <c r="B107" s="845"/>
      <c r="C107" s="845"/>
      <c r="D107" s="846"/>
      <c r="E107" s="6" t="s">
        <v>595</v>
      </c>
      <c r="F107" s="6" t="s">
        <v>596</v>
      </c>
      <c r="G107" s="7">
        <f>Données!G126</f>
        <v>0</v>
      </c>
      <c r="H107" s="7">
        <f>Données!G143</f>
        <v>0</v>
      </c>
      <c r="I107" s="7">
        <f>Données!G127</f>
        <v>0</v>
      </c>
      <c r="J107" s="7">
        <f>Données!G144</f>
        <v>0</v>
      </c>
      <c r="K107" s="7">
        <f>Données!G128</f>
        <v>0</v>
      </c>
      <c r="L107" s="7">
        <f>Données!G145</f>
        <v>0</v>
      </c>
      <c r="M107" s="7">
        <f>Données!G129</f>
        <v>0</v>
      </c>
      <c r="N107" s="7">
        <f>Données!G146</f>
        <v>0</v>
      </c>
      <c r="O107" s="7">
        <f>Données!G147</f>
        <v>0</v>
      </c>
      <c r="P107" s="7">
        <f>Données!G148</f>
        <v>0</v>
      </c>
      <c r="Q107" s="7">
        <f>Données!G130</f>
        <v>0</v>
      </c>
      <c r="R107" s="7">
        <f>Données!G131</f>
        <v>0</v>
      </c>
      <c r="S107" s="7">
        <f>Données!G132</f>
        <v>0</v>
      </c>
      <c r="T107" s="7">
        <f>Données!G133</f>
        <v>0</v>
      </c>
      <c r="U107" s="7">
        <f>Données!G149</f>
        <v>0</v>
      </c>
      <c r="V107" s="7">
        <f>Données!G134</f>
        <v>0</v>
      </c>
      <c r="W107" s="847">
        <f>Données!G150</f>
        <v>0</v>
      </c>
      <c r="X107" s="848"/>
      <c r="Y107" s="848"/>
      <c r="Z107" s="848"/>
      <c r="AA107" s="848"/>
      <c r="AB107" s="849"/>
      <c r="AC107" s="1">
        <f>SUM(G107:AB107)</f>
        <v>0</v>
      </c>
    </row>
    <row r="108" spans="1:30" ht="19.5">
      <c r="A108" s="862" t="s">
        <v>597</v>
      </c>
      <c r="B108" s="863"/>
      <c r="C108" s="863"/>
      <c r="D108" s="864"/>
      <c r="E108" s="2" t="s">
        <v>261</v>
      </c>
      <c r="F108" s="2" t="s">
        <v>262</v>
      </c>
      <c r="G108" s="865">
        <f>Données!F115</f>
        <v>0</v>
      </c>
      <c r="H108" s="866"/>
      <c r="I108" s="866"/>
      <c r="J108" s="866"/>
      <c r="K108" s="866"/>
      <c r="L108" s="866"/>
      <c r="M108" s="866"/>
      <c r="N108" s="866"/>
      <c r="O108" s="866"/>
      <c r="P108" s="866"/>
      <c r="Q108" s="866"/>
      <c r="R108" s="866"/>
      <c r="S108" s="866"/>
      <c r="T108" s="866"/>
      <c r="U108" s="866"/>
      <c r="V108" s="866"/>
      <c r="W108" s="866"/>
      <c r="X108" s="866"/>
      <c r="Y108" s="866"/>
      <c r="Z108" s="866"/>
      <c r="AA108" s="866"/>
      <c r="AB108" s="867"/>
      <c r="AC108" s="859"/>
      <c r="AD108" s="521"/>
    </row>
    <row r="109" spans="1:30" ht="19.5">
      <c r="A109" s="862" t="s">
        <v>598</v>
      </c>
      <c r="B109" s="863"/>
      <c r="C109" s="863"/>
      <c r="D109" s="864"/>
      <c r="E109" s="2" t="s">
        <v>265</v>
      </c>
      <c r="F109" s="2" t="s">
        <v>262</v>
      </c>
      <c r="G109" s="1">
        <f>Données!D126</f>
        <v>0</v>
      </c>
      <c r="H109" s="1">
        <f>Données!F143</f>
        <v>0</v>
      </c>
      <c r="I109" s="1">
        <f>Données!D127</f>
        <v>0</v>
      </c>
      <c r="J109" s="1">
        <f>Données!F144</f>
        <v>0</v>
      </c>
      <c r="K109" s="1">
        <f>Données!D128</f>
        <v>0</v>
      </c>
      <c r="L109" s="1">
        <f>Données!F145</f>
        <v>0</v>
      </c>
      <c r="M109" s="1">
        <f>Données!D129</f>
        <v>0</v>
      </c>
      <c r="N109" s="1">
        <f>Données!F146</f>
        <v>0</v>
      </c>
      <c r="O109" s="1">
        <f>Données!F147</f>
        <v>0</v>
      </c>
      <c r="P109" s="1">
        <f>Données!F148</f>
        <v>0</v>
      </c>
      <c r="Q109" s="1">
        <f>Données!D130</f>
        <v>0</v>
      </c>
      <c r="R109" s="1">
        <f>Données!D131</f>
        <v>0</v>
      </c>
      <c r="S109" s="1">
        <f>Données!D132</f>
        <v>0</v>
      </c>
      <c r="T109" s="1">
        <f>Données!D133</f>
        <v>0</v>
      </c>
      <c r="U109" s="1">
        <f>Données!F149</f>
        <v>0</v>
      </c>
      <c r="V109" s="1">
        <f>Données!D134</f>
        <v>0</v>
      </c>
      <c r="W109" s="865">
        <f>Données!F150</f>
        <v>0</v>
      </c>
      <c r="X109" s="866"/>
      <c r="Y109" s="866"/>
      <c r="Z109" s="866"/>
      <c r="AA109" s="866"/>
      <c r="AB109" s="867"/>
      <c r="AC109" s="860"/>
      <c r="AD109" s="521"/>
    </row>
    <row r="110" spans="1:30" ht="19.5">
      <c r="A110" s="862" t="s">
        <v>599</v>
      </c>
      <c r="B110" s="863"/>
      <c r="C110" s="863"/>
      <c r="D110" s="864"/>
      <c r="E110" s="2" t="s">
        <v>267</v>
      </c>
      <c r="F110" s="2" t="s">
        <v>262</v>
      </c>
      <c r="G110" s="1">
        <f>G109-G108</f>
        <v>0</v>
      </c>
      <c r="H110" s="1">
        <f>H109-G108</f>
        <v>0</v>
      </c>
      <c r="I110" s="1">
        <f>I109-G108</f>
        <v>0</v>
      </c>
      <c r="J110" s="1">
        <f>J109-G108</f>
        <v>0</v>
      </c>
      <c r="K110" s="1">
        <f>K109-G108</f>
        <v>0</v>
      </c>
      <c r="L110" s="1">
        <f>L109-G108</f>
        <v>0</v>
      </c>
      <c r="M110" s="1">
        <f>M109-G108</f>
        <v>0</v>
      </c>
      <c r="N110" s="1">
        <f>N109-G108</f>
        <v>0</v>
      </c>
      <c r="O110" s="1">
        <f>O109-G108</f>
        <v>0</v>
      </c>
      <c r="P110" s="1">
        <f>P109-G108</f>
        <v>0</v>
      </c>
      <c r="Q110" s="1">
        <f>Q109-G108</f>
        <v>0</v>
      </c>
      <c r="R110" s="1">
        <f>R109-G108</f>
        <v>0</v>
      </c>
      <c r="S110" s="1">
        <f>S109-G108</f>
        <v>0</v>
      </c>
      <c r="T110" s="1">
        <f>T109-G108</f>
        <v>0</v>
      </c>
      <c r="U110" s="1">
        <f>U109-G108</f>
        <v>0</v>
      </c>
      <c r="V110" s="1">
        <f>V109-G108</f>
        <v>0</v>
      </c>
      <c r="W110" s="865">
        <f>W109-G108</f>
        <v>0</v>
      </c>
      <c r="X110" s="866"/>
      <c r="Y110" s="866"/>
      <c r="Z110" s="866"/>
      <c r="AA110" s="866"/>
      <c r="AB110" s="867"/>
      <c r="AC110" s="861"/>
      <c r="AD110" s="521"/>
    </row>
    <row r="111" spans="1:30">
      <c r="A111" s="824" t="s">
        <v>607</v>
      </c>
      <c r="B111" s="862" t="s">
        <v>608</v>
      </c>
      <c r="C111" s="863"/>
      <c r="D111" s="864"/>
      <c r="E111" s="2" t="s">
        <v>228</v>
      </c>
      <c r="F111" s="2" t="s">
        <v>228</v>
      </c>
      <c r="G111" s="62">
        <v>0</v>
      </c>
      <c r="H111" s="62">
        <v>0</v>
      </c>
      <c r="I111" s="62">
        <v>1</v>
      </c>
      <c r="J111" s="62">
        <v>0</v>
      </c>
      <c r="K111" s="62">
        <v>1</v>
      </c>
      <c r="L111" s="62">
        <v>0</v>
      </c>
      <c r="M111" s="62">
        <v>0</v>
      </c>
      <c r="N111" s="62">
        <v>0</v>
      </c>
      <c r="O111" s="62">
        <v>0</v>
      </c>
      <c r="P111" s="62">
        <v>0</v>
      </c>
      <c r="Q111" s="62">
        <v>1</v>
      </c>
      <c r="R111" s="62">
        <v>2</v>
      </c>
      <c r="S111" s="62">
        <v>2</v>
      </c>
      <c r="T111" s="62">
        <v>0</v>
      </c>
      <c r="U111" s="62">
        <v>0</v>
      </c>
      <c r="V111" s="62">
        <v>1</v>
      </c>
      <c r="W111" s="841"/>
      <c r="X111" s="842"/>
      <c r="Y111" s="842"/>
      <c r="Z111" s="842"/>
      <c r="AA111" s="842"/>
      <c r="AB111" s="827"/>
      <c r="AC111" s="859"/>
      <c r="AD111" s="521"/>
    </row>
    <row r="112" spans="1:30" ht="19.5">
      <c r="A112" s="825"/>
      <c r="B112" s="832" t="s">
        <v>609</v>
      </c>
      <c r="C112" s="833"/>
      <c r="D112" s="834"/>
      <c r="E112" s="62" t="s">
        <v>610</v>
      </c>
      <c r="F112" s="62" t="s">
        <v>603</v>
      </c>
      <c r="G112" s="841">
        <v>1</v>
      </c>
      <c r="H112" s="842"/>
      <c r="I112" s="842"/>
      <c r="J112" s="842"/>
      <c r="K112" s="842"/>
      <c r="L112" s="842"/>
      <c r="M112" s="842"/>
      <c r="N112" s="842"/>
      <c r="O112" s="842"/>
      <c r="P112" s="842"/>
      <c r="Q112" s="842"/>
      <c r="R112" s="842"/>
      <c r="S112" s="842"/>
      <c r="T112" s="842"/>
      <c r="U112" s="842"/>
      <c r="V112" s="842"/>
      <c r="W112" s="842"/>
      <c r="X112" s="842"/>
      <c r="Y112" s="842"/>
      <c r="Z112" s="842"/>
      <c r="AA112" s="842"/>
      <c r="AB112" s="827"/>
      <c r="AC112" s="860"/>
      <c r="AD112" s="521"/>
    </row>
    <row r="113" spans="1:30">
      <c r="A113" s="825"/>
      <c r="B113" s="862" t="s">
        <v>612</v>
      </c>
      <c r="C113" s="863"/>
      <c r="D113" s="864"/>
      <c r="E113" s="62" t="s">
        <v>357</v>
      </c>
      <c r="F113" s="62" t="s">
        <v>228</v>
      </c>
      <c r="G113" s="281">
        <v>0</v>
      </c>
      <c r="H113" s="62">
        <v>0</v>
      </c>
      <c r="I113" s="292">
        <v>0.01</v>
      </c>
      <c r="J113" s="62">
        <v>0</v>
      </c>
      <c r="K113" s="62">
        <v>0.01</v>
      </c>
      <c r="L113" s="283" t="s">
        <v>639</v>
      </c>
      <c r="M113" s="62">
        <v>0</v>
      </c>
      <c r="N113" s="62"/>
      <c r="O113" s="62"/>
      <c r="P113" s="62"/>
      <c r="Q113" s="62">
        <v>0.01</v>
      </c>
      <c r="R113" s="62">
        <v>0.02</v>
      </c>
      <c r="S113" s="62">
        <v>0.02</v>
      </c>
      <c r="T113" s="62">
        <v>0</v>
      </c>
      <c r="U113" s="62">
        <v>0</v>
      </c>
      <c r="V113" s="62">
        <v>0.01</v>
      </c>
      <c r="W113" s="841"/>
      <c r="X113" s="842"/>
      <c r="Y113" s="842"/>
      <c r="Z113" s="842"/>
      <c r="AA113" s="842"/>
      <c r="AB113" s="827"/>
      <c r="AC113" s="860"/>
      <c r="AD113" s="521"/>
    </row>
    <row r="114" spans="1:30">
      <c r="A114" s="825"/>
      <c r="B114" s="862" t="s">
        <v>613</v>
      </c>
      <c r="C114" s="863"/>
      <c r="D114" s="864"/>
      <c r="E114" s="62" t="s">
        <v>614</v>
      </c>
      <c r="F114" s="62" t="s">
        <v>228</v>
      </c>
      <c r="G114" s="281">
        <v>1</v>
      </c>
      <c r="H114" s="62">
        <v>1</v>
      </c>
      <c r="I114" s="62">
        <v>1</v>
      </c>
      <c r="J114" s="62">
        <v>1</v>
      </c>
      <c r="K114" s="62">
        <v>1</v>
      </c>
      <c r="L114" s="62">
        <v>1</v>
      </c>
      <c r="M114" s="62">
        <v>1</v>
      </c>
      <c r="N114" s="62">
        <v>1</v>
      </c>
      <c r="O114" s="62">
        <v>1</v>
      </c>
      <c r="P114" s="62">
        <v>1</v>
      </c>
      <c r="Q114" s="62">
        <v>1</v>
      </c>
      <c r="R114" s="62">
        <v>1</v>
      </c>
      <c r="S114" s="62">
        <v>1</v>
      </c>
      <c r="T114" s="62">
        <v>1</v>
      </c>
      <c r="U114" s="62">
        <v>1</v>
      </c>
      <c r="V114" s="62">
        <v>1</v>
      </c>
      <c r="W114" s="841">
        <v>1</v>
      </c>
      <c r="X114" s="842"/>
      <c r="Y114" s="842"/>
      <c r="Z114" s="842"/>
      <c r="AA114" s="842"/>
      <c r="AB114" s="827"/>
      <c r="AC114" s="861"/>
      <c r="AD114" s="521"/>
    </row>
    <row r="115" spans="1:30">
      <c r="A115" s="825"/>
      <c r="B115" s="868" t="s">
        <v>615</v>
      </c>
      <c r="C115" s="869"/>
      <c r="D115" s="870"/>
      <c r="E115" s="811" t="s">
        <v>616</v>
      </c>
      <c r="F115" s="811" t="s">
        <v>606</v>
      </c>
      <c r="G115" s="811">
        <f xml:space="preserve"> 2*G107*G112*G113*G114</f>
        <v>0</v>
      </c>
      <c r="H115" s="811">
        <f xml:space="preserve"> 2*H107*G112*H113*H114</f>
        <v>0</v>
      </c>
      <c r="I115" s="811">
        <f xml:space="preserve"> 2*I107*G112*I113*I114</f>
        <v>0</v>
      </c>
      <c r="J115" s="811">
        <f xml:space="preserve"> 2*J107*G112*J113*J114</f>
        <v>0</v>
      </c>
      <c r="K115" s="811">
        <f xml:space="preserve"> 2*K107*G112*K113*K114</f>
        <v>0</v>
      </c>
      <c r="L115" s="811" t="e">
        <f xml:space="preserve"> 2*L107*G112*L113*L114</f>
        <v>#VALUE!</v>
      </c>
      <c r="M115" s="811">
        <f xml:space="preserve"> 2*M107*G112*M113*M114</f>
        <v>0</v>
      </c>
      <c r="N115" s="811">
        <f xml:space="preserve"> 2*N107*G112*N113*N114</f>
        <v>0</v>
      </c>
      <c r="O115" s="811">
        <f xml:space="preserve"> 2*O107*G112*O113*O114</f>
        <v>0</v>
      </c>
      <c r="P115" s="811">
        <f xml:space="preserve"> 2*P107*G112*P113*P114</f>
        <v>0</v>
      </c>
      <c r="Q115" s="811">
        <f xml:space="preserve"> 2*Q107*G112*Q113*Q114</f>
        <v>0</v>
      </c>
      <c r="R115" s="811">
        <f xml:space="preserve"> 2*R107*G112*R113*R114</f>
        <v>0</v>
      </c>
      <c r="S115" s="811">
        <f xml:space="preserve"> 2*S107*G112*S113*S114</f>
        <v>0</v>
      </c>
      <c r="T115" s="811">
        <f xml:space="preserve"> 2*T107*G112*T113*T114</f>
        <v>0</v>
      </c>
      <c r="U115" s="811">
        <f xml:space="preserve"> 2*U107*G112*U113*U114</f>
        <v>0</v>
      </c>
      <c r="V115" s="811">
        <f xml:space="preserve"> 2*V107*G112*V113*V114</f>
        <v>0</v>
      </c>
      <c r="W115" s="835">
        <f xml:space="preserve"> 2*W107*G112*W113*W114</f>
        <v>0</v>
      </c>
      <c r="X115" s="836"/>
      <c r="Y115" s="836"/>
      <c r="Z115" s="836"/>
      <c r="AA115" s="836"/>
      <c r="AB115" s="837"/>
      <c r="AC115" s="811" t="e">
        <f>SUM(G115:AB116)</f>
        <v>#VALUE!</v>
      </c>
      <c r="AD115" s="296"/>
    </row>
    <row r="116" spans="1:30">
      <c r="A116" s="826"/>
      <c r="B116" s="871"/>
      <c r="C116" s="872"/>
      <c r="D116" s="873"/>
      <c r="E116" s="830"/>
      <c r="F116" s="830"/>
      <c r="G116" s="830"/>
      <c r="H116" s="830"/>
      <c r="I116" s="830"/>
      <c r="J116" s="830"/>
      <c r="K116" s="830"/>
      <c r="L116" s="830"/>
      <c r="M116" s="830"/>
      <c r="N116" s="830"/>
      <c r="O116" s="830"/>
      <c r="P116" s="830"/>
      <c r="Q116" s="830"/>
      <c r="R116" s="830"/>
      <c r="S116" s="830"/>
      <c r="T116" s="830"/>
      <c r="U116" s="830"/>
      <c r="V116" s="830"/>
      <c r="W116" s="838"/>
      <c r="X116" s="839"/>
      <c r="Y116" s="839"/>
      <c r="Z116" s="839"/>
      <c r="AA116" s="839"/>
      <c r="AB116" s="840"/>
      <c r="AC116" s="830"/>
      <c r="AD116" s="296"/>
    </row>
    <row r="117" spans="1:30" ht="28.5">
      <c r="A117" s="874" t="s">
        <v>640</v>
      </c>
      <c r="B117" s="862" t="s">
        <v>641</v>
      </c>
      <c r="C117" s="863"/>
      <c r="D117" s="864"/>
      <c r="F117" s="2" t="s">
        <v>606</v>
      </c>
      <c r="G117" s="884" t="s">
        <v>642</v>
      </c>
      <c r="H117" s="885"/>
      <c r="I117" s="885"/>
      <c r="J117" s="885"/>
      <c r="K117" s="885"/>
      <c r="L117" s="885"/>
      <c r="M117" s="885"/>
      <c r="N117" s="885"/>
      <c r="O117" s="885"/>
      <c r="P117" s="885"/>
      <c r="Q117" s="885"/>
      <c r="R117" s="885"/>
      <c r="S117" s="885"/>
      <c r="T117" s="885"/>
      <c r="U117" s="885"/>
      <c r="V117" s="885"/>
      <c r="W117" s="885"/>
      <c r="X117" s="885"/>
      <c r="Y117" s="885"/>
      <c r="Z117" s="885"/>
      <c r="AA117" s="885"/>
      <c r="AB117" s="886"/>
      <c r="AC117" s="893"/>
      <c r="AD117" s="522"/>
    </row>
    <row r="118" spans="1:30" ht="28.5">
      <c r="A118" s="875"/>
      <c r="B118" s="862" t="s">
        <v>643</v>
      </c>
      <c r="C118" s="863"/>
      <c r="D118" s="864"/>
      <c r="E118" s="275"/>
      <c r="F118" s="62" t="s">
        <v>606</v>
      </c>
      <c r="G118" s="887"/>
      <c r="H118" s="888"/>
      <c r="I118" s="888"/>
      <c r="J118" s="888"/>
      <c r="K118" s="888"/>
      <c r="L118" s="888"/>
      <c r="M118" s="888"/>
      <c r="N118" s="888"/>
      <c r="O118" s="888"/>
      <c r="P118" s="888"/>
      <c r="Q118" s="888"/>
      <c r="R118" s="888"/>
      <c r="S118" s="888"/>
      <c r="T118" s="888"/>
      <c r="U118" s="888"/>
      <c r="V118" s="888"/>
      <c r="W118" s="888"/>
      <c r="X118" s="888"/>
      <c r="Y118" s="888"/>
      <c r="Z118" s="888"/>
      <c r="AA118" s="888"/>
      <c r="AB118" s="889"/>
      <c r="AC118" s="894"/>
      <c r="AD118" s="522"/>
    </row>
    <row r="119" spans="1:30" ht="28.5">
      <c r="A119" s="875"/>
      <c r="B119" s="862" t="s">
        <v>644</v>
      </c>
      <c r="C119" s="863"/>
      <c r="D119" s="864"/>
      <c r="E119" s="279"/>
      <c r="F119" s="280" t="s">
        <v>262</v>
      </c>
      <c r="G119" s="887"/>
      <c r="H119" s="888"/>
      <c r="I119" s="888"/>
      <c r="J119" s="888"/>
      <c r="K119" s="888"/>
      <c r="L119" s="888"/>
      <c r="M119" s="888"/>
      <c r="N119" s="888"/>
      <c r="O119" s="888"/>
      <c r="P119" s="888"/>
      <c r="Q119" s="888"/>
      <c r="R119" s="888"/>
      <c r="S119" s="888"/>
      <c r="T119" s="888"/>
      <c r="U119" s="888"/>
      <c r="V119" s="888"/>
      <c r="W119" s="888"/>
      <c r="X119" s="888"/>
      <c r="Y119" s="888"/>
      <c r="Z119" s="888"/>
      <c r="AA119" s="888"/>
      <c r="AB119" s="889"/>
      <c r="AC119" s="894"/>
      <c r="AD119" s="522"/>
    </row>
    <row r="120" spans="1:30" ht="28.5">
      <c r="A120" s="875"/>
      <c r="B120" s="862" t="s">
        <v>645</v>
      </c>
      <c r="C120" s="863"/>
      <c r="D120" s="864"/>
      <c r="E120" s="279"/>
      <c r="F120" s="62" t="s">
        <v>228</v>
      </c>
      <c r="G120" s="887"/>
      <c r="H120" s="888"/>
      <c r="I120" s="888"/>
      <c r="J120" s="888"/>
      <c r="K120" s="888"/>
      <c r="L120" s="888"/>
      <c r="M120" s="888"/>
      <c r="N120" s="888"/>
      <c r="O120" s="888"/>
      <c r="P120" s="888"/>
      <c r="Q120" s="888"/>
      <c r="R120" s="888"/>
      <c r="S120" s="888"/>
      <c r="T120" s="888"/>
      <c r="U120" s="888"/>
      <c r="V120" s="888"/>
      <c r="W120" s="888"/>
      <c r="X120" s="888"/>
      <c r="Y120" s="888"/>
      <c r="Z120" s="888"/>
      <c r="AA120" s="888"/>
      <c r="AB120" s="889"/>
      <c r="AC120" s="894"/>
      <c r="AD120" s="522"/>
    </row>
    <row r="121" spans="1:30" ht="28.5">
      <c r="A121" s="875"/>
      <c r="B121" s="862" t="s">
        <v>646</v>
      </c>
      <c r="C121" s="863"/>
      <c r="D121" s="864"/>
      <c r="E121" s="279"/>
      <c r="F121" s="62" t="s">
        <v>606</v>
      </c>
      <c r="G121" s="887"/>
      <c r="H121" s="888"/>
      <c r="I121" s="888"/>
      <c r="J121" s="888"/>
      <c r="K121" s="888"/>
      <c r="L121" s="888"/>
      <c r="M121" s="888"/>
      <c r="N121" s="888"/>
      <c r="O121" s="888"/>
      <c r="P121" s="888"/>
      <c r="Q121" s="888"/>
      <c r="R121" s="888"/>
      <c r="S121" s="888"/>
      <c r="T121" s="888"/>
      <c r="U121" s="888"/>
      <c r="V121" s="888"/>
      <c r="W121" s="888"/>
      <c r="X121" s="888"/>
      <c r="Y121" s="888"/>
      <c r="Z121" s="888"/>
      <c r="AA121" s="888"/>
      <c r="AB121" s="889"/>
      <c r="AC121" s="894"/>
      <c r="AD121" s="522"/>
    </row>
    <row r="122" spans="1:30" ht="28.5">
      <c r="A122" s="875"/>
      <c r="B122" s="862" t="s">
        <v>645</v>
      </c>
      <c r="C122" s="863"/>
      <c r="D122" s="864"/>
      <c r="E122" s="279"/>
      <c r="F122" s="62" t="s">
        <v>228</v>
      </c>
      <c r="G122" s="887"/>
      <c r="H122" s="888"/>
      <c r="I122" s="888"/>
      <c r="J122" s="888"/>
      <c r="K122" s="888"/>
      <c r="L122" s="888"/>
      <c r="M122" s="888"/>
      <c r="N122" s="888"/>
      <c r="O122" s="888"/>
      <c r="P122" s="888"/>
      <c r="Q122" s="888"/>
      <c r="R122" s="888"/>
      <c r="S122" s="888"/>
      <c r="T122" s="888"/>
      <c r="U122" s="888"/>
      <c r="V122" s="888"/>
      <c r="W122" s="888"/>
      <c r="X122" s="888"/>
      <c r="Y122" s="888"/>
      <c r="Z122" s="888"/>
      <c r="AA122" s="888"/>
      <c r="AB122" s="889"/>
      <c r="AC122" s="894"/>
      <c r="AD122" s="522"/>
    </row>
    <row r="123" spans="1:30" ht="28.5">
      <c r="A123" s="875"/>
      <c r="B123" s="877" t="s">
        <v>647</v>
      </c>
      <c r="C123" s="878"/>
      <c r="D123" s="879"/>
      <c r="E123" s="896"/>
      <c r="F123" s="811" t="s">
        <v>648</v>
      </c>
      <c r="G123" s="887"/>
      <c r="H123" s="888"/>
      <c r="I123" s="888"/>
      <c r="J123" s="888"/>
      <c r="K123" s="888"/>
      <c r="L123" s="888"/>
      <c r="M123" s="888"/>
      <c r="N123" s="888"/>
      <c r="O123" s="888"/>
      <c r="P123" s="888"/>
      <c r="Q123" s="888"/>
      <c r="R123" s="888"/>
      <c r="S123" s="888"/>
      <c r="T123" s="888"/>
      <c r="U123" s="888"/>
      <c r="V123" s="888"/>
      <c r="W123" s="888"/>
      <c r="X123" s="888"/>
      <c r="Y123" s="888"/>
      <c r="Z123" s="888"/>
      <c r="AA123" s="888"/>
      <c r="AB123" s="889"/>
      <c r="AC123" s="894"/>
      <c r="AD123" s="522"/>
    </row>
    <row r="124" spans="1:30" ht="28.5">
      <c r="A124" s="875"/>
      <c r="B124" s="880"/>
      <c r="C124" s="881"/>
      <c r="D124" s="882"/>
      <c r="E124" s="897"/>
      <c r="F124" s="830"/>
      <c r="G124" s="890"/>
      <c r="H124" s="891"/>
      <c r="I124" s="891"/>
      <c r="J124" s="891"/>
      <c r="K124" s="891"/>
      <c r="L124" s="891"/>
      <c r="M124" s="891"/>
      <c r="N124" s="891"/>
      <c r="O124" s="891"/>
      <c r="P124" s="891"/>
      <c r="Q124" s="891"/>
      <c r="R124" s="891"/>
      <c r="S124" s="891"/>
      <c r="T124" s="891"/>
      <c r="U124" s="891"/>
      <c r="V124" s="891"/>
      <c r="W124" s="891"/>
      <c r="X124" s="891"/>
      <c r="Y124" s="891"/>
      <c r="Z124" s="891"/>
      <c r="AA124" s="891"/>
      <c r="AB124" s="892"/>
      <c r="AC124" s="895"/>
      <c r="AD124" s="522"/>
    </row>
    <row r="125" spans="1:30" ht="18">
      <c r="A125" s="876"/>
      <c r="B125" s="1" t="s">
        <v>649</v>
      </c>
      <c r="C125" s="1"/>
      <c r="D125" s="1"/>
      <c r="E125" s="62"/>
      <c r="F125" s="62" t="s">
        <v>606</v>
      </c>
      <c r="G125" s="62">
        <v>0</v>
      </c>
      <c r="H125" s="62">
        <v>0</v>
      </c>
      <c r="I125" s="62">
        <v>0</v>
      </c>
      <c r="J125" s="62">
        <v>0</v>
      </c>
      <c r="K125" s="62">
        <v>0</v>
      </c>
      <c r="L125" s="62">
        <v>0</v>
      </c>
      <c r="M125" s="62">
        <v>0</v>
      </c>
      <c r="N125" s="62">
        <v>0</v>
      </c>
      <c r="O125" s="62">
        <v>0</v>
      </c>
      <c r="P125" s="62">
        <v>0</v>
      </c>
      <c r="Q125" s="62">
        <v>0</v>
      </c>
      <c r="R125" s="62">
        <v>0</v>
      </c>
      <c r="S125" s="62">
        <v>0</v>
      </c>
      <c r="T125" s="62">
        <v>0</v>
      </c>
      <c r="U125" s="62">
        <v>0</v>
      </c>
      <c r="V125" s="62">
        <v>0</v>
      </c>
      <c r="W125" s="62">
        <v>0</v>
      </c>
      <c r="X125" s="62"/>
      <c r="Y125" s="62">
        <v>0</v>
      </c>
      <c r="Z125" s="62">
        <v>0</v>
      </c>
      <c r="AA125" s="62">
        <v>0</v>
      </c>
      <c r="AB125" s="62">
        <v>0</v>
      </c>
      <c r="AC125" s="62">
        <v>0</v>
      </c>
      <c r="AD125" s="296"/>
    </row>
    <row r="126" spans="1:30">
      <c r="A126" s="874" t="s">
        <v>617</v>
      </c>
      <c r="B126" s="877" t="s">
        <v>650</v>
      </c>
      <c r="C126" s="878"/>
      <c r="D126" s="879"/>
      <c r="E126" s="829" t="s">
        <v>619</v>
      </c>
      <c r="F126" s="815" t="s">
        <v>606</v>
      </c>
      <c r="G126" s="811">
        <f>G115+G125</f>
        <v>0</v>
      </c>
      <c r="H126" s="811">
        <f t="shared" ref="H126" si="8">H115+H125</f>
        <v>0</v>
      </c>
      <c r="I126" s="811">
        <f t="shared" ref="I126" si="9">I115+I125</f>
        <v>0</v>
      </c>
      <c r="J126" s="811">
        <f t="shared" ref="J126" si="10">J115+J125</f>
        <v>0</v>
      </c>
      <c r="K126" s="811">
        <f>K115+K125</f>
        <v>0</v>
      </c>
      <c r="L126" s="811" t="e">
        <f t="shared" ref="L126" si="11">L115+L125</f>
        <v>#VALUE!</v>
      </c>
      <c r="M126" s="811">
        <f t="shared" ref="M126" si="12">M115+M125</f>
        <v>0</v>
      </c>
      <c r="N126" s="811">
        <f t="shared" ref="N126" si="13">N115+N125</f>
        <v>0</v>
      </c>
      <c r="O126" s="811">
        <f t="shared" ref="O126" si="14">O115+O125</f>
        <v>0</v>
      </c>
      <c r="P126" s="811">
        <f t="shared" ref="P126" si="15">P115+P125</f>
        <v>0</v>
      </c>
      <c r="Q126" s="811">
        <f t="shared" ref="Q126" si="16">Q115+Q125</f>
        <v>0</v>
      </c>
      <c r="R126" s="811">
        <f t="shared" ref="R126" si="17">R115+R125</f>
        <v>0</v>
      </c>
      <c r="S126" s="811">
        <f t="shared" ref="S126" si="18">S115+S125</f>
        <v>0</v>
      </c>
      <c r="T126" s="811">
        <f t="shared" ref="T126" si="19">T115+T125</f>
        <v>0</v>
      </c>
      <c r="U126" s="811">
        <f t="shared" ref="U126" si="20">U115+U125</f>
        <v>0</v>
      </c>
      <c r="V126" s="811">
        <f t="shared" ref="V126" si="21">V115+V125</f>
        <v>0</v>
      </c>
      <c r="W126" s="811">
        <f t="shared" ref="W126" si="22">W115+W125</f>
        <v>0</v>
      </c>
      <c r="X126" s="63"/>
      <c r="Y126" s="811">
        <f t="shared" ref="Y126" si="23">Y115+Y125</f>
        <v>0</v>
      </c>
      <c r="Z126" s="811">
        <f t="shared" ref="Z126" si="24">Z115+Z125</f>
        <v>0</v>
      </c>
      <c r="AA126" s="811">
        <f t="shared" ref="AA126" si="25">AA115+AA125</f>
        <v>0</v>
      </c>
      <c r="AB126" s="811">
        <f t="shared" ref="AB126" si="26">AB115+AB125</f>
        <v>0</v>
      </c>
      <c r="AC126" s="859"/>
      <c r="AD126" s="521"/>
    </row>
    <row r="127" spans="1:30">
      <c r="A127" s="875"/>
      <c r="B127" s="880"/>
      <c r="C127" s="881"/>
      <c r="D127" s="882"/>
      <c r="E127" s="883"/>
      <c r="F127" s="831"/>
      <c r="G127" s="830"/>
      <c r="H127" s="830"/>
      <c r="I127" s="830"/>
      <c r="J127" s="830"/>
      <c r="K127" s="830"/>
      <c r="L127" s="830"/>
      <c r="M127" s="830"/>
      <c r="N127" s="830"/>
      <c r="O127" s="830"/>
      <c r="P127" s="830"/>
      <c r="Q127" s="830"/>
      <c r="R127" s="830"/>
      <c r="S127" s="830"/>
      <c r="T127" s="830"/>
      <c r="U127" s="830"/>
      <c r="V127" s="830"/>
      <c r="W127" s="830"/>
      <c r="X127" s="276"/>
      <c r="Y127" s="830"/>
      <c r="Z127" s="830"/>
      <c r="AA127" s="830"/>
      <c r="AB127" s="830"/>
      <c r="AC127" s="860"/>
      <c r="AD127" s="521"/>
    </row>
    <row r="128" spans="1:30" ht="19.5">
      <c r="A128" s="875"/>
      <c r="B128" s="832" t="s">
        <v>620</v>
      </c>
      <c r="C128" s="833"/>
      <c r="D128" s="834"/>
      <c r="E128" s="277" t="s">
        <v>621</v>
      </c>
      <c r="F128" s="62" t="s">
        <v>229</v>
      </c>
      <c r="G128" s="62">
        <f>0.34*G126</f>
        <v>0</v>
      </c>
      <c r="H128" s="62">
        <f>0.34*H126</f>
        <v>0</v>
      </c>
      <c r="I128" s="62">
        <f t="shared" ref="I128:T128" si="27">0.34*I126</f>
        <v>0</v>
      </c>
      <c r="J128" s="62">
        <f t="shared" si="27"/>
        <v>0</v>
      </c>
      <c r="K128" s="62">
        <f t="shared" si="27"/>
        <v>0</v>
      </c>
      <c r="L128" s="62" t="e">
        <f t="shared" si="27"/>
        <v>#VALUE!</v>
      </c>
      <c r="M128" s="62">
        <f t="shared" si="27"/>
        <v>0</v>
      </c>
      <c r="N128" s="62">
        <f t="shared" si="27"/>
        <v>0</v>
      </c>
      <c r="O128" s="62">
        <f t="shared" si="27"/>
        <v>0</v>
      </c>
      <c r="P128" s="62">
        <f t="shared" si="27"/>
        <v>0</v>
      </c>
      <c r="Q128" s="62">
        <f t="shared" si="27"/>
        <v>0</v>
      </c>
      <c r="R128" s="62">
        <f t="shared" si="27"/>
        <v>0</v>
      </c>
      <c r="S128" s="62">
        <f t="shared" si="27"/>
        <v>0</v>
      </c>
      <c r="T128" s="62">
        <f t="shared" si="27"/>
        <v>0</v>
      </c>
      <c r="U128" s="62">
        <f>0.34*U126</f>
        <v>0</v>
      </c>
      <c r="V128" s="62">
        <f t="shared" ref="V128:AB128" si="28">0.34*V126</f>
        <v>0</v>
      </c>
      <c r="W128" s="62">
        <f t="shared" si="28"/>
        <v>0</v>
      </c>
      <c r="X128" s="62"/>
      <c r="Y128" s="62">
        <f t="shared" si="28"/>
        <v>0</v>
      </c>
      <c r="Z128" s="62">
        <f t="shared" si="28"/>
        <v>0</v>
      </c>
      <c r="AA128" s="62">
        <f t="shared" si="28"/>
        <v>0</v>
      </c>
      <c r="AB128" s="62">
        <f t="shared" si="28"/>
        <v>0</v>
      </c>
      <c r="AC128" s="860"/>
      <c r="AD128" s="521"/>
    </row>
    <row r="129" spans="1:30">
      <c r="A129" s="875"/>
      <c r="B129" s="877" t="s">
        <v>651</v>
      </c>
      <c r="C129" s="878"/>
      <c r="D129" s="879"/>
      <c r="E129" s="811" t="s">
        <v>652</v>
      </c>
      <c r="F129" s="811" t="s">
        <v>653</v>
      </c>
      <c r="G129" s="811">
        <f>G128*G110</f>
        <v>0</v>
      </c>
      <c r="H129" s="811">
        <f t="shared" ref="H129" si="29">H128*H110</f>
        <v>0</v>
      </c>
      <c r="I129" s="811">
        <f>I128*I110</f>
        <v>0</v>
      </c>
      <c r="J129" s="811">
        <f t="shared" ref="J129" si="30">J128*J110</f>
        <v>0</v>
      </c>
      <c r="K129" s="811">
        <f t="shared" ref="K129" si="31">K128*K110</f>
        <v>0</v>
      </c>
      <c r="L129" s="811" t="e">
        <f t="shared" ref="L129" si="32">L128*L110</f>
        <v>#VALUE!</v>
      </c>
      <c r="M129" s="811">
        <f t="shared" ref="M129" si="33">M128*M110</f>
        <v>0</v>
      </c>
      <c r="N129" s="811">
        <f t="shared" ref="N129" si="34">N128*N110</f>
        <v>0</v>
      </c>
      <c r="O129" s="811">
        <f t="shared" ref="O129" si="35">O128*O110</f>
        <v>0</v>
      </c>
      <c r="P129" s="811">
        <f t="shared" ref="P129" si="36">P128*P110</f>
        <v>0</v>
      </c>
      <c r="Q129" s="811">
        <f t="shared" ref="Q129" si="37">Q128*Q110</f>
        <v>0</v>
      </c>
      <c r="R129" s="811">
        <f t="shared" ref="R129" si="38">R128*R110</f>
        <v>0</v>
      </c>
      <c r="S129" s="811">
        <f t="shared" ref="S129" si="39">S128*S110</f>
        <v>0</v>
      </c>
      <c r="T129" s="811">
        <f t="shared" ref="T129" si="40">T128*T110</f>
        <v>0</v>
      </c>
      <c r="U129" s="811">
        <f t="shared" ref="U129" si="41">U128*U110</f>
        <v>0</v>
      </c>
      <c r="V129" s="811">
        <f t="shared" ref="V129" si="42">V128*V110</f>
        <v>0</v>
      </c>
      <c r="W129" s="811">
        <f t="shared" ref="W129" si="43">W128*W110</f>
        <v>0</v>
      </c>
      <c r="X129" s="63"/>
      <c r="Y129" s="811">
        <f t="shared" ref="Y129" si="44">Y128*Y110</f>
        <v>0</v>
      </c>
      <c r="Z129" s="811">
        <f t="shared" ref="Z129" si="45">Z128*Z110</f>
        <v>0</v>
      </c>
      <c r="AA129" s="811">
        <f t="shared" ref="AA129" si="46">AA128*AA110</f>
        <v>0</v>
      </c>
      <c r="AB129" s="811">
        <f t="shared" ref="AB129" si="47">AB128*AB110</f>
        <v>0</v>
      </c>
      <c r="AC129" s="901" t="e">
        <f>SUM(G129:AB131)</f>
        <v>#VALUE!</v>
      </c>
      <c r="AD129" s="523"/>
    </row>
    <row r="130" spans="1:30">
      <c r="A130" s="875"/>
      <c r="B130" s="898"/>
      <c r="C130" s="899"/>
      <c r="D130" s="900"/>
      <c r="E130" s="843"/>
      <c r="F130" s="843"/>
      <c r="G130" s="843"/>
      <c r="H130" s="843"/>
      <c r="I130" s="843"/>
      <c r="J130" s="843"/>
      <c r="K130" s="843"/>
      <c r="L130" s="843"/>
      <c r="M130" s="843"/>
      <c r="N130" s="843"/>
      <c r="O130" s="843"/>
      <c r="P130" s="843"/>
      <c r="Q130" s="843"/>
      <c r="R130" s="843"/>
      <c r="S130" s="843"/>
      <c r="T130" s="843"/>
      <c r="U130" s="843"/>
      <c r="V130" s="843"/>
      <c r="W130" s="843"/>
      <c r="X130" s="278"/>
      <c r="Y130" s="843"/>
      <c r="Z130" s="843"/>
      <c r="AA130" s="843"/>
      <c r="AB130" s="843"/>
      <c r="AC130" s="901"/>
      <c r="AD130" s="523"/>
    </row>
    <row r="131" spans="1:30">
      <c r="A131" s="876"/>
      <c r="B131" s="880"/>
      <c r="C131" s="881"/>
      <c r="D131" s="882"/>
      <c r="E131" s="830"/>
      <c r="F131" s="830"/>
      <c r="G131" s="830"/>
      <c r="H131" s="830"/>
      <c r="I131" s="830"/>
      <c r="J131" s="830"/>
      <c r="K131" s="830"/>
      <c r="L131" s="830"/>
      <c r="M131" s="830"/>
      <c r="N131" s="830"/>
      <c r="O131" s="830"/>
      <c r="P131" s="830"/>
      <c r="Q131" s="830"/>
      <c r="R131" s="830"/>
      <c r="S131" s="830"/>
      <c r="T131" s="830"/>
      <c r="U131" s="830"/>
      <c r="V131" s="830"/>
      <c r="W131" s="830"/>
      <c r="X131" s="276"/>
      <c r="Y131" s="830"/>
      <c r="Z131" s="830"/>
      <c r="AA131" s="830"/>
      <c r="AB131" s="830"/>
      <c r="AC131" s="902"/>
      <c r="AD131" s="523"/>
    </row>
  </sheetData>
  <mergeCells count="275">
    <mergeCell ref="R28:T28"/>
    <mergeCell ref="R11:T11"/>
    <mergeCell ref="R13:T13"/>
    <mergeCell ref="R14:T14"/>
    <mergeCell ref="R15:T16"/>
    <mergeCell ref="R17:T18"/>
    <mergeCell ref="R19:T19"/>
    <mergeCell ref="R21:T21"/>
    <mergeCell ref="R22:T22"/>
    <mergeCell ref="R23:T24"/>
    <mergeCell ref="X15:X16"/>
    <mergeCell ref="X17:X18"/>
    <mergeCell ref="X23:X24"/>
    <mergeCell ref="X25:X26"/>
    <mergeCell ref="U17:U18"/>
    <mergeCell ref="V17:V18"/>
    <mergeCell ref="W17:W18"/>
    <mergeCell ref="V15:V16"/>
    <mergeCell ref="W15:W16"/>
    <mergeCell ref="W23:W24"/>
    <mergeCell ref="AB129:AB131"/>
    <mergeCell ref="AC129:AC131"/>
    <mergeCell ref="B15:B18"/>
    <mergeCell ref="C15:E16"/>
    <mergeCell ref="C17:E18"/>
    <mergeCell ref="U129:U131"/>
    <mergeCell ref="V129:V131"/>
    <mergeCell ref="W129:W131"/>
    <mergeCell ref="Y129:Y131"/>
    <mergeCell ref="Z129:Z131"/>
    <mergeCell ref="AA129:AA131"/>
    <mergeCell ref="O129:O131"/>
    <mergeCell ref="P129:P131"/>
    <mergeCell ref="Q129:Q131"/>
    <mergeCell ref="R129:R131"/>
    <mergeCell ref="S129:S131"/>
    <mergeCell ref="T129:T131"/>
    <mergeCell ref="I129:I131"/>
    <mergeCell ref="J129:J131"/>
    <mergeCell ref="L15:L16"/>
    <mergeCell ref="M15:M16"/>
    <mergeCell ref="N15:N16"/>
    <mergeCell ref="O15:O16"/>
    <mergeCell ref="P15:P16"/>
    <mergeCell ref="K129:K131"/>
    <mergeCell ref="L129:L131"/>
    <mergeCell ref="M129:M131"/>
    <mergeCell ref="N129:N131"/>
    <mergeCell ref="Z126:Z127"/>
    <mergeCell ref="AA126:AA127"/>
    <mergeCell ref="AB126:AB127"/>
    <mergeCell ref="AC126:AC128"/>
    <mergeCell ref="B128:D128"/>
    <mergeCell ref="B129:D131"/>
    <mergeCell ref="E129:E131"/>
    <mergeCell ref="F129:F131"/>
    <mergeCell ref="G129:G131"/>
    <mergeCell ref="H129:H131"/>
    <mergeCell ref="S126:S127"/>
    <mergeCell ref="T126:T127"/>
    <mergeCell ref="U126:U127"/>
    <mergeCell ref="V126:V127"/>
    <mergeCell ref="W126:W127"/>
    <mergeCell ref="Y126:Y127"/>
    <mergeCell ref="M126:M127"/>
    <mergeCell ref="N126:N127"/>
    <mergeCell ref="O126:O127"/>
    <mergeCell ref="P126:P127"/>
    <mergeCell ref="Q126:Q127"/>
    <mergeCell ref="R126:R127"/>
    <mergeCell ref="G126:G127"/>
    <mergeCell ref="H126:H127"/>
    <mergeCell ref="I126:I127"/>
    <mergeCell ref="J126:J127"/>
    <mergeCell ref="K126:K127"/>
    <mergeCell ref="L126:L127"/>
    <mergeCell ref="B121:D121"/>
    <mergeCell ref="B122:D122"/>
    <mergeCell ref="B123:D124"/>
    <mergeCell ref="E123:E124"/>
    <mergeCell ref="F123:F124"/>
    <mergeCell ref="A126:A131"/>
    <mergeCell ref="B126:D127"/>
    <mergeCell ref="E126:E127"/>
    <mergeCell ref="F126:F127"/>
    <mergeCell ref="V115:V116"/>
    <mergeCell ref="W115:AB116"/>
    <mergeCell ref="AC115:AC116"/>
    <mergeCell ref="A117:A125"/>
    <mergeCell ref="B117:D117"/>
    <mergeCell ref="G117:AB124"/>
    <mergeCell ref="AC117:AC124"/>
    <mergeCell ref="B118:D118"/>
    <mergeCell ref="B119:D119"/>
    <mergeCell ref="B120:D120"/>
    <mergeCell ref="P115:P116"/>
    <mergeCell ref="Q115:Q116"/>
    <mergeCell ref="R115:R116"/>
    <mergeCell ref="S115:S116"/>
    <mergeCell ref="T115:T116"/>
    <mergeCell ref="U115:U116"/>
    <mergeCell ref="J115:J116"/>
    <mergeCell ref="K115:K116"/>
    <mergeCell ref="L115:L116"/>
    <mergeCell ref="M115:M116"/>
    <mergeCell ref="N115:N116"/>
    <mergeCell ref="O115:O116"/>
    <mergeCell ref="B115:D116"/>
    <mergeCell ref="E115:E116"/>
    <mergeCell ref="F115:F116"/>
    <mergeCell ref="G115:G116"/>
    <mergeCell ref="H115:H116"/>
    <mergeCell ref="I115:I116"/>
    <mergeCell ref="A111:A116"/>
    <mergeCell ref="B111:D111"/>
    <mergeCell ref="W111:AB111"/>
    <mergeCell ref="AC111:AC114"/>
    <mergeCell ref="B112:D112"/>
    <mergeCell ref="G112:AB112"/>
    <mergeCell ref="B113:D113"/>
    <mergeCell ref="W113:AB113"/>
    <mergeCell ref="B114:D114"/>
    <mergeCell ref="W114:AB114"/>
    <mergeCell ref="A108:D108"/>
    <mergeCell ref="G108:AB108"/>
    <mergeCell ref="AC108:AC110"/>
    <mergeCell ref="A109:D109"/>
    <mergeCell ref="W109:AB109"/>
    <mergeCell ref="A110:D110"/>
    <mergeCell ref="W110:AB110"/>
    <mergeCell ref="A107:D107"/>
    <mergeCell ref="W107:AB107"/>
    <mergeCell ref="R99:R106"/>
    <mergeCell ref="S99:S106"/>
    <mergeCell ref="T99:T106"/>
    <mergeCell ref="U99:U106"/>
    <mergeCell ref="V99:V106"/>
    <mergeCell ref="W99:W106"/>
    <mergeCell ref="L99:L106"/>
    <mergeCell ref="M99:M106"/>
    <mergeCell ref="N99:N106"/>
    <mergeCell ref="O99:O106"/>
    <mergeCell ref="P99:P106"/>
    <mergeCell ref="Q99:Q106"/>
    <mergeCell ref="A99:F106"/>
    <mergeCell ref="G99:G106"/>
    <mergeCell ref="H99:H106"/>
    <mergeCell ref="I99:I106"/>
    <mergeCell ref="J99:J106"/>
    <mergeCell ref="K99:K106"/>
    <mergeCell ref="Y99:Y106"/>
    <mergeCell ref="Z99:Z106"/>
    <mergeCell ref="AA99:AA106"/>
    <mergeCell ref="AB99:AB106"/>
    <mergeCell ref="P25:P26"/>
    <mergeCell ref="Q25:Q26"/>
    <mergeCell ref="R25:T26"/>
    <mergeCell ref="R27:T27"/>
    <mergeCell ref="AC25:AC26"/>
    <mergeCell ref="AD25:AD26"/>
    <mergeCell ref="Y25:Y26"/>
    <mergeCell ref="Y23:Y24"/>
    <mergeCell ref="Z23:Z24"/>
    <mergeCell ref="AA23:AA24"/>
    <mergeCell ref="AB23:AB24"/>
    <mergeCell ref="AC23:AC24"/>
    <mergeCell ref="AD23:AD24"/>
    <mergeCell ref="Z25:Z26"/>
    <mergeCell ref="AA25:AA26"/>
    <mergeCell ref="AB25:AB26"/>
    <mergeCell ref="AC99:AC106"/>
    <mergeCell ref="AE19:AE22"/>
    <mergeCell ref="AE23:AE24"/>
    <mergeCell ref="B25:B28"/>
    <mergeCell ref="F25:F26"/>
    <mergeCell ref="G25:G26"/>
    <mergeCell ref="H25:H26"/>
    <mergeCell ref="I25:I26"/>
    <mergeCell ref="J25:J26"/>
    <mergeCell ref="K25:K26"/>
    <mergeCell ref="L25:L26"/>
    <mergeCell ref="M25:M26"/>
    <mergeCell ref="C25:E26"/>
    <mergeCell ref="C27:E27"/>
    <mergeCell ref="C28:E28"/>
    <mergeCell ref="U23:U24"/>
    <mergeCell ref="V23:V24"/>
    <mergeCell ref="L23:L24"/>
    <mergeCell ref="AE25:AE27"/>
    <mergeCell ref="U25:U26"/>
    <mergeCell ref="V25:V26"/>
    <mergeCell ref="W25:W26"/>
    <mergeCell ref="N25:N26"/>
    <mergeCell ref="O25:O26"/>
    <mergeCell ref="N23:N24"/>
    <mergeCell ref="O23:O24"/>
    <mergeCell ref="P23:P24"/>
    <mergeCell ref="B19:B24"/>
    <mergeCell ref="C19:E19"/>
    <mergeCell ref="C21:E21"/>
    <mergeCell ref="C22:E22"/>
    <mergeCell ref="C23:E24"/>
    <mergeCell ref="C20:E20"/>
    <mergeCell ref="N3:N10"/>
    <mergeCell ref="O3:O10"/>
    <mergeCell ref="P3:P10"/>
    <mergeCell ref="H3:H10"/>
    <mergeCell ref="I3:I10"/>
    <mergeCell ref="J3:J10"/>
    <mergeCell ref="Q23:Q24"/>
    <mergeCell ref="F23:F24"/>
    <mergeCell ref="G23:G24"/>
    <mergeCell ref="H23:H24"/>
    <mergeCell ref="I23:I24"/>
    <mergeCell ref="J23:J24"/>
    <mergeCell ref="K23:K24"/>
    <mergeCell ref="Q17:Q18"/>
    <mergeCell ref="F17:F18"/>
    <mergeCell ref="G17:G18"/>
    <mergeCell ref="H17:H18"/>
    <mergeCell ref="I17:I18"/>
    <mergeCell ref="J17:J18"/>
    <mergeCell ref="K17:K18"/>
    <mergeCell ref="L17:L18"/>
    <mergeCell ref="M17:M18"/>
    <mergeCell ref="N17:N18"/>
    <mergeCell ref="M23:M24"/>
    <mergeCell ref="AE3:AE10"/>
    <mergeCell ref="H12:AC12"/>
    <mergeCell ref="B11:E11"/>
    <mergeCell ref="B3:G10"/>
    <mergeCell ref="B12:E12"/>
    <mergeCell ref="AE12:AE18"/>
    <mergeCell ref="U15:U16"/>
    <mergeCell ref="Q15:Q16"/>
    <mergeCell ref="F15:F16"/>
    <mergeCell ref="G15:G16"/>
    <mergeCell ref="H15:H16"/>
    <mergeCell ref="I15:I16"/>
    <mergeCell ref="J15:J16"/>
    <mergeCell ref="K15:K16"/>
    <mergeCell ref="O17:O18"/>
    <mergeCell ref="P17:P18"/>
    <mergeCell ref="B13:E13"/>
    <mergeCell ref="B14:E14"/>
    <mergeCell ref="W3:W10"/>
    <mergeCell ref="Y3:Y10"/>
    <mergeCell ref="Z3:Z10"/>
    <mergeCell ref="AA3:AA10"/>
    <mergeCell ref="AB3:AB10"/>
    <mergeCell ref="AC3:AC10"/>
    <mergeCell ref="AD4:AD10"/>
    <mergeCell ref="Y15:Y16"/>
    <mergeCell ref="Z15:Z16"/>
    <mergeCell ref="AA15:AA16"/>
    <mergeCell ref="AB15:AB16"/>
    <mergeCell ref="AC15:AC16"/>
    <mergeCell ref="AD15:AD16"/>
    <mergeCell ref="H20:AD20"/>
    <mergeCell ref="Y17:Y18"/>
    <mergeCell ref="Z17:Z18"/>
    <mergeCell ref="AA17:AA18"/>
    <mergeCell ref="AB17:AB18"/>
    <mergeCell ref="AC17:AC18"/>
    <mergeCell ref="AD17:AD18"/>
    <mergeCell ref="X3:X10"/>
    <mergeCell ref="Q3:Q10"/>
    <mergeCell ref="R3:R10"/>
    <mergeCell ref="S3:S10"/>
    <mergeCell ref="T3:T10"/>
    <mergeCell ref="U3:U10"/>
    <mergeCell ref="V3:V10"/>
    <mergeCell ref="K3:K10"/>
    <mergeCell ref="L3:L10"/>
    <mergeCell ref="M3:M10"/>
  </mergeCells>
  <pageMargins left="0.7" right="0.7" top="0.75" bottom="0.75" header="0.3" footer="0.3"/>
  <drawing r:id="rId1"/>
  <legacy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15E38D-E0AC-224D-809E-20C7446C87AD}">
  <sheetPr codeName="Feuil14"/>
  <dimension ref="B1:M37"/>
  <sheetViews>
    <sheetView zoomScale="74" zoomScaleNormal="70" workbookViewId="0">
      <selection activeCell="F11" sqref="F11:F32"/>
    </sheetView>
  </sheetViews>
  <sheetFormatPr baseColWidth="10" defaultColWidth="11" defaultRowHeight="15.75"/>
  <cols>
    <col min="6" max="6" width="11.5" customWidth="1"/>
    <col min="8" max="8" width="13.5" customWidth="1"/>
  </cols>
  <sheetData>
    <row r="1" spans="2:10">
      <c r="B1" s="5"/>
      <c r="C1" s="5"/>
      <c r="D1" s="5"/>
      <c r="E1" s="5"/>
      <c r="F1" s="5"/>
      <c r="G1" s="5"/>
      <c r="H1" s="5"/>
      <c r="I1" s="5"/>
      <c r="J1" s="5"/>
    </row>
    <row r="2" spans="2:10">
      <c r="B2" s="5"/>
      <c r="C2" s="5"/>
      <c r="D2" s="5"/>
      <c r="E2" s="5"/>
      <c r="F2" s="5"/>
      <c r="G2" s="5"/>
      <c r="H2" s="5"/>
      <c r="I2" s="5"/>
      <c r="J2" s="5"/>
    </row>
    <row r="3" spans="2:10">
      <c r="B3" s="5"/>
      <c r="C3" s="5"/>
      <c r="D3" s="5"/>
      <c r="E3" s="5"/>
      <c r="F3" s="5"/>
      <c r="G3" s="5"/>
      <c r="H3" s="5"/>
      <c r="I3" s="5"/>
      <c r="J3" s="5"/>
    </row>
    <row r="4" spans="2:10">
      <c r="B4" s="5"/>
      <c r="C4" s="5"/>
      <c r="D4" s="5"/>
      <c r="E4" s="5"/>
      <c r="F4" s="5"/>
      <c r="G4" s="5"/>
      <c r="H4" s="5"/>
      <c r="I4" s="5"/>
      <c r="J4" s="5"/>
    </row>
    <row r="5" spans="2:10">
      <c r="B5" s="5"/>
      <c r="C5" s="810" t="s">
        <v>570</v>
      </c>
      <c r="D5" s="810"/>
      <c r="E5" s="810"/>
      <c r="F5" s="1258" t="s">
        <v>654</v>
      </c>
      <c r="G5" s="1258" t="s">
        <v>655</v>
      </c>
      <c r="H5" s="1258" t="s">
        <v>656</v>
      </c>
      <c r="I5" s="5"/>
      <c r="J5" s="5"/>
    </row>
    <row r="6" spans="2:10">
      <c r="B6" s="5"/>
      <c r="C6" s="810"/>
      <c r="D6" s="810"/>
      <c r="E6" s="810"/>
      <c r="F6" s="1258"/>
      <c r="G6" s="1258"/>
      <c r="H6" s="1258"/>
      <c r="I6" s="5"/>
      <c r="J6" s="5"/>
    </row>
    <row r="7" spans="2:10">
      <c r="B7" s="5"/>
      <c r="C7" s="810"/>
      <c r="D7" s="810"/>
      <c r="E7" s="810"/>
      <c r="F7" s="1260" t="s">
        <v>657</v>
      </c>
      <c r="G7" s="1260" t="s">
        <v>658</v>
      </c>
      <c r="H7" s="810" t="s">
        <v>659</v>
      </c>
      <c r="I7" s="5"/>
      <c r="J7" s="5"/>
    </row>
    <row r="8" spans="2:10">
      <c r="B8" s="5"/>
      <c r="C8" s="810"/>
      <c r="D8" s="810"/>
      <c r="E8" s="810"/>
      <c r="F8" s="810"/>
      <c r="G8" s="810"/>
      <c r="H8" s="810"/>
      <c r="I8" s="5"/>
      <c r="J8" s="5"/>
    </row>
    <row r="9" spans="2:10">
      <c r="B9" s="5"/>
      <c r="C9" s="810"/>
      <c r="D9" s="810"/>
      <c r="E9" s="810"/>
      <c r="F9" s="810" t="s">
        <v>660</v>
      </c>
      <c r="G9" s="810" t="s">
        <v>226</v>
      </c>
      <c r="H9" s="810" t="s">
        <v>623</v>
      </c>
      <c r="I9" s="5"/>
      <c r="J9" s="5"/>
    </row>
    <row r="10" spans="2:10">
      <c r="B10" s="5"/>
      <c r="C10" s="810"/>
      <c r="D10" s="810"/>
      <c r="E10" s="810"/>
      <c r="F10" s="810"/>
      <c r="G10" s="810"/>
      <c r="H10" s="810"/>
      <c r="I10" s="5"/>
      <c r="J10" s="5"/>
    </row>
    <row r="11" spans="2:10">
      <c r="B11" s="5"/>
      <c r="C11" s="1259" t="s">
        <v>571</v>
      </c>
      <c r="D11" s="1259"/>
      <c r="E11" s="1259"/>
      <c r="F11" s="810">
        <v>20</v>
      </c>
      <c r="G11" s="1">
        <f>Données!E45</f>
        <v>37.053750000000008</v>
      </c>
      <c r="H11" s="1">
        <f>F11*G11</f>
        <v>741.07500000000016</v>
      </c>
      <c r="I11" s="5"/>
      <c r="J11" s="5"/>
    </row>
    <row r="12" spans="2:10">
      <c r="B12" s="5"/>
      <c r="C12" s="1259" t="s">
        <v>572</v>
      </c>
      <c r="D12" s="1259"/>
      <c r="E12" s="1259"/>
      <c r="F12" s="810"/>
      <c r="G12" s="1">
        <f>Données!G22</f>
        <v>33.501799999999996</v>
      </c>
      <c r="H12" s="1">
        <f>F11*G12</f>
        <v>670.03599999999994</v>
      </c>
      <c r="I12" s="5"/>
      <c r="J12" s="5"/>
    </row>
    <row r="13" spans="2:10">
      <c r="B13" s="5"/>
      <c r="C13" s="1259" t="s">
        <v>573</v>
      </c>
      <c r="D13" s="1259"/>
      <c r="E13" s="1259"/>
      <c r="F13" s="810"/>
      <c r="G13" s="1">
        <f>Données!E46</f>
        <v>14.515999999999998</v>
      </c>
      <c r="H13" s="1">
        <f>G13*F11</f>
        <v>290.31999999999994</v>
      </c>
      <c r="I13" s="5"/>
      <c r="J13" s="5"/>
    </row>
    <row r="14" spans="2:10">
      <c r="B14" s="5"/>
      <c r="C14" s="1259" t="s">
        <v>661</v>
      </c>
      <c r="D14" s="1259"/>
      <c r="E14" s="1259"/>
      <c r="F14" s="810"/>
      <c r="G14" s="1">
        <f>Données!G23</f>
        <v>31.170400000000001</v>
      </c>
      <c r="H14" s="1">
        <f>G14*F11</f>
        <v>623.40800000000002</v>
      </c>
      <c r="I14" s="5"/>
      <c r="J14" s="5"/>
    </row>
    <row r="15" spans="2:10">
      <c r="B15" s="5"/>
      <c r="C15" s="1259" t="s">
        <v>662</v>
      </c>
      <c r="D15" s="1259"/>
      <c r="E15" s="1259"/>
      <c r="F15" s="810"/>
      <c r="G15" s="1">
        <f>Données!G24</f>
        <v>20.16</v>
      </c>
      <c r="H15" s="1">
        <f>G15*F11</f>
        <v>403.2</v>
      </c>
      <c r="I15" s="5"/>
      <c r="J15" s="5"/>
    </row>
    <row r="16" spans="2:10">
      <c r="B16" s="5"/>
      <c r="C16" s="1259" t="s">
        <v>663</v>
      </c>
      <c r="D16" s="1259"/>
      <c r="E16" s="1259"/>
      <c r="F16" s="810"/>
      <c r="G16" s="1">
        <f>Données!G26</f>
        <v>20.16</v>
      </c>
      <c r="H16" s="1">
        <f>G16*F11</f>
        <v>403.2</v>
      </c>
      <c r="I16" s="5"/>
      <c r="J16" s="5"/>
    </row>
    <row r="17" spans="2:10">
      <c r="B17" s="5"/>
      <c r="C17" s="1259" t="s">
        <v>40</v>
      </c>
      <c r="D17" s="1259"/>
      <c r="E17" s="1259"/>
      <c r="F17" s="810"/>
      <c r="G17" s="1">
        <f>Données!G27</f>
        <v>21.52</v>
      </c>
      <c r="H17" s="1">
        <f>G17*F11</f>
        <v>430.4</v>
      </c>
      <c r="I17" s="5"/>
      <c r="J17" s="5"/>
    </row>
    <row r="18" spans="2:10">
      <c r="B18" s="5"/>
      <c r="C18" s="1259" t="s">
        <v>664</v>
      </c>
      <c r="D18" s="1259"/>
      <c r="E18" s="1259"/>
      <c r="F18" s="810"/>
      <c r="G18" s="1">
        <f>Données!G28</f>
        <v>36.099600000000002</v>
      </c>
      <c r="H18" s="1">
        <f>G18*F11</f>
        <v>721.99200000000008</v>
      </c>
      <c r="I18" s="5"/>
      <c r="J18" s="5"/>
    </row>
    <row r="19" spans="2:10">
      <c r="B19" s="5"/>
      <c r="C19" s="1259" t="s">
        <v>665</v>
      </c>
      <c r="D19" s="1259"/>
      <c r="E19" s="1259"/>
      <c r="F19" s="810"/>
      <c r="G19" s="1">
        <f>Données!G33</f>
        <v>49.0625</v>
      </c>
      <c r="H19" s="1">
        <f>G19*F11</f>
        <v>981.25</v>
      </c>
      <c r="I19" s="5"/>
      <c r="J19" s="5"/>
    </row>
    <row r="20" spans="2:10">
      <c r="B20" s="5"/>
      <c r="C20" s="1259" t="s">
        <v>579</v>
      </c>
      <c r="D20" s="1259"/>
      <c r="E20" s="1259"/>
      <c r="F20" s="810"/>
      <c r="G20" s="1">
        <f>Données!E51</f>
        <v>8.5905000000000005</v>
      </c>
      <c r="H20" s="1">
        <f>G20*F11</f>
        <v>171.81</v>
      </c>
      <c r="I20" s="5"/>
      <c r="J20" s="5"/>
    </row>
    <row r="21" spans="2:10">
      <c r="B21" s="5"/>
      <c r="C21" s="1259" t="s">
        <v>666</v>
      </c>
      <c r="D21" s="1259"/>
      <c r="E21" s="1259"/>
      <c r="F21" s="810"/>
      <c r="G21" s="815">
        <f>Données!E52</f>
        <v>18.2075</v>
      </c>
      <c r="H21" s="815">
        <f>G21*F11</f>
        <v>364.15</v>
      </c>
      <c r="I21" s="5"/>
      <c r="J21" s="5"/>
    </row>
    <row r="22" spans="2:10">
      <c r="B22" s="5"/>
      <c r="C22" s="1259" t="s">
        <v>581</v>
      </c>
      <c r="D22" s="1259"/>
      <c r="E22" s="1259"/>
      <c r="F22" s="810"/>
      <c r="G22" s="1188"/>
      <c r="H22" s="1188"/>
      <c r="I22" s="5"/>
      <c r="J22" s="5"/>
    </row>
    <row r="23" spans="2:10">
      <c r="B23" s="5"/>
      <c r="C23" s="1259" t="s">
        <v>667</v>
      </c>
      <c r="D23" s="1259"/>
      <c r="E23" s="1259"/>
      <c r="F23" s="810"/>
      <c r="G23" s="831"/>
      <c r="H23" s="831"/>
      <c r="I23" s="5"/>
      <c r="J23" s="5"/>
    </row>
    <row r="24" spans="2:10">
      <c r="B24" s="5"/>
      <c r="C24" s="1259" t="s">
        <v>583</v>
      </c>
      <c r="D24" s="1259"/>
      <c r="E24" s="1259"/>
      <c r="F24" s="810"/>
      <c r="G24" s="1">
        <f>Données!G36</f>
        <v>23.080500000000001</v>
      </c>
      <c r="H24" s="1">
        <f>G24*F11</f>
        <v>461.61</v>
      </c>
      <c r="I24" s="5"/>
      <c r="J24" s="5"/>
    </row>
    <row r="25" spans="2:10">
      <c r="B25" s="5"/>
      <c r="C25" s="1259" t="s">
        <v>584</v>
      </c>
      <c r="D25" s="1259"/>
      <c r="E25" s="1259"/>
      <c r="F25" s="810"/>
      <c r="G25" s="1">
        <f>Données!G29</f>
        <v>32.174999999999997</v>
      </c>
      <c r="H25" s="1">
        <f>G25*F11</f>
        <v>643.5</v>
      </c>
      <c r="I25" s="5"/>
      <c r="J25" s="5"/>
    </row>
    <row r="26" spans="2:10">
      <c r="B26" s="5"/>
      <c r="C26" s="1259" t="s">
        <v>668</v>
      </c>
      <c r="D26" s="1259"/>
      <c r="E26" s="1259"/>
      <c r="F26" s="810"/>
      <c r="G26" s="1">
        <f>Données!G30</f>
        <v>52.62</v>
      </c>
      <c r="H26" s="1">
        <f>G26*F11</f>
        <v>1052.3999999999999</v>
      </c>
      <c r="I26" s="5"/>
      <c r="J26" s="5"/>
    </row>
    <row r="27" spans="2:10">
      <c r="B27" s="5"/>
      <c r="C27" s="1235" t="s">
        <v>669</v>
      </c>
      <c r="D27" s="1236"/>
      <c r="E27" s="1237"/>
      <c r="F27" s="810"/>
      <c r="G27" s="101">
        <f>Données!G25</f>
        <v>50.024600760456273</v>
      </c>
      <c r="H27" s="101">
        <f>G27*F11</f>
        <v>1000.4920152091255</v>
      </c>
      <c r="I27" s="5"/>
      <c r="J27" s="5"/>
    </row>
    <row r="28" spans="2:10">
      <c r="B28" s="5"/>
      <c r="C28" s="1259" t="s">
        <v>587</v>
      </c>
      <c r="D28" s="1259"/>
      <c r="E28" s="1259"/>
      <c r="F28" s="810"/>
      <c r="G28" s="524">
        <f>Données!E47</f>
        <v>4.7300000000000004</v>
      </c>
      <c r="H28" s="524">
        <f>G28*F11</f>
        <v>94.600000000000009</v>
      </c>
      <c r="I28" s="5"/>
      <c r="J28" s="5"/>
    </row>
    <row r="29" spans="2:10">
      <c r="B29" s="5"/>
      <c r="C29" s="1259" t="s">
        <v>588</v>
      </c>
      <c r="D29" s="1259"/>
      <c r="E29" s="1259"/>
      <c r="F29" s="841"/>
      <c r="G29" s="524">
        <f>Données!E48</f>
        <v>4.37</v>
      </c>
      <c r="H29" s="524">
        <f>G29*F11</f>
        <v>87.4</v>
      </c>
      <c r="I29" s="5"/>
      <c r="J29" s="5"/>
    </row>
    <row r="30" spans="2:10">
      <c r="B30" s="5"/>
      <c r="C30" s="1259" t="s">
        <v>589</v>
      </c>
      <c r="D30" s="1259"/>
      <c r="E30" s="1259"/>
      <c r="F30" s="841"/>
      <c r="G30" s="524">
        <f>Données!G34</f>
        <v>17.399999999999999</v>
      </c>
      <c r="H30" s="524">
        <f>G30*F11</f>
        <v>348</v>
      </c>
      <c r="I30" s="5"/>
      <c r="J30" s="5"/>
    </row>
    <row r="31" spans="2:10">
      <c r="B31" s="5"/>
      <c r="C31" s="1259" t="s">
        <v>590</v>
      </c>
      <c r="D31" s="1259"/>
      <c r="E31" s="1259"/>
      <c r="F31" s="841"/>
      <c r="G31" s="524">
        <f>Données!G35</f>
        <v>12.27</v>
      </c>
      <c r="H31" s="524">
        <f>G31*F11</f>
        <v>245.39999999999998</v>
      </c>
      <c r="I31" s="5"/>
      <c r="J31" s="5"/>
    </row>
    <row r="32" spans="2:10">
      <c r="B32" s="5"/>
      <c r="C32" s="1173" t="s">
        <v>670</v>
      </c>
      <c r="D32" s="1173"/>
      <c r="E32" s="1173"/>
      <c r="F32" s="835"/>
      <c r="G32" s="524">
        <f>Données!E49</f>
        <v>10.89</v>
      </c>
      <c r="H32" s="524">
        <f>G32*F11</f>
        <v>217.8</v>
      </c>
      <c r="I32" s="5"/>
      <c r="J32" s="5"/>
    </row>
    <row r="33" spans="2:13">
      <c r="B33" s="5"/>
      <c r="C33" s="198" t="s">
        <v>671</v>
      </c>
      <c r="D33" s="442"/>
      <c r="E33" s="442"/>
      <c r="F33" s="119"/>
      <c r="G33" s="524">
        <f>Données!E50</f>
        <v>3.5139999999999993</v>
      </c>
      <c r="H33" s="524">
        <f>G33*F11</f>
        <v>70.279999999999987</v>
      </c>
      <c r="I33" s="5"/>
      <c r="J33" s="5"/>
      <c r="M33" t="s">
        <v>781</v>
      </c>
    </row>
    <row r="34" spans="2:13">
      <c r="B34" s="5"/>
      <c r="C34" s="5"/>
      <c r="D34" s="5"/>
      <c r="E34" s="5"/>
      <c r="F34" s="1261" t="s">
        <v>71</v>
      </c>
      <c r="G34" s="1261"/>
      <c r="H34" s="528">
        <f>SUM(H11:H32)</f>
        <v>9952.043015209123</v>
      </c>
      <c r="I34" s="5"/>
      <c r="J34" s="5"/>
    </row>
    <row r="35" spans="2:13">
      <c r="B35" s="5"/>
      <c r="C35" s="5"/>
      <c r="D35" s="5"/>
      <c r="E35" s="5"/>
      <c r="F35" s="5"/>
      <c r="G35" s="5"/>
      <c r="H35" s="5"/>
      <c r="I35" s="5"/>
      <c r="J35" s="5"/>
    </row>
    <row r="36" spans="2:13">
      <c r="B36" s="5"/>
      <c r="C36" s="5"/>
      <c r="D36" s="5"/>
      <c r="E36" s="5"/>
      <c r="F36" s="5"/>
      <c r="G36" s="5"/>
      <c r="H36" s="5"/>
      <c r="I36" s="5"/>
      <c r="J36" s="5"/>
    </row>
    <row r="37" spans="2:13">
      <c r="B37" s="5"/>
      <c r="C37" s="5"/>
      <c r="D37" s="5"/>
      <c r="E37" s="5"/>
      <c r="F37" s="5"/>
      <c r="G37" s="5"/>
      <c r="H37" s="5"/>
      <c r="I37" s="5"/>
      <c r="J37" s="5"/>
    </row>
  </sheetData>
  <mergeCells count="36">
    <mergeCell ref="H21:H23"/>
    <mergeCell ref="F34:G34"/>
    <mergeCell ref="C27:E27"/>
    <mergeCell ref="C32:E32"/>
    <mergeCell ref="F11:F32"/>
    <mergeCell ref="C25:E25"/>
    <mergeCell ref="C26:E26"/>
    <mergeCell ref="C28:E28"/>
    <mergeCell ref="C29:E29"/>
    <mergeCell ref="C30:E30"/>
    <mergeCell ref="C31:E31"/>
    <mergeCell ref="C17:E17"/>
    <mergeCell ref="C18:E18"/>
    <mergeCell ref="C19:E19"/>
    <mergeCell ref="C20:E20"/>
    <mergeCell ref="F9:F10"/>
    <mergeCell ref="G7:G8"/>
    <mergeCell ref="G9:G10"/>
    <mergeCell ref="G5:G6"/>
    <mergeCell ref="G21:G23"/>
    <mergeCell ref="H5:H6"/>
    <mergeCell ref="C23:E23"/>
    <mergeCell ref="C24:E24"/>
    <mergeCell ref="C15:E15"/>
    <mergeCell ref="C16:E16"/>
    <mergeCell ref="H7:H8"/>
    <mergeCell ref="H9:H10"/>
    <mergeCell ref="C21:E21"/>
    <mergeCell ref="C22:E22"/>
    <mergeCell ref="C11:E11"/>
    <mergeCell ref="C12:E12"/>
    <mergeCell ref="C13:E13"/>
    <mergeCell ref="C14:E14"/>
    <mergeCell ref="F5:F6"/>
    <mergeCell ref="C5:E10"/>
    <mergeCell ref="F7:F8"/>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3A4195-83CB-4D89-AE89-68688C34330F}">
  <sheetPr codeName="Feuil15"/>
  <dimension ref="B2:P32"/>
  <sheetViews>
    <sheetView zoomScale="76" zoomScaleNormal="86" workbookViewId="0">
      <selection activeCell="L31" sqref="L31"/>
    </sheetView>
  </sheetViews>
  <sheetFormatPr baseColWidth="10" defaultColWidth="11" defaultRowHeight="15.75"/>
  <cols>
    <col min="5" max="5" width="20.375" customWidth="1"/>
    <col min="6" max="6" width="20.125" customWidth="1"/>
    <col min="7" max="7" width="19" customWidth="1"/>
    <col min="8" max="8" width="16.625" customWidth="1"/>
    <col min="11" max="12" width="15.625" customWidth="1"/>
    <col min="13" max="13" width="19.5" customWidth="1"/>
  </cols>
  <sheetData>
    <row r="2" spans="2:16" ht="16.5" thickBot="1"/>
    <row r="3" spans="2:16" ht="16.5" customHeight="1">
      <c r="B3" s="1274" t="s">
        <v>570</v>
      </c>
      <c r="C3" s="1275"/>
      <c r="D3" s="1276"/>
      <c r="E3" s="1266" t="s">
        <v>672</v>
      </c>
      <c r="F3" s="1266" t="s">
        <v>673</v>
      </c>
      <c r="G3" s="1268" t="s">
        <v>656</v>
      </c>
      <c r="H3" s="1284" t="s">
        <v>674</v>
      </c>
      <c r="I3" s="1262" t="s">
        <v>655</v>
      </c>
      <c r="J3" s="1246" t="s">
        <v>675</v>
      </c>
    </row>
    <row r="4" spans="2:16">
      <c r="B4" s="1277"/>
      <c r="C4" s="1278"/>
      <c r="D4" s="1279"/>
      <c r="E4" s="1267"/>
      <c r="F4" s="1267"/>
      <c r="G4" s="1269"/>
      <c r="H4" s="1285"/>
      <c r="I4" s="1262"/>
      <c r="J4" s="1246"/>
    </row>
    <row r="5" spans="2:16">
      <c r="B5" s="1277"/>
      <c r="C5" s="1278"/>
      <c r="D5" s="1279"/>
      <c r="E5" s="1270" t="s">
        <v>676</v>
      </c>
      <c r="F5" s="1270" t="s">
        <v>677</v>
      </c>
      <c r="G5" s="1272" t="s">
        <v>678</v>
      </c>
      <c r="H5" s="835" t="s">
        <v>679</v>
      </c>
      <c r="I5" s="1260" t="s">
        <v>658</v>
      </c>
      <c r="J5" s="807" t="s">
        <v>680</v>
      </c>
    </row>
    <row r="6" spans="2:16">
      <c r="B6" s="1277"/>
      <c r="C6" s="1278"/>
      <c r="D6" s="1279"/>
      <c r="E6" s="1271"/>
      <c r="F6" s="1271"/>
      <c r="G6" s="1273"/>
      <c r="H6" s="838"/>
      <c r="I6" s="1260"/>
      <c r="J6" s="807"/>
      <c r="K6" s="297"/>
      <c r="L6" s="297"/>
      <c r="M6" s="296"/>
      <c r="N6" s="296"/>
      <c r="O6" s="296"/>
      <c r="P6" s="296"/>
    </row>
    <row r="7" spans="2:16" ht="17.45" customHeight="1">
      <c r="B7" s="1277"/>
      <c r="C7" s="1278"/>
      <c r="D7" s="1279"/>
      <c r="E7" s="1270" t="s">
        <v>623</v>
      </c>
      <c r="F7" s="1270" t="s">
        <v>623</v>
      </c>
      <c r="G7" s="1272" t="s">
        <v>623</v>
      </c>
      <c r="H7" s="835" t="s">
        <v>623</v>
      </c>
      <c r="I7" s="810" t="s">
        <v>226</v>
      </c>
      <c r="J7" s="807" t="s">
        <v>681</v>
      </c>
      <c r="K7" s="1263" t="s">
        <v>682</v>
      </c>
      <c r="L7" s="1264" t="s">
        <v>683</v>
      </c>
    </row>
    <row r="8" spans="2:16">
      <c r="B8" s="1280"/>
      <c r="C8" s="1281"/>
      <c r="D8" s="1282"/>
      <c r="E8" s="1283"/>
      <c r="F8" s="1283"/>
      <c r="G8" s="1273"/>
      <c r="H8" s="838"/>
      <c r="I8" s="810"/>
      <c r="J8" s="807"/>
      <c r="K8" s="1263"/>
      <c r="L8" s="1264"/>
    </row>
    <row r="9" spans="2:16" ht="15.75" customHeight="1">
      <c r="B9" s="1259" t="s">
        <v>571</v>
      </c>
      <c r="C9" s="1259"/>
      <c r="D9" s="1259"/>
      <c r="E9" s="693">
        <f>'Coffre-fort (1)'!L24</f>
        <v>83.864409064392873</v>
      </c>
      <c r="F9" s="694">
        <f>'Renouvellement d''air'!H28</f>
        <v>445.92768000000012</v>
      </c>
      <c r="G9" s="695">
        <f>'(Surpuissance de relance)'!H11</f>
        <v>741.07500000000016</v>
      </c>
      <c r="H9" s="696">
        <f t="shared" ref="H9:H25" si="0">SUM(E9:G9)</f>
        <v>1270.867089064393</v>
      </c>
      <c r="I9" s="697">
        <f>'(Surpuissance de relance)'!G11</f>
        <v>37.053750000000008</v>
      </c>
      <c r="J9" s="697" cm="1">
        <f t="array" ref="J9:J19">TRANSPOSE('Renouvellement d''air'!H11:R11)</f>
        <v>109.29600000000001</v>
      </c>
      <c r="K9" s="692">
        <f>H9/H$30*100</f>
        <v>3.4966249880635702</v>
      </c>
      <c r="L9" s="692">
        <f>H9/I9</f>
        <v>34.297934461812709</v>
      </c>
    </row>
    <row r="10" spans="2:16">
      <c r="B10" s="1259" t="s">
        <v>572</v>
      </c>
      <c r="C10" s="1259"/>
      <c r="D10" s="1259"/>
      <c r="E10" s="698">
        <f>'SDR (3)'!BI61</f>
        <v>996.76302091952971</v>
      </c>
      <c r="F10" s="694">
        <f>'Renouvellement d''air'!I28</f>
        <v>783.11520000000007</v>
      </c>
      <c r="G10" s="695">
        <f>'(Surpuissance de relance)'!H12</f>
        <v>670.03599999999994</v>
      </c>
      <c r="H10" s="696">
        <f>SUM(E10:G10)</f>
        <v>2449.9142209195297</v>
      </c>
      <c r="I10" s="697">
        <f>'(Surpuissance de relance)'!G12</f>
        <v>33.501799999999996</v>
      </c>
      <c r="J10" s="697">
        <v>82.26</v>
      </c>
      <c r="K10" s="692">
        <f t="shared" ref="K10:K29" si="1">H10/H$30*100</f>
        <v>6.7406193434327522</v>
      </c>
      <c r="L10" s="692">
        <f t="shared" ref="L10:L28" si="2">H10/I10</f>
        <v>73.127838531646958</v>
      </c>
    </row>
    <row r="11" spans="2:16">
      <c r="B11" s="1259" t="s">
        <v>573</v>
      </c>
      <c r="C11" s="1259"/>
      <c r="D11" s="1259"/>
      <c r="E11" s="693">
        <f>'Escalier (1)'!K46</f>
        <v>0</v>
      </c>
      <c r="F11" s="694">
        <f>'Renouvellement d''air'!J28</f>
        <v>0</v>
      </c>
      <c r="G11" s="695">
        <f>'(Surpuissance de relance)'!H13</f>
        <v>290.31999999999994</v>
      </c>
      <c r="H11" s="696">
        <f t="shared" si="0"/>
        <v>290.31999999999994</v>
      </c>
      <c r="I11" s="697">
        <f>'(Surpuissance de relance)'!G13</f>
        <v>14.515999999999998</v>
      </c>
      <c r="J11" s="697">
        <v>44.676000000000002</v>
      </c>
      <c r="K11" s="692">
        <f t="shared" si="1"/>
        <v>0.79877760252801688</v>
      </c>
      <c r="L11" s="692">
        <f t="shared" si="2"/>
        <v>19.999999999999996</v>
      </c>
    </row>
    <row r="12" spans="2:16">
      <c r="B12" s="1259" t="s">
        <v>661</v>
      </c>
      <c r="C12" s="1259"/>
      <c r="D12" s="1259"/>
      <c r="E12" s="698">
        <f>'SDR (3)'!L55</f>
        <v>1364.9886067206223</v>
      </c>
      <c r="F12" s="694">
        <f>'Renouvellement d''air'!K28</f>
        <v>807.5136</v>
      </c>
      <c r="G12" s="695">
        <f>'(Surpuissance de relance)'!H14</f>
        <v>623.40800000000002</v>
      </c>
      <c r="H12" s="696">
        <f t="shared" si="0"/>
        <v>2795.9102067206222</v>
      </c>
      <c r="I12" s="697">
        <f>'(Surpuissance de relance)'!G14</f>
        <v>31.170400000000001</v>
      </c>
      <c r="J12" s="697">
        <v>98.96</v>
      </c>
      <c r="K12" s="692">
        <f t="shared" si="1"/>
        <v>7.6925821569575339</v>
      </c>
      <c r="L12" s="692">
        <f t="shared" si="2"/>
        <v>89.697604352867529</v>
      </c>
    </row>
    <row r="13" spans="2:16">
      <c r="B13" s="1259" t="s">
        <v>662</v>
      </c>
      <c r="C13" s="1259"/>
      <c r="D13" s="1259"/>
      <c r="E13" s="698">
        <f>'Bureau (5)'!K51</f>
        <v>888.51307811329821</v>
      </c>
      <c r="F13" s="694">
        <f>'Renouvellement d''air'!L28</f>
        <v>661.67400000000009</v>
      </c>
      <c r="G13" s="695">
        <f>'(Surpuissance de relance)'!H15</f>
        <v>403.2</v>
      </c>
      <c r="H13" s="696">
        <f t="shared" si="0"/>
        <v>1953.3870781132985</v>
      </c>
      <c r="I13" s="697">
        <f>'(Surpuissance de relance)'!G15</f>
        <v>20.16</v>
      </c>
      <c r="J13" s="697">
        <v>64.87</v>
      </c>
      <c r="K13" s="692">
        <f t="shared" si="1"/>
        <v>5.3744896909084767</v>
      </c>
      <c r="L13" s="692">
        <f t="shared" si="2"/>
        <v>96.894200303239003</v>
      </c>
    </row>
    <row r="14" spans="2:16">
      <c r="B14" s="1259" t="s">
        <v>663</v>
      </c>
      <c r="C14" s="1259"/>
      <c r="D14" s="1259"/>
      <c r="E14" s="698">
        <f>'Bureau (5)'!K103</f>
        <v>582.27359499023362</v>
      </c>
      <c r="F14" s="694">
        <f>'Renouvellement d''air'!M28</f>
        <v>532.58688000000006</v>
      </c>
      <c r="G14" s="695">
        <f>'(Surpuissance de relance)'!H16</f>
        <v>403.2</v>
      </c>
      <c r="H14" s="696">
        <f t="shared" si="0"/>
        <v>1518.0604749902338</v>
      </c>
      <c r="I14" s="697">
        <f>'(Surpuissance de relance)'!G16</f>
        <v>20.16</v>
      </c>
      <c r="J14" s="697">
        <v>65.268000000000001</v>
      </c>
      <c r="K14" s="692">
        <f t="shared" si="1"/>
        <v>4.1767453386099538</v>
      </c>
      <c r="L14" s="692">
        <f t="shared" si="2"/>
        <v>75.300618799118737</v>
      </c>
    </row>
    <row r="15" spans="2:16">
      <c r="B15" s="1259" t="s">
        <v>40</v>
      </c>
      <c r="C15" s="1259"/>
      <c r="D15" s="1259"/>
      <c r="E15" s="698">
        <f>'Bureau (5)'!AI105</f>
        <v>607.00326551320916</v>
      </c>
      <c r="F15" s="694">
        <f>'Renouvellement d''air'!N28</f>
        <v>665.73360000000002</v>
      </c>
      <c r="G15" s="695">
        <f>'(Surpuissance de relance)'!H17</f>
        <v>430.4</v>
      </c>
      <c r="H15" s="696">
        <f t="shared" si="0"/>
        <v>1703.1368655132092</v>
      </c>
      <c r="I15" s="697">
        <f>'(Surpuissance de relance)'!G17</f>
        <v>21.52</v>
      </c>
      <c r="J15" s="697">
        <v>65.268000000000001</v>
      </c>
      <c r="K15" s="692">
        <f t="shared" si="1"/>
        <v>4.6859588805859849</v>
      </c>
      <c r="L15" s="692">
        <f t="shared" si="2"/>
        <v>79.142047653959537</v>
      </c>
    </row>
    <row r="16" spans="2:16">
      <c r="B16" s="1259" t="s">
        <v>664</v>
      </c>
      <c r="C16" s="1259"/>
      <c r="D16" s="1259"/>
      <c r="E16" s="698">
        <f>'Bureau (5)'!AI49</f>
        <v>1760.8771777313507</v>
      </c>
      <c r="F16" s="694">
        <f>'Renouvellement d''air'!O28</f>
        <v>2282.5151999999998</v>
      </c>
      <c r="G16" s="695">
        <f>'(Surpuissance de relance)'!H18</f>
        <v>721.99200000000008</v>
      </c>
      <c r="H16" s="696">
        <f>SUM(E16:G16)</f>
        <v>4765.3843777313505</v>
      </c>
      <c r="I16" s="697">
        <f>'(Surpuissance de relance)'!G18</f>
        <v>36.099600000000002</v>
      </c>
      <c r="J16" s="697">
        <v>119.88</v>
      </c>
      <c r="K16" s="692">
        <f t="shared" si="1"/>
        <v>13.111333385122329</v>
      </c>
      <c r="L16" s="692">
        <f t="shared" si="2"/>
        <v>132.00657009305783</v>
      </c>
    </row>
    <row r="17" spans="2:12">
      <c r="B17" s="1259" t="s">
        <v>665</v>
      </c>
      <c r="C17" s="1259"/>
      <c r="D17" s="1259"/>
      <c r="E17" s="693">
        <f>'Couloir (1)'!AB50</f>
        <v>544.66884974492871</v>
      </c>
      <c r="F17" s="694">
        <f>'Renouvellement d''air'!P28</f>
        <v>728.76960000000008</v>
      </c>
      <c r="G17" s="695">
        <f>'(Surpuissance de relance)'!H19</f>
        <v>981.25</v>
      </c>
      <c r="H17" s="696">
        <f t="shared" si="0"/>
        <v>2254.6884497449287</v>
      </c>
      <c r="I17" s="697">
        <f>'(Surpuissance de relance)'!G19</f>
        <v>49.0625</v>
      </c>
      <c r="J17" s="697">
        <v>164.88</v>
      </c>
      <c r="K17" s="692">
        <f t="shared" si="1"/>
        <v>6.2034811047632461</v>
      </c>
      <c r="L17" s="692">
        <f t="shared" si="2"/>
        <v>45.95543337059727</v>
      </c>
    </row>
    <row r="18" spans="2:12">
      <c r="B18" s="1259" t="s">
        <v>579</v>
      </c>
      <c r="C18" s="1259"/>
      <c r="D18" s="1259"/>
      <c r="E18" s="693">
        <f>'Distrib et Approv'!M72</f>
        <v>27.446599402006406</v>
      </c>
      <c r="F18" s="694">
        <f>'Renouvellement d''air'!Q28</f>
        <v>115.20288000000001</v>
      </c>
      <c r="G18" s="695">
        <f>'(Surpuissance de relance)'!H20</f>
        <v>171.81</v>
      </c>
      <c r="H18" s="696">
        <f>SUM(E18:G18)</f>
        <v>314.45947940200642</v>
      </c>
      <c r="I18" s="697">
        <f>'(Surpuissance de relance)'!G20</f>
        <v>8.5905000000000005</v>
      </c>
      <c r="J18" s="697">
        <v>26.064</v>
      </c>
      <c r="K18" s="692">
        <f t="shared" si="1"/>
        <v>0.86519423067285428</v>
      </c>
      <c r="L18" s="692">
        <f t="shared" si="2"/>
        <v>36.605492043770028</v>
      </c>
    </row>
    <row r="19" spans="2:12">
      <c r="B19" s="1288" t="s">
        <v>684</v>
      </c>
      <c r="C19" s="1289"/>
      <c r="D19" s="1290"/>
      <c r="E19" s="698">
        <f>'Entrée (1)'!K39</f>
        <v>930.64034404367976</v>
      </c>
      <c r="F19" s="694">
        <f>'Renouvellement d''air'!R28</f>
        <v>289.71774000000005</v>
      </c>
      <c r="G19" s="695">
        <f>'(Surpuissance de relance)'!H21</f>
        <v>364.15</v>
      </c>
      <c r="H19" s="696">
        <f t="shared" si="0"/>
        <v>1584.5080840436799</v>
      </c>
      <c r="I19" s="697">
        <f>'(Surpuissance de relance)'!G21</f>
        <v>18.2075</v>
      </c>
      <c r="J19" s="697">
        <v>65.546999999999997</v>
      </c>
      <c r="K19" s="692">
        <f t="shared" si="1"/>
        <v>4.359567265633344</v>
      </c>
      <c r="L19" s="692">
        <f t="shared" si="2"/>
        <v>87.025021779139365</v>
      </c>
    </row>
    <row r="20" spans="2:12">
      <c r="B20" s="1259" t="s">
        <v>583</v>
      </c>
      <c r="C20" s="1259"/>
      <c r="D20" s="1259"/>
      <c r="E20" s="693">
        <f>'Distrib et Approv'!K30</f>
        <v>57.509899218452375</v>
      </c>
      <c r="F20" s="694" cm="1">
        <f t="array" ref="F20:F29">TRANSPOSE('Renouvellement d''air'!U28:AD28)</f>
        <v>337.49352000000005</v>
      </c>
      <c r="G20" s="695" cm="1">
        <f t="array" ref="G20:G29">'(Surpuissance de relance)'!H24:H33</f>
        <v>461.61</v>
      </c>
      <c r="H20" s="696">
        <f t="shared" si="0"/>
        <v>856.61341921845246</v>
      </c>
      <c r="I20" s="697">
        <f>'(Surpuissance de relance)'!G24</f>
        <v>23.080500000000001</v>
      </c>
      <c r="J20" s="697" cm="1">
        <f t="array" ref="J20:J29">TRANSPOSE('Renouvellement d''air'!U11:AD11)</f>
        <v>76.356000000000009</v>
      </c>
      <c r="K20" s="692">
        <f t="shared" si="1"/>
        <v>2.3568600623334346</v>
      </c>
      <c r="L20" s="692">
        <f t="shared" si="2"/>
        <v>37.114162137668266</v>
      </c>
    </row>
    <row r="21" spans="2:12">
      <c r="B21" s="1259" t="s">
        <v>584</v>
      </c>
      <c r="C21" s="1259"/>
      <c r="D21" s="1259"/>
      <c r="E21" s="693">
        <f>'Bureau (5)'!K160</f>
        <v>1401.0483519837869</v>
      </c>
      <c r="F21" s="694">
        <v>1102.3344000000002</v>
      </c>
      <c r="G21" s="695">
        <v>643.5</v>
      </c>
      <c r="H21" s="696">
        <f t="shared" si="0"/>
        <v>3146.8827519837869</v>
      </c>
      <c r="I21" s="697">
        <f>'(Surpuissance de relance)'!G25</f>
        <v>32.174999999999997</v>
      </c>
      <c r="J21" s="697">
        <v>108.072</v>
      </c>
      <c r="K21" s="692">
        <f t="shared" si="1"/>
        <v>8.6582373245604085</v>
      </c>
      <c r="L21" s="692">
        <f t="shared" si="2"/>
        <v>97.805213736869845</v>
      </c>
    </row>
    <row r="22" spans="2:12">
      <c r="B22" s="1259" t="s">
        <v>668</v>
      </c>
      <c r="C22" s="1259"/>
      <c r="D22" s="1259"/>
      <c r="E22" s="693">
        <f>'SDR (3)'!AI55</f>
        <v>345.60192826993796</v>
      </c>
      <c r="F22" s="699">
        <v>3606.7852800000001</v>
      </c>
      <c r="G22" s="695">
        <v>1052.3999999999999</v>
      </c>
      <c r="H22" s="696">
        <f t="shared" si="0"/>
        <v>5004.7872082699378</v>
      </c>
      <c r="I22" s="697">
        <f>'(Surpuissance de relance)'!G26</f>
        <v>52.62</v>
      </c>
      <c r="J22" s="697">
        <v>189.43199999999999</v>
      </c>
      <c r="K22" s="692">
        <f t="shared" si="1"/>
        <v>13.770019038938925</v>
      </c>
      <c r="L22" s="692">
        <f t="shared" si="2"/>
        <v>95.111881571074463</v>
      </c>
    </row>
    <row r="23" spans="2:12">
      <c r="B23" s="1235" t="s">
        <v>669</v>
      </c>
      <c r="C23" s="1236"/>
      <c r="D23" s="1237"/>
      <c r="E23" s="693">
        <f>'Salle d''attente (1)'!L48</f>
        <v>1397.83524187689</v>
      </c>
      <c r="F23" s="700">
        <v>812.54016000000024</v>
      </c>
      <c r="G23" s="695">
        <v>1000.4920152091255</v>
      </c>
      <c r="H23" s="696">
        <f t="shared" si="0"/>
        <v>3210.8674170860158</v>
      </c>
      <c r="I23" s="697">
        <f>'(Surpuissance de relance)'!G27</f>
        <v>50.024600760456273</v>
      </c>
      <c r="J23" s="697">
        <v>199.15200000000002</v>
      </c>
      <c r="K23" s="692">
        <f t="shared" si="1"/>
        <v>8.8342827826374144</v>
      </c>
      <c r="L23" s="692">
        <f t="shared" si="2"/>
        <v>64.185767967670827</v>
      </c>
    </row>
    <row r="24" spans="2:12">
      <c r="B24" s="1259" t="s">
        <v>587</v>
      </c>
      <c r="C24" s="1259"/>
      <c r="D24" s="1259"/>
      <c r="E24" s="701">
        <f>'WC (4)'!K131</f>
        <v>12.59826229754222</v>
      </c>
      <c r="F24" s="700">
        <v>208.42272000000003</v>
      </c>
      <c r="G24" s="702">
        <v>94.600000000000009</v>
      </c>
      <c r="H24" s="696">
        <f t="shared" si="0"/>
        <v>315.62098229754224</v>
      </c>
      <c r="I24" s="697">
        <f>'(Surpuissance de relance)'!G28</f>
        <v>4.7300000000000004</v>
      </c>
      <c r="J24" s="697">
        <v>17.028000000000002</v>
      </c>
      <c r="K24" s="692">
        <f t="shared" si="1"/>
        <v>0.86838995435095234</v>
      </c>
      <c r="L24" s="692">
        <f t="shared" si="2"/>
        <v>66.727480401171718</v>
      </c>
    </row>
    <row r="25" spans="2:12">
      <c r="B25" s="1259" t="s">
        <v>588</v>
      </c>
      <c r="C25" s="1259"/>
      <c r="D25" s="1235"/>
      <c r="E25" s="693">
        <f>'WC (4)'!K177</f>
        <v>11.501979843690474</v>
      </c>
      <c r="F25" s="700">
        <v>192.55968000000004</v>
      </c>
      <c r="G25" s="700">
        <v>87.4</v>
      </c>
      <c r="H25" s="703">
        <f t="shared" si="0"/>
        <v>291.46165984369054</v>
      </c>
      <c r="I25" s="697">
        <f>'(Surpuissance de relance)'!G29</f>
        <v>4.37</v>
      </c>
      <c r="J25" s="697">
        <v>15.732000000000001</v>
      </c>
      <c r="K25" s="692">
        <f t="shared" si="1"/>
        <v>0.80191873063784636</v>
      </c>
      <c r="L25" s="692">
        <f t="shared" si="2"/>
        <v>66.696032000844511</v>
      </c>
    </row>
    <row r="26" spans="2:12">
      <c r="B26" s="1259" t="s">
        <v>589</v>
      </c>
      <c r="C26" s="1259"/>
      <c r="D26" s="1235"/>
      <c r="E26" s="693">
        <f>'WC (4)'!K40</f>
        <v>284.16775425391933</v>
      </c>
      <c r="F26" s="700">
        <v>766.71360000000004</v>
      </c>
      <c r="G26" s="700">
        <v>348</v>
      </c>
      <c r="H26" s="703">
        <f>SUM(E26:G26)</f>
        <v>1398.8813542539194</v>
      </c>
      <c r="I26" s="697">
        <f>'(Surpuissance de relance)'!G30</f>
        <v>17.399999999999999</v>
      </c>
      <c r="J26" s="697">
        <v>62.639999999999993</v>
      </c>
      <c r="K26" s="692">
        <f t="shared" si="1"/>
        <v>3.8488395369664219</v>
      </c>
      <c r="L26" s="692">
        <f t="shared" si="2"/>
        <v>80.395480129535599</v>
      </c>
    </row>
    <row r="27" spans="2:12">
      <c r="B27" s="1259" t="s">
        <v>590</v>
      </c>
      <c r="C27" s="1259"/>
      <c r="D27" s="1235"/>
      <c r="E27" s="693">
        <f>'WC (4)'!K87</f>
        <v>145.63946475084583</v>
      </c>
      <c r="F27" s="700">
        <v>540.66527999999994</v>
      </c>
      <c r="G27" s="700">
        <v>245.39999999999998</v>
      </c>
      <c r="H27" s="703">
        <f>SUM(E27:G27)</f>
        <v>931.70474475084575</v>
      </c>
      <c r="I27" s="697">
        <f>'(Surpuissance de relance)'!G31</f>
        <v>12.27</v>
      </c>
      <c r="J27" s="697">
        <v>44.171999999999997</v>
      </c>
      <c r="K27" s="692">
        <f t="shared" si="1"/>
        <v>2.56346404752018</v>
      </c>
      <c r="L27" s="692">
        <f t="shared" si="2"/>
        <v>75.933557029408789</v>
      </c>
    </row>
    <row r="28" spans="2:12">
      <c r="B28" s="1259" t="s">
        <v>670</v>
      </c>
      <c r="C28" s="1259"/>
      <c r="D28" s="1235"/>
      <c r="E28" s="698">
        <f>'Trappe (2)'!L46</f>
        <v>0</v>
      </c>
      <c r="F28" s="697">
        <v>0</v>
      </c>
      <c r="G28" s="700">
        <v>217.8</v>
      </c>
      <c r="H28" s="703">
        <f>SUM(E28:G28)</f>
        <v>217.8</v>
      </c>
      <c r="I28" s="697">
        <f>'(Surpuissance de relance)'!G32</f>
        <v>10.89</v>
      </c>
      <c r="J28" s="697">
        <v>39.204000000000001</v>
      </c>
      <c r="K28" s="692">
        <f t="shared" si="1"/>
        <v>0.59924828406793229</v>
      </c>
      <c r="L28" s="692">
        <f t="shared" si="2"/>
        <v>20</v>
      </c>
    </row>
    <row r="29" spans="2:12" ht="16.5" thickBot="1">
      <c r="B29" s="198" t="s">
        <v>671</v>
      </c>
      <c r="C29" s="442"/>
      <c r="D29" s="442"/>
      <c r="E29" s="698">
        <f>'Trappe (2)'!Z51</f>
        <v>0</v>
      </c>
      <c r="F29" s="697">
        <v>0</v>
      </c>
      <c r="G29" s="700">
        <v>70.279999999999987</v>
      </c>
      <c r="H29" s="703">
        <f>SUM(E29:G29)</f>
        <v>70.279999999999987</v>
      </c>
      <c r="I29" s="704">
        <f>'(Surpuissance de relance)'!G33</f>
        <v>3.5139999999999993</v>
      </c>
      <c r="J29" s="697">
        <v>12.650399999999998</v>
      </c>
      <c r="K29" s="692">
        <f t="shared" si="1"/>
        <v>0.19336625070842184</v>
      </c>
      <c r="L29" s="692">
        <f>H29/I29</f>
        <v>20</v>
      </c>
    </row>
    <row r="30" spans="2:12" ht="16.5" thickBot="1">
      <c r="B30" s="1286" t="s">
        <v>71</v>
      </c>
      <c r="C30" s="1287"/>
      <c r="D30" s="1287"/>
      <c r="E30" s="705">
        <f>SUM(E9:E29)</f>
        <v>11442.941828738316</v>
      </c>
      <c r="F30" s="705">
        <f>SUM(F9:F27)</f>
        <v>14880.271020000002</v>
      </c>
      <c r="G30" s="705">
        <f>SUM(G9:G29)</f>
        <v>10022.323015209124</v>
      </c>
      <c r="H30" s="706">
        <f>SUM(H9:H29)</f>
        <v>36345.535863947443</v>
      </c>
      <c r="I30" s="707">
        <f>SUM(I9:I29)</f>
        <v>501.11615076045632</v>
      </c>
      <c r="J30" s="707">
        <f>SUM(J9:J29)</f>
        <v>1671.4074000000001</v>
      </c>
      <c r="K30" s="706">
        <f t="shared" ref="K30" si="3">SUM(K9:K29)</f>
        <v>100</v>
      </c>
      <c r="L30" s="692">
        <f>H30/I30</f>
        <v>72.529164763083728</v>
      </c>
    </row>
    <row r="31" spans="2:12">
      <c r="B31" s="1265" t="s">
        <v>685</v>
      </c>
      <c r="C31" s="1265"/>
      <c r="D31" s="1265"/>
      <c r="E31" s="692">
        <f>E30/H30*100</f>
        <v>31.483761503951346</v>
      </c>
      <c r="F31" s="692">
        <f>F30/H30*100</f>
        <v>40.94112431221663</v>
      </c>
      <c r="G31" s="692">
        <f>G30/H30*100</f>
        <v>27.575114183832017</v>
      </c>
      <c r="H31" s="692"/>
      <c r="I31" s="692"/>
      <c r="J31" s="692"/>
      <c r="K31" s="692"/>
      <c r="L31" s="692"/>
    </row>
    <row r="32" spans="2:12">
      <c r="E32" s="692"/>
      <c r="F32" s="692"/>
      <c r="G32" s="692"/>
      <c r="H32" s="692"/>
      <c r="I32" s="692"/>
      <c r="J32" s="692"/>
      <c r="K32" s="692"/>
      <c r="L32" s="692"/>
    </row>
  </sheetData>
  <mergeCells count="43">
    <mergeCell ref="H3:H4"/>
    <mergeCell ref="H5:H6"/>
    <mergeCell ref="H7:H8"/>
    <mergeCell ref="B30:D30"/>
    <mergeCell ref="B25:D25"/>
    <mergeCell ref="B24:D24"/>
    <mergeCell ref="B18:D18"/>
    <mergeCell ref="B19:D19"/>
    <mergeCell ref="B20:D20"/>
    <mergeCell ref="B21:D21"/>
    <mergeCell ref="B22:D22"/>
    <mergeCell ref="B23:D23"/>
    <mergeCell ref="B9:D9"/>
    <mergeCell ref="F7:F8"/>
    <mergeCell ref="G7:G8"/>
    <mergeCell ref="B13:D13"/>
    <mergeCell ref="K7:K8"/>
    <mergeCell ref="L7:L8"/>
    <mergeCell ref="B31:D31"/>
    <mergeCell ref="F3:F4"/>
    <mergeCell ref="G3:G4"/>
    <mergeCell ref="E5:E6"/>
    <mergeCell ref="F5:F6"/>
    <mergeCell ref="G5:G6"/>
    <mergeCell ref="B26:D26"/>
    <mergeCell ref="B27:D27"/>
    <mergeCell ref="B28:D28"/>
    <mergeCell ref="B3:D8"/>
    <mergeCell ref="E3:E4"/>
    <mergeCell ref="E7:E8"/>
    <mergeCell ref="B16:D16"/>
    <mergeCell ref="B17:D17"/>
    <mergeCell ref="B14:D14"/>
    <mergeCell ref="B15:D15"/>
    <mergeCell ref="B10:D10"/>
    <mergeCell ref="B11:D11"/>
    <mergeCell ref="B12:D12"/>
    <mergeCell ref="I3:I4"/>
    <mergeCell ref="J5:J6"/>
    <mergeCell ref="J7:J8"/>
    <mergeCell ref="J3:J4"/>
    <mergeCell ref="I5:I6"/>
    <mergeCell ref="I7:I8"/>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C33F08-B7A3-4F72-AC0A-F1E32D61B1AE}">
  <sheetPr codeName="Feuil16">
    <pageSetUpPr autoPageBreaks="0"/>
  </sheetPr>
  <dimension ref="A1:N25"/>
  <sheetViews>
    <sheetView zoomScale="90" zoomScaleNormal="85" zoomScalePageLayoutView="29" workbookViewId="0">
      <selection activeCell="M22" sqref="M22"/>
    </sheetView>
  </sheetViews>
  <sheetFormatPr baseColWidth="10" defaultColWidth="11" defaultRowHeight="15.75"/>
  <sheetData>
    <row r="1" spans="1:14">
      <c r="A1" s="5"/>
      <c r="B1" s="5"/>
      <c r="C1" s="5"/>
      <c r="G1" s="5"/>
      <c r="H1" s="5"/>
      <c r="I1" s="5"/>
      <c r="J1" s="5"/>
      <c r="K1" s="5"/>
      <c r="L1" s="5"/>
      <c r="M1" s="5"/>
      <c r="N1" s="5"/>
    </row>
    <row r="2" spans="1:14">
      <c r="A2" s="5"/>
      <c r="B2" s="1" t="s">
        <v>686</v>
      </c>
      <c r="C2" s="612"/>
      <c r="D2" s="5"/>
      <c r="E2" s="5"/>
      <c r="F2" s="5"/>
      <c r="G2" s="5"/>
      <c r="H2" s="5"/>
      <c r="I2" s="5"/>
      <c r="J2" s="5"/>
      <c r="K2" s="5"/>
      <c r="L2" s="5"/>
      <c r="M2" s="5"/>
      <c r="N2" s="5"/>
    </row>
    <row r="3" spans="1:14">
      <c r="A3" s="5"/>
      <c r="B3" s="1" t="s">
        <v>687</v>
      </c>
      <c r="C3" s="613"/>
      <c r="D3" s="5"/>
      <c r="E3" s="740" t="s">
        <v>688</v>
      </c>
      <c r="F3" s="5"/>
      <c r="G3" s="5"/>
      <c r="H3" s="5"/>
      <c r="I3" s="5"/>
      <c r="J3" s="5"/>
      <c r="K3" s="5"/>
      <c r="L3" s="5"/>
      <c r="M3" s="5"/>
      <c r="N3" s="5"/>
    </row>
    <row r="4" spans="1:14">
      <c r="A4" s="5"/>
      <c r="B4" s="5"/>
      <c r="C4" s="614"/>
      <c r="D4" s="614"/>
      <c r="E4" s="5"/>
      <c r="F4" s="5"/>
      <c r="G4" s="5"/>
      <c r="H4" s="5"/>
      <c r="I4" s="5"/>
      <c r="J4" s="5"/>
      <c r="K4" s="5"/>
      <c r="L4" s="5"/>
      <c r="M4" s="5"/>
      <c r="N4" s="5"/>
    </row>
    <row r="5" spans="1:14">
      <c r="A5" s="5"/>
      <c r="B5" s="614"/>
      <c r="C5" s="614"/>
      <c r="D5" s="614"/>
      <c r="E5" s="5"/>
      <c r="F5" s="5"/>
      <c r="G5" s="5"/>
      <c r="H5" s="5"/>
      <c r="I5" s="5"/>
      <c r="J5" s="5"/>
      <c r="K5" s="5"/>
      <c r="L5" s="5"/>
      <c r="M5" s="5"/>
      <c r="N5" s="5"/>
    </row>
    <row r="6" spans="1:14" ht="19.5">
      <c r="A6" s="5"/>
      <c r="B6" s="810" t="s">
        <v>570</v>
      </c>
      <c r="C6" s="810"/>
      <c r="D6" s="810"/>
      <c r="E6" s="2" t="s">
        <v>295</v>
      </c>
      <c r="F6" s="6" t="s">
        <v>689</v>
      </c>
      <c r="G6" s="2" t="s">
        <v>337</v>
      </c>
      <c r="H6" s="2" t="s">
        <v>690</v>
      </c>
      <c r="I6" s="2" t="s">
        <v>691</v>
      </c>
      <c r="J6" s="2" t="s">
        <v>692</v>
      </c>
      <c r="K6" s="2" t="s">
        <v>478</v>
      </c>
      <c r="L6" s="2" t="s">
        <v>693</v>
      </c>
      <c r="M6" s="1308" t="s">
        <v>694</v>
      </c>
      <c r="N6" s="1309"/>
    </row>
    <row r="7" spans="1:14" ht="19.5" thickBot="1">
      <c r="A7" s="5"/>
      <c r="B7" s="810"/>
      <c r="C7" s="810"/>
      <c r="D7" s="810"/>
      <c r="E7" s="220" t="s">
        <v>262</v>
      </c>
      <c r="F7" s="220" t="s">
        <v>262</v>
      </c>
      <c r="G7" s="220" t="s">
        <v>228</v>
      </c>
      <c r="H7" s="220" t="s">
        <v>262</v>
      </c>
      <c r="I7" s="220" t="s">
        <v>660</v>
      </c>
      <c r="J7" s="220" t="s">
        <v>660</v>
      </c>
      <c r="K7" s="220" t="s">
        <v>262</v>
      </c>
      <c r="L7" s="220" t="s">
        <v>695</v>
      </c>
      <c r="M7" s="220" t="s">
        <v>623</v>
      </c>
      <c r="N7" s="5"/>
    </row>
    <row r="8" spans="1:14" ht="16.5" thickBot="1">
      <c r="A8" s="5"/>
      <c r="B8" s="1299" t="s">
        <v>696</v>
      </c>
      <c r="C8" s="1299"/>
      <c r="D8" s="1299"/>
      <c r="E8" s="1299"/>
      <c r="F8" s="1299"/>
      <c r="G8" s="1299"/>
      <c r="H8" s="1299"/>
      <c r="I8" s="1299"/>
      <c r="J8" s="1299"/>
      <c r="K8" s="1299"/>
      <c r="L8" s="1299"/>
      <c r="M8" s="1299"/>
      <c r="N8" s="5"/>
    </row>
    <row r="9" spans="1:14">
      <c r="A9" s="5"/>
      <c r="B9" s="1300" t="s">
        <v>697</v>
      </c>
      <c r="C9" s="1301"/>
      <c r="D9" s="1301"/>
      <c r="E9" s="1301"/>
      <c r="F9" s="1301"/>
      <c r="G9" s="1301"/>
      <c r="H9" s="1301"/>
      <c r="I9" s="1301"/>
      <c r="J9" s="1301"/>
      <c r="K9" s="1301"/>
      <c r="L9" s="1301"/>
      <c r="M9" s="1302"/>
      <c r="N9" s="5"/>
    </row>
    <row r="10" spans="1:14">
      <c r="A10" s="5"/>
      <c r="B10" s="1303" t="s">
        <v>624</v>
      </c>
      <c r="C10" s="1304"/>
      <c r="D10" s="1305"/>
      <c r="E10" s="615">
        <v>-2.2000000000000002</v>
      </c>
      <c r="F10" s="615">
        <v>1.7</v>
      </c>
      <c r="G10" s="776"/>
      <c r="H10" s="777"/>
      <c r="I10" s="777"/>
      <c r="J10" s="778"/>
      <c r="K10" s="615">
        <f>E10+F10</f>
        <v>-0.50000000000000022</v>
      </c>
      <c r="L10" s="615">
        <f>'WC (4)'!G4</f>
        <v>13.827224999999999</v>
      </c>
      <c r="M10" s="779">
        <f>K10*L10*Parois!$L$13</f>
        <v>-2.1568361365969877</v>
      </c>
      <c r="N10" s="5"/>
    </row>
    <row r="11" spans="1:14">
      <c r="A11" s="5"/>
      <c r="B11" s="1294" t="s">
        <v>625</v>
      </c>
      <c r="C11" s="1294"/>
      <c r="D11" s="1294"/>
      <c r="E11" s="615">
        <v>-2.2000000000000002</v>
      </c>
      <c r="F11" s="615">
        <v>1.7</v>
      </c>
      <c r="G11" s="780"/>
      <c r="H11" s="781"/>
      <c r="I11" s="781"/>
      <c r="J11" s="782"/>
      <c r="K11" s="615">
        <f>E11+F11</f>
        <v>-0.50000000000000022</v>
      </c>
      <c r="L11" s="615">
        <f>'WC (4)'!G48</f>
        <v>15.101099999999999</v>
      </c>
      <c r="M11" s="779">
        <f>K11*L11*Parois!$L$13</f>
        <v>-2.3555412009542605</v>
      </c>
      <c r="N11" s="5"/>
    </row>
    <row r="12" spans="1:14">
      <c r="A12" s="5"/>
      <c r="B12" s="1294" t="s">
        <v>698</v>
      </c>
      <c r="C12" s="1294"/>
      <c r="D12" s="1294"/>
      <c r="E12" s="615">
        <v>0</v>
      </c>
      <c r="F12" s="615">
        <v>1.7</v>
      </c>
      <c r="G12" s="780"/>
      <c r="H12" s="781"/>
      <c r="I12" s="781"/>
      <c r="J12" s="782"/>
      <c r="K12" s="615">
        <f>E12+F12</f>
        <v>1.7</v>
      </c>
      <c r="L12" s="615">
        <f>'SDR (3)'!BE12</f>
        <v>19.513200000000005</v>
      </c>
      <c r="M12" s="779">
        <f>K12*L12*Parois!$L$13</f>
        <v>10.34878904929881</v>
      </c>
      <c r="N12" s="5"/>
    </row>
    <row r="13" spans="1:14">
      <c r="A13" s="5"/>
      <c r="B13" s="1294" t="s">
        <v>455</v>
      </c>
      <c r="C13" s="1294"/>
      <c r="D13" s="1294"/>
      <c r="E13" s="615">
        <v>-1.1000000000000001</v>
      </c>
      <c r="F13" s="615">
        <v>1.7</v>
      </c>
      <c r="G13" s="783"/>
      <c r="H13" s="784"/>
      <c r="I13" s="784"/>
      <c r="J13" s="785"/>
      <c r="K13" s="615">
        <f>E13+F13</f>
        <v>0.59999999999999987</v>
      </c>
      <c r="L13" s="615">
        <f>'Escalier (1)'!G6</f>
        <v>14.972</v>
      </c>
      <c r="M13" s="779">
        <f>K13*L13*Parois!$L$13</f>
        <v>2.8024842847755855</v>
      </c>
      <c r="N13" s="5"/>
    </row>
    <row r="14" spans="1:14" ht="16.5" thickBot="1">
      <c r="A14" s="5"/>
      <c r="B14" s="1306" t="s">
        <v>699</v>
      </c>
      <c r="C14" s="1307"/>
      <c r="D14" s="1307"/>
      <c r="E14" s="764">
        <v>-2.2000000000000002</v>
      </c>
      <c r="F14" s="615">
        <v>1.7</v>
      </c>
      <c r="G14" s="786"/>
      <c r="H14" s="787"/>
      <c r="I14" s="787"/>
      <c r="J14" s="788"/>
      <c r="K14" s="615">
        <f>E14+F14</f>
        <v>-0.50000000000000022</v>
      </c>
      <c r="L14" s="764">
        <f>'SDR (3)'!H7</f>
        <v>28.033100000000001</v>
      </c>
      <c r="M14" s="779">
        <f>K14*L14*Parois!$L$13</f>
        <v>-4.3727358960917337</v>
      </c>
      <c r="N14" s="5"/>
    </row>
    <row r="15" spans="1:14" ht="16.5" thickBot="1">
      <c r="A15" s="5"/>
      <c r="B15" s="1298"/>
      <c r="C15" s="1298"/>
      <c r="D15" s="1298"/>
      <c r="E15" s="615"/>
      <c r="F15" s="615"/>
      <c r="G15" s="756"/>
      <c r="H15" s="756"/>
      <c r="I15" s="756"/>
      <c r="J15" s="756"/>
      <c r="K15" s="615"/>
      <c r="L15" s="615"/>
      <c r="M15" s="615"/>
      <c r="N15" s="5"/>
    </row>
    <row r="16" spans="1:14" ht="16.5" thickBot="1">
      <c r="A16" s="5"/>
      <c r="B16" s="1291" t="s">
        <v>700</v>
      </c>
      <c r="C16" s="1291"/>
      <c r="D16" s="1291"/>
      <c r="E16" s="1291"/>
      <c r="F16" s="1291"/>
      <c r="G16" s="1291"/>
      <c r="H16" s="1291"/>
      <c r="I16" s="1291"/>
      <c r="J16" s="1291"/>
      <c r="K16" s="1291"/>
      <c r="L16" s="1292"/>
      <c r="M16" s="1293"/>
      <c r="N16" s="5"/>
    </row>
    <row r="17" spans="1:14" ht="16.5" thickBot="1">
      <c r="A17" s="5"/>
      <c r="B17" s="1296" t="s">
        <v>701</v>
      </c>
      <c r="C17" s="1297"/>
      <c r="D17" s="1297"/>
      <c r="E17" s="789">
        <v>-2.2000000000000002</v>
      </c>
      <c r="F17" s="790">
        <v>1.7</v>
      </c>
      <c r="G17" s="789">
        <v>1</v>
      </c>
      <c r="H17" s="789">
        <v>11.1</v>
      </c>
      <c r="I17" s="615">
        <v>442</v>
      </c>
      <c r="J17" s="615">
        <v>444</v>
      </c>
      <c r="K17" s="791">
        <f>E17+F17+(G17*(J17/I17)*(H17-F17))</f>
        <v>8.9425339366515839</v>
      </c>
      <c r="L17" s="792">
        <f>'SDR (3)'!H8</f>
        <v>15.226199999999999</v>
      </c>
      <c r="M17" s="792">
        <f>K17*L17*Parois!$L$13</f>
        <v>42.478017951438318</v>
      </c>
      <c r="N17" s="5"/>
    </row>
    <row r="18" spans="1:14" ht="16.5" thickBot="1">
      <c r="A18" s="5"/>
      <c r="B18" s="1294" t="s">
        <v>702</v>
      </c>
      <c r="C18" s="1294"/>
      <c r="D18" s="1294"/>
      <c r="E18" s="793">
        <v>-2.2000000000000002</v>
      </c>
      <c r="F18" s="615">
        <v>1.7</v>
      </c>
      <c r="G18" s="789">
        <v>1</v>
      </c>
      <c r="H18" s="789">
        <v>11.1</v>
      </c>
      <c r="I18" s="615">
        <v>442</v>
      </c>
      <c r="J18" s="615">
        <v>444</v>
      </c>
      <c r="K18" s="615">
        <f>E18+F18+(G18*(J18/I18)*(H18-F18))</f>
        <v>8.9425339366515839</v>
      </c>
      <c r="L18" s="615">
        <f>'Bureau (5)'!G5</f>
        <v>16.587399999999999</v>
      </c>
      <c r="M18" s="792">
        <f>K18*L18*Parois!$L$13</f>
        <v>46.275490599603835</v>
      </c>
      <c r="N18" s="5"/>
    </row>
    <row r="19" spans="1:14" ht="16.5" thickBot="1">
      <c r="A19" s="5"/>
      <c r="B19" s="1294" t="s">
        <v>703</v>
      </c>
      <c r="C19" s="1294"/>
      <c r="D19" s="1294"/>
      <c r="E19" s="793">
        <v>-2.2000000000000002</v>
      </c>
      <c r="F19" s="615">
        <v>1.7</v>
      </c>
      <c r="G19" s="789">
        <v>1</v>
      </c>
      <c r="H19" s="789">
        <v>11.1</v>
      </c>
      <c r="I19" s="615">
        <v>442</v>
      </c>
      <c r="J19" s="615">
        <v>444</v>
      </c>
      <c r="K19" s="615">
        <f>E19+F19+(G19*(J19/I19)*(H19-F19))</f>
        <v>8.9425339366515839</v>
      </c>
      <c r="L19" s="615">
        <f>'Bureau (5)'!G57</f>
        <v>9.18</v>
      </c>
      <c r="M19" s="792">
        <f>K19*L19*Parois!$L$13</f>
        <v>25.61034301363464</v>
      </c>
      <c r="N19" s="5"/>
    </row>
    <row r="20" spans="1:14" ht="16.5" thickBot="1">
      <c r="A20" s="5"/>
      <c r="B20" s="1295" t="s">
        <v>704</v>
      </c>
      <c r="C20" s="1295"/>
      <c r="D20" s="1295"/>
      <c r="E20" s="793">
        <v>-2.2000000000000002</v>
      </c>
      <c r="F20" s="615">
        <v>1.7</v>
      </c>
      <c r="G20" s="789">
        <v>1</v>
      </c>
      <c r="H20" s="789">
        <v>11.1</v>
      </c>
      <c r="I20" s="793">
        <v>442</v>
      </c>
      <c r="J20" s="793">
        <v>444</v>
      </c>
      <c r="K20" s="793">
        <f>E20+F20+(G20*(J20/I20)*(H20-F20))</f>
        <v>8.9425339366515839</v>
      </c>
      <c r="L20" s="615">
        <f>'Bureau (5)'!AE55</f>
        <v>12.790000000000001</v>
      </c>
      <c r="M20" s="792">
        <f>K20*L20*Parois!$L$13</f>
        <v>35.681512760826479</v>
      </c>
      <c r="N20" s="5"/>
    </row>
    <row r="21" spans="1:14" ht="16.5" thickBot="1">
      <c r="A21" s="5"/>
      <c r="B21" s="1294" t="s">
        <v>42</v>
      </c>
      <c r="C21" s="1294"/>
      <c r="D21" s="1294"/>
      <c r="E21" s="764">
        <v>0</v>
      </c>
      <c r="F21" s="615">
        <v>1.7</v>
      </c>
      <c r="G21" s="789">
        <v>1</v>
      </c>
      <c r="H21" s="789">
        <v>11.1</v>
      </c>
      <c r="I21" s="615">
        <v>442</v>
      </c>
      <c r="J21" s="615">
        <v>444</v>
      </c>
      <c r="K21" s="615">
        <f t="shared" ref="K21" si="0">E21+F21+(G21*(J21/I21)*(H21-F21))</f>
        <v>11.142533936651583</v>
      </c>
      <c r="L21" s="794">
        <f>'Bureau (5)'!AE5</f>
        <v>10.67295</v>
      </c>
      <c r="M21" s="792">
        <f>K21*L21*Parois!$L$13</f>
        <v>37.100567902074395</v>
      </c>
      <c r="N21" s="5"/>
    </row>
    <row r="22" spans="1:14" ht="16.5" thickBot="1">
      <c r="A22" s="5"/>
      <c r="B22" s="795"/>
      <c r="C22" s="795"/>
      <c r="D22" s="795"/>
      <c r="E22" s="795"/>
      <c r="F22" s="795"/>
      <c r="G22" s="795"/>
      <c r="H22" s="795"/>
      <c r="I22" s="795"/>
      <c r="J22" s="795"/>
      <c r="K22" s="795"/>
      <c r="L22" s="795"/>
      <c r="M22" s="796">
        <f>SUM(M10:M21)</f>
        <v>191.41209232800909</v>
      </c>
      <c r="N22" s="5"/>
    </row>
    <row r="23" spans="1:14">
      <c r="A23" s="5"/>
      <c r="B23" s="5"/>
      <c r="C23" s="5"/>
      <c r="D23" s="5"/>
      <c r="E23" s="5"/>
      <c r="F23" s="5"/>
      <c r="G23" s="5"/>
      <c r="H23" s="5"/>
      <c r="I23" s="5"/>
      <c r="J23" s="5"/>
      <c r="K23" s="5"/>
      <c r="L23" s="5"/>
      <c r="M23" s="5"/>
      <c r="N23" s="5"/>
    </row>
    <row r="24" spans="1:14">
      <c r="A24" s="5"/>
      <c r="N24" s="5"/>
    </row>
    <row r="25" spans="1:14">
      <c r="A25" s="5"/>
      <c r="N25" s="5"/>
    </row>
  </sheetData>
  <mergeCells count="16">
    <mergeCell ref="B15:D15"/>
    <mergeCell ref="B6:D7"/>
    <mergeCell ref="B8:M8"/>
    <mergeCell ref="B9:M9"/>
    <mergeCell ref="B11:D11"/>
    <mergeCell ref="B12:D12"/>
    <mergeCell ref="B13:D13"/>
    <mergeCell ref="B10:D10"/>
    <mergeCell ref="B14:D14"/>
    <mergeCell ref="M6:N6"/>
    <mergeCell ref="B16:M16"/>
    <mergeCell ref="B18:D18"/>
    <mergeCell ref="B19:D19"/>
    <mergeCell ref="B20:D20"/>
    <mergeCell ref="B21:D21"/>
    <mergeCell ref="B17:D17"/>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8FB682-3F75-4C60-8AEF-0A0FBBE647D5}">
  <sheetPr codeName="Feuil17"/>
  <dimension ref="B2:AC54"/>
  <sheetViews>
    <sheetView topLeftCell="B1" zoomScale="94" zoomScaleNormal="85" workbookViewId="0">
      <selection activeCell="AD10" sqref="AD10"/>
    </sheetView>
  </sheetViews>
  <sheetFormatPr baseColWidth="10" defaultColWidth="11" defaultRowHeight="15.75"/>
  <sheetData>
    <row r="2" spans="2:29" ht="26.25">
      <c r="B2" s="1310" t="s">
        <v>1</v>
      </c>
      <c r="C2" s="1310"/>
      <c r="D2" s="1310"/>
      <c r="E2" s="1310"/>
      <c r="F2" s="1310"/>
      <c r="G2" s="1311"/>
    </row>
    <row r="3" spans="2:29" ht="18.75">
      <c r="B3" s="1312" t="s">
        <v>2</v>
      </c>
      <c r="C3" s="1312"/>
      <c r="D3" s="1312"/>
      <c r="E3" s="9" t="s">
        <v>3</v>
      </c>
      <c r="F3" s="9" t="s">
        <v>4</v>
      </c>
      <c r="G3" s="9" t="s">
        <v>5</v>
      </c>
      <c r="J3" s="1324" t="s">
        <v>705</v>
      </c>
      <c r="K3" s="1324"/>
      <c r="L3" s="1324"/>
      <c r="M3" s="1324"/>
      <c r="N3" s="1324"/>
      <c r="O3" s="1324"/>
    </row>
    <row r="4" spans="2:29" ht="15.75" customHeight="1">
      <c r="B4" s="1312" t="s">
        <v>706</v>
      </c>
      <c r="C4" s="1312"/>
      <c r="D4" s="1312"/>
      <c r="E4" s="6" t="s">
        <v>707</v>
      </c>
      <c r="F4" s="6" t="s">
        <v>8</v>
      </c>
      <c r="G4" s="6">
        <f>32</f>
        <v>32</v>
      </c>
      <c r="J4" s="1324"/>
      <c r="K4" s="1324"/>
      <c r="L4" s="1324"/>
      <c r="M4" s="1324"/>
      <c r="N4" s="1324"/>
      <c r="O4" s="1324"/>
    </row>
    <row r="5" spans="2:29" ht="15.75" customHeight="1">
      <c r="B5" s="1313"/>
      <c r="C5" s="1313"/>
      <c r="D5" s="1313"/>
      <c r="E5" s="233"/>
      <c r="F5" s="233"/>
      <c r="G5" s="233"/>
    </row>
    <row r="6" spans="2:29">
      <c r="D6" s="5"/>
      <c r="E6" s="5"/>
      <c r="F6" s="5"/>
      <c r="G6" s="5"/>
      <c r="H6" s="5"/>
      <c r="I6" s="5"/>
      <c r="J6" s="5"/>
      <c r="K6" s="5"/>
      <c r="L6" s="5"/>
      <c r="N6" s="5"/>
      <c r="O6" s="5"/>
      <c r="P6" s="5"/>
      <c r="Q6" s="5"/>
      <c r="R6" s="5"/>
      <c r="S6" s="5"/>
      <c r="T6" s="5"/>
      <c r="U6" s="5"/>
      <c r="V6" s="5"/>
      <c r="W6" s="5"/>
      <c r="X6" s="5"/>
    </row>
    <row r="7" spans="2:29">
      <c r="D7" s="5"/>
      <c r="E7" s="994" t="s">
        <v>708</v>
      </c>
      <c r="F7" s="810"/>
      <c r="G7" s="810"/>
      <c r="H7" s="810"/>
      <c r="I7" s="810"/>
      <c r="J7" s="810"/>
      <c r="K7" s="810"/>
      <c r="L7" s="5"/>
      <c r="N7" s="5"/>
      <c r="O7" s="621"/>
      <c r="P7" s="621"/>
      <c r="Q7" s="621"/>
      <c r="R7" s="621"/>
      <c r="S7" s="621"/>
      <c r="T7" s="621"/>
      <c r="U7" s="621"/>
      <c r="V7" s="621"/>
      <c r="W7" s="621"/>
      <c r="X7" s="5"/>
    </row>
    <row r="8" spans="2:29">
      <c r="D8" s="5"/>
      <c r="E8" s="811"/>
      <c r="F8" s="811"/>
      <c r="G8" s="811"/>
      <c r="H8" s="811"/>
      <c r="I8" s="811"/>
      <c r="J8" s="811"/>
      <c r="K8" s="811"/>
      <c r="L8" s="5"/>
      <c r="N8" s="5"/>
      <c r="O8" s="621"/>
      <c r="P8" s="621"/>
      <c r="Q8" s="621"/>
      <c r="R8" s="621"/>
      <c r="S8" s="621"/>
      <c r="T8" s="621"/>
      <c r="U8" s="621"/>
      <c r="V8" s="621"/>
      <c r="W8" s="621"/>
      <c r="X8" s="5"/>
      <c r="Y8" s="5"/>
      <c r="Z8" s="5"/>
      <c r="AA8" s="5"/>
      <c r="AB8" s="5"/>
      <c r="AC8" s="5"/>
    </row>
    <row r="9" spans="2:29" ht="15.75" customHeight="1">
      <c r="D9" s="5"/>
      <c r="E9" s="835" t="s">
        <v>570</v>
      </c>
      <c r="F9" s="836"/>
      <c r="G9" s="837"/>
      <c r="H9" s="810" t="s">
        <v>709</v>
      </c>
      <c r="I9" s="810" t="s">
        <v>710</v>
      </c>
      <c r="J9" s="810" t="s">
        <v>711</v>
      </c>
      <c r="K9" s="1323" t="s">
        <v>712</v>
      </c>
      <c r="L9" s="5"/>
      <c r="N9" s="5"/>
      <c r="O9" s="622"/>
      <c r="P9" s="622"/>
      <c r="Q9" s="622"/>
      <c r="R9" s="622" t="s">
        <v>713</v>
      </c>
      <c r="S9" s="622"/>
      <c r="T9" s="622" t="s">
        <v>714</v>
      </c>
      <c r="U9" s="622"/>
      <c r="V9" s="623" t="s">
        <v>715</v>
      </c>
      <c r="W9" s="623"/>
      <c r="X9" s="5"/>
      <c r="Y9" s="5"/>
      <c r="Z9" s="5"/>
      <c r="AA9" s="5"/>
      <c r="AB9" s="5"/>
      <c r="AC9" s="5"/>
    </row>
    <row r="10" spans="2:29">
      <c r="D10" s="5"/>
      <c r="E10" s="1320"/>
      <c r="F10" s="1321"/>
      <c r="G10" s="1322"/>
      <c r="H10" s="810"/>
      <c r="I10" s="810"/>
      <c r="J10" s="810"/>
      <c r="K10" s="807"/>
      <c r="L10" s="5"/>
      <c r="N10" s="5"/>
      <c r="O10" s="116"/>
      <c r="P10" s="116"/>
      <c r="Q10" s="116" t="s">
        <v>716</v>
      </c>
      <c r="R10" s="116" t="s">
        <v>263</v>
      </c>
      <c r="S10" s="116"/>
      <c r="T10" s="116" t="s">
        <v>717</v>
      </c>
      <c r="U10" s="116"/>
      <c r="V10" s="116"/>
      <c r="W10" s="116"/>
      <c r="X10" s="5"/>
      <c r="Y10" s="1" t="s">
        <v>718</v>
      </c>
      <c r="Z10" s="1"/>
      <c r="AA10" s="1"/>
      <c r="AB10" s="351" t="s">
        <v>719</v>
      </c>
      <c r="AC10" s="1"/>
    </row>
    <row r="11" spans="2:29" ht="15.75" customHeight="1">
      <c r="D11" s="5"/>
      <c r="E11" s="1320"/>
      <c r="F11" s="1321"/>
      <c r="G11" s="1322"/>
      <c r="H11" s="810" t="s">
        <v>720</v>
      </c>
      <c r="I11" s="810" t="s">
        <v>226</v>
      </c>
      <c r="J11" s="810" t="s">
        <v>721</v>
      </c>
      <c r="K11" s="810" t="s">
        <v>623</v>
      </c>
      <c r="L11" s="5"/>
      <c r="N11" s="5"/>
      <c r="O11" s="351" t="s">
        <v>722</v>
      </c>
      <c r="P11" s="351"/>
      <c r="Q11" s="769"/>
      <c r="R11" s="763">
        <f>35*I14*AB$11*Y$11</f>
        <v>159.40299375000001</v>
      </c>
      <c r="S11" s="763"/>
      <c r="T11" s="615">
        <v>0.9</v>
      </c>
      <c r="U11" s="763"/>
      <c r="V11" s="763">
        <f>R11*T11</f>
        <v>143.46269437500001</v>
      </c>
      <c r="W11" s="763"/>
      <c r="X11" s="5"/>
      <c r="Y11" s="1317">
        <f>4180/3600</f>
        <v>1.1611111111111112</v>
      </c>
      <c r="Z11" s="1318"/>
      <c r="AA11" s="1319"/>
      <c r="AB11" s="865">
        <v>1.17</v>
      </c>
      <c r="AC11" s="867"/>
    </row>
    <row r="12" spans="2:29" ht="16.5" thickBot="1">
      <c r="D12" s="5"/>
      <c r="E12" s="1320"/>
      <c r="F12" s="1321"/>
      <c r="G12" s="1322"/>
      <c r="H12" s="810"/>
      <c r="I12" s="810"/>
      <c r="J12" s="810"/>
      <c r="K12" s="810"/>
      <c r="L12" s="5"/>
      <c r="N12" s="5"/>
      <c r="O12" s="351" t="s">
        <v>723</v>
      </c>
      <c r="P12" s="62"/>
      <c r="Q12" s="766"/>
      <c r="R12" s="763">
        <f>35*I15*Y$11*AB$11</f>
        <v>156.19353750000002</v>
      </c>
      <c r="S12" s="763"/>
      <c r="T12" s="615">
        <v>0.9</v>
      </c>
      <c r="U12" s="763"/>
      <c r="V12" s="763">
        <f>R12*T12</f>
        <v>140.57418375000003</v>
      </c>
      <c r="W12" s="763"/>
      <c r="X12" s="5"/>
      <c r="Y12" s="5"/>
      <c r="Z12" s="5"/>
      <c r="AA12" s="5"/>
      <c r="AB12" s="5"/>
      <c r="AC12" s="5"/>
    </row>
    <row r="13" spans="2:29">
      <c r="D13" s="5"/>
      <c r="E13" s="1326" t="s">
        <v>155</v>
      </c>
      <c r="F13" s="1327"/>
      <c r="G13" s="1328"/>
      <c r="H13" s="615">
        <f>Parois!AG8</f>
        <v>1.4491928567553625</v>
      </c>
      <c r="I13" s="615">
        <f>Parois!AB8+Parois!AC8</f>
        <v>2.3849999999999998</v>
      </c>
      <c r="J13" s="615">
        <f>G$4-Données!F28</f>
        <v>8</v>
      </c>
      <c r="K13" s="762">
        <f>PRODUCT(H13:J13)</f>
        <v>27.650599706892315</v>
      </c>
      <c r="L13" s="5"/>
      <c r="N13" s="5"/>
      <c r="O13" s="351" t="s">
        <v>724</v>
      </c>
      <c r="P13" s="544"/>
      <c r="Q13" s="770"/>
      <c r="R13" s="763">
        <f>35*I16*Y$11*AB$11</f>
        <v>113.40078749999999</v>
      </c>
      <c r="S13" s="763"/>
      <c r="T13" s="615">
        <v>0.9</v>
      </c>
      <c r="U13" s="763"/>
      <c r="V13" s="763">
        <f t="shared" ref="V13:V25" si="0">R13*T13</f>
        <v>102.06070874999999</v>
      </c>
      <c r="W13" s="763"/>
      <c r="X13" s="5"/>
      <c r="Y13" s="286" t="s">
        <v>770</v>
      </c>
      <c r="Z13" s="286"/>
      <c r="AA13" s="5"/>
      <c r="AB13" s="5"/>
      <c r="AC13" s="5"/>
    </row>
    <row r="14" spans="2:29">
      <c r="D14" s="5"/>
      <c r="E14" s="1314" t="s">
        <v>159</v>
      </c>
      <c r="F14" s="1315"/>
      <c r="G14" s="1316"/>
      <c r="H14" s="615">
        <f>Parois!AG9</f>
        <v>1.405672503174296</v>
      </c>
      <c r="I14" s="615">
        <f>Parois!AB9+Parois!AC9</f>
        <v>3.3525</v>
      </c>
      <c r="J14" s="615">
        <f>G$4-Données!F23</f>
        <v>6</v>
      </c>
      <c r="K14" s="762">
        <f t="shared" ref="K14:K27" si="1">PRODUCT(H14:J14)</f>
        <v>28.275102401350964</v>
      </c>
      <c r="L14" s="5"/>
      <c r="N14" s="5"/>
      <c r="O14" s="351" t="s">
        <v>725</v>
      </c>
      <c r="P14" s="544"/>
      <c r="Q14" s="770"/>
      <c r="R14" s="763">
        <f>35*I17*Y$11*AB$11</f>
        <v>27.815287500000004</v>
      </c>
      <c r="S14" s="763"/>
      <c r="T14" s="615">
        <v>0.9</v>
      </c>
      <c r="U14" s="763"/>
      <c r="V14" s="763">
        <f>R14*T14</f>
        <v>25.033758750000004</v>
      </c>
      <c r="W14" s="763"/>
      <c r="X14" s="5"/>
      <c r="Y14" s="6" t="s">
        <v>387</v>
      </c>
      <c r="Z14" s="6" t="s">
        <v>779</v>
      </c>
      <c r="AA14" s="5"/>
      <c r="AB14" s="5"/>
      <c r="AC14" s="5"/>
    </row>
    <row r="15" spans="2:29">
      <c r="D15" s="5"/>
      <c r="E15" s="1314" t="s">
        <v>164</v>
      </c>
      <c r="F15" s="1315"/>
      <c r="G15" s="1316"/>
      <c r="H15" s="615">
        <f>Parois!AG10</f>
        <v>1.4192819119844331</v>
      </c>
      <c r="I15" s="615">
        <f>Parois!AB10+Parois!AC10</f>
        <v>3.2850000000000001</v>
      </c>
      <c r="J15" s="615">
        <f>G$4-Données!F24</f>
        <v>6</v>
      </c>
      <c r="K15" s="762">
        <f t="shared" si="1"/>
        <v>27.974046485213179</v>
      </c>
      <c r="L15" s="5"/>
      <c r="N15" s="5"/>
      <c r="O15" s="351" t="s">
        <v>726</v>
      </c>
      <c r="P15" s="544"/>
      <c r="Q15" s="770"/>
      <c r="R15" s="763">
        <f>35*I18*Y$11*AB$11</f>
        <v>70.608037499999995</v>
      </c>
      <c r="S15" s="763"/>
      <c r="T15" s="615">
        <v>0.9</v>
      </c>
      <c r="U15" s="763"/>
      <c r="V15" s="763">
        <f t="shared" si="0"/>
        <v>63.547233749999997</v>
      </c>
      <c r="W15" s="763"/>
      <c r="X15" s="5"/>
      <c r="Y15" s="2">
        <v>135</v>
      </c>
      <c r="Z15" s="2">
        <v>35</v>
      </c>
    </row>
    <row r="16" spans="2:29">
      <c r="D16" s="5"/>
      <c r="E16" s="1314" t="s">
        <v>169</v>
      </c>
      <c r="F16" s="1315"/>
      <c r="G16" s="1316"/>
      <c r="H16" s="615">
        <f>Parois!AG11</f>
        <v>1.4491928567553625</v>
      </c>
      <c r="I16" s="615">
        <f>Parois!AB11+Parois!AC11</f>
        <v>2.3849999999999998</v>
      </c>
      <c r="J16" s="615">
        <f>G$4-Données!F26</f>
        <v>6</v>
      </c>
      <c r="K16" s="762">
        <f t="shared" si="1"/>
        <v>20.737949780169238</v>
      </c>
      <c r="L16" s="5"/>
      <c r="N16" s="5"/>
      <c r="O16" s="351" t="s">
        <v>727</v>
      </c>
      <c r="P16" s="544"/>
      <c r="Q16" s="770"/>
      <c r="R16" s="763">
        <f>35*I19*Y$11*AB$11</f>
        <v>70.608037499999995</v>
      </c>
      <c r="S16" s="763"/>
      <c r="T16" s="615">
        <v>0.9</v>
      </c>
      <c r="U16" s="763"/>
      <c r="V16" s="763">
        <f t="shared" si="0"/>
        <v>63.547233749999997</v>
      </c>
      <c r="W16" s="763"/>
      <c r="X16" s="5"/>
    </row>
    <row r="17" spans="4:24">
      <c r="D17" s="5"/>
      <c r="E17" s="1314" t="s">
        <v>173</v>
      </c>
      <c r="F17" s="1315"/>
      <c r="G17" s="1316"/>
      <c r="H17" s="615">
        <f>Parois!AG12</f>
        <v>1.7595079121018575</v>
      </c>
      <c r="I17" s="615">
        <f>Parois!AB12+Parois!AC12</f>
        <v>0.58500000000000008</v>
      </c>
      <c r="J17" s="615">
        <f>G$4-Données!F26</f>
        <v>6</v>
      </c>
      <c r="K17" s="762">
        <f t="shared" si="1"/>
        <v>6.1758727714775201</v>
      </c>
      <c r="L17" s="5"/>
      <c r="N17" s="5"/>
      <c r="O17" s="351" t="s">
        <v>728</v>
      </c>
      <c r="P17" s="351"/>
      <c r="Q17" s="769"/>
      <c r="R17" s="763">
        <f>35*I13*Y$11*AB$11</f>
        <v>113.40078749999999</v>
      </c>
      <c r="S17" s="763"/>
      <c r="T17" s="615">
        <v>0.9</v>
      </c>
      <c r="U17" s="763"/>
      <c r="V17" s="763">
        <f t="shared" si="0"/>
        <v>102.06070874999999</v>
      </c>
      <c r="W17" s="763"/>
      <c r="X17" s="5"/>
    </row>
    <row r="18" spans="4:24">
      <c r="D18" s="5"/>
      <c r="E18" s="1314" t="s">
        <v>175</v>
      </c>
      <c r="F18" s="1315"/>
      <c r="G18" s="1316"/>
      <c r="H18" s="615">
        <f>Parois!AG13</f>
        <v>1.5139559159516507</v>
      </c>
      <c r="I18" s="615">
        <f>Parois!AB13+Parois!AC13</f>
        <v>1.4849999999999999</v>
      </c>
      <c r="J18" s="615">
        <f>G$4-Données!F27</f>
        <v>6</v>
      </c>
      <c r="K18" s="762">
        <f t="shared" si="1"/>
        <v>13.489347211129205</v>
      </c>
      <c r="L18" s="5" t="s">
        <v>172</v>
      </c>
      <c r="N18" s="5"/>
      <c r="O18" s="351" t="s">
        <v>729</v>
      </c>
      <c r="P18" s="62"/>
      <c r="Q18" s="766"/>
      <c r="R18" s="763">
        <f>35*I21*Y$11*AB$11</f>
        <v>178.873695</v>
      </c>
      <c r="S18" s="763"/>
      <c r="T18" s="615">
        <v>0.9</v>
      </c>
      <c r="U18" s="763"/>
      <c r="V18" s="763">
        <f t="shared" si="0"/>
        <v>160.98632549999999</v>
      </c>
      <c r="W18" s="763"/>
      <c r="X18" s="5"/>
    </row>
    <row r="19" spans="4:24">
      <c r="D19" s="5"/>
      <c r="E19" s="1314" t="s">
        <v>176</v>
      </c>
      <c r="F19" s="1315"/>
      <c r="G19" s="1316"/>
      <c r="H19" s="615">
        <f>Parois!AG14</f>
        <v>1.5139559159516507</v>
      </c>
      <c r="I19" s="615">
        <f>Parois!AB14+Parois!AC14</f>
        <v>1.4849999999999999</v>
      </c>
      <c r="J19" s="615">
        <f>G$4-Données!F27</f>
        <v>6</v>
      </c>
      <c r="K19" s="762">
        <f t="shared" si="1"/>
        <v>13.489347211129205</v>
      </c>
      <c r="L19" s="5"/>
      <c r="N19" s="5"/>
      <c r="O19" s="351" t="s">
        <v>730</v>
      </c>
      <c r="P19" s="2"/>
      <c r="Q19" s="763"/>
      <c r="R19" s="763">
        <f>135*I22*Y$11*AB$11</f>
        <v>4951.7325000000001</v>
      </c>
      <c r="S19" s="763"/>
      <c r="T19" s="615">
        <v>0.9</v>
      </c>
      <c r="U19" s="763"/>
      <c r="V19" s="763">
        <f t="shared" si="0"/>
        <v>4456.5592500000002</v>
      </c>
      <c r="W19" s="763">
        <f>SUM(V17:V20)</f>
        <v>5426.7136852500007</v>
      </c>
      <c r="X19" s="5"/>
    </row>
    <row r="20" spans="4:24">
      <c r="D20" s="5"/>
      <c r="E20" s="1314" t="s">
        <v>177</v>
      </c>
      <c r="F20" s="1315"/>
      <c r="G20" s="1316"/>
      <c r="H20" s="615">
        <f>Parois!AG15</f>
        <v>1.4432607277523128</v>
      </c>
      <c r="I20" s="615">
        <f>Parois!AB15+Parois!AC15</f>
        <v>3.8949999999999996</v>
      </c>
      <c r="J20" s="615">
        <f>G$4-Données!F22</f>
        <v>8</v>
      </c>
      <c r="K20" s="762">
        <f t="shared" si="1"/>
        <v>44.972004276762064</v>
      </c>
      <c r="L20" s="5"/>
      <c r="N20" s="5"/>
      <c r="O20" s="351" t="s">
        <v>731</v>
      </c>
      <c r="P20" s="351"/>
      <c r="Q20" s="769"/>
      <c r="R20" s="763">
        <f>135*I23*Y$11*AB$11</f>
        <v>785.67488999999989</v>
      </c>
      <c r="S20" s="763"/>
      <c r="T20" s="615">
        <v>0.9</v>
      </c>
      <c r="U20" s="763"/>
      <c r="V20" s="763">
        <f>R20*T20</f>
        <v>707.10740099999987</v>
      </c>
      <c r="W20" s="763"/>
      <c r="X20" s="5"/>
    </row>
    <row r="21" spans="4:24">
      <c r="D21" s="5"/>
      <c r="E21" s="1314" t="s">
        <v>179</v>
      </c>
      <c r="F21" s="1315"/>
      <c r="G21" s="1316"/>
      <c r="H21" s="615">
        <f>Parois!AG16</f>
        <v>1.5205490810666877</v>
      </c>
      <c r="I21" s="615">
        <f>Parois!AB16+Parois!AC16</f>
        <v>3.762</v>
      </c>
      <c r="J21" s="615">
        <f>G$4-Données!F28</f>
        <v>8</v>
      </c>
      <c r="K21" s="762">
        <f t="shared" si="1"/>
        <v>45.762445143783033</v>
      </c>
      <c r="L21" s="5"/>
      <c r="N21" s="5"/>
      <c r="O21" s="351" t="s">
        <v>732</v>
      </c>
      <c r="P21" s="351"/>
      <c r="Q21" s="769"/>
      <c r="R21" s="763">
        <f>135*I24*Y$11*AB$11</f>
        <v>924.32339999999988</v>
      </c>
      <c r="S21" s="763"/>
      <c r="T21" s="615">
        <v>0.9</v>
      </c>
      <c r="U21" s="763"/>
      <c r="V21" s="763">
        <f t="shared" si="0"/>
        <v>831.89105999999992</v>
      </c>
      <c r="W21" s="763"/>
      <c r="X21" s="5"/>
    </row>
    <row r="22" spans="4:24">
      <c r="D22" s="5"/>
      <c r="E22" s="1314" t="s">
        <v>181</v>
      </c>
      <c r="F22" s="1315"/>
      <c r="G22" s="1316"/>
      <c r="H22" s="615">
        <f>Parois!AG17</f>
        <v>1.354147856586601</v>
      </c>
      <c r="I22" s="615">
        <f>(Parois!AB17+Parois!AC17)*5</f>
        <v>27</v>
      </c>
      <c r="J22" s="615">
        <f>G$4-Données!F28</f>
        <v>8</v>
      </c>
      <c r="K22" s="762">
        <f t="shared" si="1"/>
        <v>292.49593702270579</v>
      </c>
      <c r="L22" s="5"/>
      <c r="N22" s="5"/>
      <c r="O22" s="351" t="s">
        <v>733</v>
      </c>
      <c r="P22" s="351"/>
      <c r="Q22" s="763"/>
      <c r="R22" s="763">
        <f>135*I26*Y$11*AB$11</f>
        <v>891.31185000000005</v>
      </c>
      <c r="S22" s="763"/>
      <c r="T22" s="615">
        <v>0.9</v>
      </c>
      <c r="U22" s="763"/>
      <c r="V22" s="763">
        <f t="shared" si="0"/>
        <v>802.18066500000009</v>
      </c>
      <c r="W22" s="763"/>
      <c r="X22" s="5"/>
    </row>
    <row r="23" spans="4:24">
      <c r="D23" s="5"/>
      <c r="E23" s="1314" t="s">
        <v>183</v>
      </c>
      <c r="F23" s="1315"/>
      <c r="G23" s="1316"/>
      <c r="H23" s="615">
        <f>Parois!AG18</f>
        <v>1.4134113193439286</v>
      </c>
      <c r="I23" s="615">
        <f>Parois!AB18+Parois!AC18</f>
        <v>4.2839999999999998</v>
      </c>
      <c r="J23" s="615">
        <f>G$4-Données!F52</f>
        <v>7</v>
      </c>
      <c r="K23" s="762">
        <f t="shared" si="1"/>
        <v>42.385378644485726</v>
      </c>
      <c r="L23" s="5"/>
      <c r="N23" s="5"/>
      <c r="O23" s="351" t="s">
        <v>734</v>
      </c>
      <c r="P23" s="351"/>
      <c r="Q23" s="769"/>
      <c r="R23" s="763">
        <f>135*I27*Y$11*AB$11</f>
        <v>719.65179000000012</v>
      </c>
      <c r="S23" s="763"/>
      <c r="T23" s="615">
        <v>0.9</v>
      </c>
      <c r="U23" s="763"/>
      <c r="V23" s="763">
        <f t="shared" si="0"/>
        <v>647.68661100000008</v>
      </c>
      <c r="W23" s="763"/>
      <c r="X23" s="5"/>
    </row>
    <row r="24" spans="4:24">
      <c r="D24" s="5"/>
      <c r="E24" s="1314" t="s">
        <v>187</v>
      </c>
      <c r="F24" s="1315"/>
      <c r="G24" s="1316"/>
      <c r="H24" s="615">
        <f>Parois!AG20</f>
        <v>1.5029657227621622</v>
      </c>
      <c r="I24" s="615">
        <f>Parois!AB20+Parois!AC20</f>
        <v>5.04</v>
      </c>
      <c r="J24" s="615">
        <f>G$4-Données!F53</f>
        <v>7</v>
      </c>
      <c r="K24" s="762">
        <f t="shared" si="1"/>
        <v>53.024630699049084</v>
      </c>
      <c r="L24" s="5"/>
      <c r="N24" s="5"/>
      <c r="O24" s="351" t="s">
        <v>735</v>
      </c>
      <c r="P24" s="351"/>
      <c r="Q24" s="763"/>
      <c r="R24" s="763">
        <f>135*I28*Y$11*AB$11</f>
        <v>1967.48838</v>
      </c>
      <c r="S24" s="763"/>
      <c r="T24" s="615">
        <v>0.9</v>
      </c>
      <c r="U24" s="763"/>
      <c r="V24" s="763">
        <f t="shared" si="0"/>
        <v>1770.739542</v>
      </c>
      <c r="W24" s="763"/>
      <c r="X24" s="5"/>
    </row>
    <row r="25" spans="4:24">
      <c r="D25" s="5"/>
      <c r="E25" s="1314" t="s">
        <v>188</v>
      </c>
      <c r="F25" s="1315"/>
      <c r="G25" s="1316"/>
      <c r="H25" s="615">
        <f>Parois!AG21</f>
        <v>1.354147856586601</v>
      </c>
      <c r="I25" s="615">
        <f>(Parois!AB21+Parois!AC21)*2</f>
        <v>10.8</v>
      </c>
      <c r="J25" s="615">
        <f>G$4-Données!F29</f>
        <v>6</v>
      </c>
      <c r="K25" s="762">
        <f t="shared" si="1"/>
        <v>87.748781106811748</v>
      </c>
      <c r="L25" s="5"/>
      <c r="N25" s="5"/>
      <c r="O25" s="351" t="s">
        <v>736</v>
      </c>
      <c r="P25" s="351"/>
      <c r="Q25" s="763"/>
      <c r="R25" s="763">
        <f>135*Y$11*AB$11*I25</f>
        <v>1980.693</v>
      </c>
      <c r="S25" s="763"/>
      <c r="T25" s="615">
        <v>0.9</v>
      </c>
      <c r="U25" s="763"/>
      <c r="V25" s="763">
        <f t="shared" si="0"/>
        <v>1782.6237000000001</v>
      </c>
      <c r="W25" s="763"/>
      <c r="X25" s="5"/>
    </row>
    <row r="26" spans="4:24">
      <c r="D26" s="5"/>
      <c r="E26" s="1314" t="s">
        <v>189</v>
      </c>
      <c r="F26" s="1315"/>
      <c r="G26" s="1316"/>
      <c r="H26" s="615">
        <f>Parois!AG22</f>
        <v>1.3026308867318528</v>
      </c>
      <c r="I26" s="615">
        <f>(Parois!AB22+Parois!AC22)*2</f>
        <v>4.8600000000000003</v>
      </c>
      <c r="J26" s="615">
        <f>G$4-Données!F53</f>
        <v>7</v>
      </c>
      <c r="K26" s="762">
        <f t="shared" si="1"/>
        <v>44.315502766617634</v>
      </c>
      <c r="L26" s="5"/>
      <c r="N26" s="5"/>
      <c r="O26" s="627" t="s">
        <v>71</v>
      </c>
      <c r="P26" s="627"/>
      <c r="Q26" s="771"/>
      <c r="R26" s="771"/>
      <c r="S26" s="771"/>
      <c r="T26" s="768"/>
      <c r="U26" s="771"/>
      <c r="V26" s="772">
        <f>V11+V13+V12+V14+V15+V16+V17+V18+V19+V20+V21+V23+V22+V24+V25</f>
        <v>11800.061076375001</v>
      </c>
      <c r="W26" s="773"/>
      <c r="X26" s="5"/>
    </row>
    <row r="27" spans="4:24">
      <c r="D27" s="5"/>
      <c r="E27" s="1314" t="s">
        <v>191</v>
      </c>
      <c r="F27" s="1315"/>
      <c r="G27" s="1316"/>
      <c r="H27" s="615">
        <f>Parois!AG23</f>
        <v>1.3369569285946812</v>
      </c>
      <c r="I27" s="615">
        <f>Parois!AB23+Parois!AC23</f>
        <v>3.9240000000000004</v>
      </c>
      <c r="J27" s="615">
        <f>G$4-Données!F54</f>
        <v>7</v>
      </c>
      <c r="K27" s="762">
        <f t="shared" si="1"/>
        <v>36.72353291463871</v>
      </c>
      <c r="L27" s="5"/>
      <c r="N27" s="5"/>
      <c r="O27" s="4"/>
      <c r="P27" s="4"/>
      <c r="Q27" s="4"/>
      <c r="R27" s="4"/>
      <c r="S27" s="4"/>
      <c r="T27" s="4"/>
      <c r="U27" s="4"/>
      <c r="V27" s="624"/>
      <c r="W27" s="624"/>
      <c r="X27" s="5"/>
    </row>
    <row r="28" spans="4:24">
      <c r="D28" s="5"/>
      <c r="E28" s="1314" t="s">
        <v>192</v>
      </c>
      <c r="F28" s="1315"/>
      <c r="G28" s="1316"/>
      <c r="H28" s="615">
        <f>Parois!AG24</f>
        <v>1.3480910418602208</v>
      </c>
      <c r="I28" s="615">
        <f>(Parois!AB24+Parois!AC24)*2</f>
        <v>10.728</v>
      </c>
      <c r="J28" s="615">
        <f>G$4-Données!F29</f>
        <v>6</v>
      </c>
      <c r="K28" s="774">
        <f>PRODUCT(H28:J28)</f>
        <v>86.773924182458686</v>
      </c>
      <c r="L28" s="5"/>
      <c r="N28" s="5"/>
      <c r="O28" s="5"/>
      <c r="P28" s="5"/>
      <c r="Q28" s="5"/>
      <c r="R28" s="5"/>
      <c r="S28" s="5"/>
      <c r="T28" s="5"/>
      <c r="U28" s="5"/>
      <c r="V28" s="5"/>
      <c r="W28" s="5"/>
    </row>
    <row r="29" spans="4:24">
      <c r="D29" s="5"/>
      <c r="E29" s="1246" t="s">
        <v>737</v>
      </c>
      <c r="F29" s="1246"/>
      <c r="G29" s="1246"/>
      <c r="H29" s="1246"/>
      <c r="I29" s="1246"/>
      <c r="J29" s="1325"/>
      <c r="K29" s="775">
        <f>SUM(K13:K28)</f>
        <v>871.99440232467407</v>
      </c>
      <c r="L29" s="5"/>
    </row>
    <row r="30" spans="4:24">
      <c r="D30" s="5"/>
      <c r="E30" s="5"/>
      <c r="F30" s="5"/>
      <c r="G30" s="5"/>
      <c r="H30" s="5"/>
      <c r="I30" s="616"/>
      <c r="J30" s="5"/>
      <c r="K30" s="5"/>
      <c r="L30" s="5"/>
      <c r="N30" s="639">
        <f>K23+K24+K26+K27+V20+V21+V22+V23</f>
        <v>3165.3147820247914</v>
      </c>
    </row>
    <row r="31" spans="4:24">
      <c r="D31" s="5"/>
      <c r="E31" s="5"/>
      <c r="F31" s="5"/>
      <c r="G31" s="5"/>
      <c r="H31" s="5"/>
      <c r="I31" s="5"/>
      <c r="J31" s="617"/>
      <c r="K31" s="5"/>
      <c r="L31" s="5"/>
    </row>
    <row r="32" spans="4:24">
      <c r="D32" s="5"/>
      <c r="L32" s="5"/>
    </row>
    <row r="44" spans="25:28">
      <c r="Y44" s="1324" t="s">
        <v>738</v>
      </c>
      <c r="Z44" s="1324"/>
      <c r="AA44" s="1324"/>
      <c r="AB44" s="1324"/>
    </row>
    <row r="49" spans="8:13">
      <c r="H49" s="628" t="s">
        <v>739</v>
      </c>
      <c r="I49" s="628"/>
      <c r="J49" s="628"/>
      <c r="K49" s="628"/>
      <c r="L49" s="628"/>
    </row>
    <row r="50" spans="8:13">
      <c r="H50" s="628"/>
      <c r="I50" s="628"/>
      <c r="J50" s="628"/>
      <c r="K50" s="628"/>
      <c r="L50" s="628"/>
    </row>
    <row r="53" spans="8:13">
      <c r="M53" s="628"/>
    </row>
    <row r="54" spans="8:13">
      <c r="M54" s="628"/>
    </row>
  </sheetData>
  <mergeCells count="35">
    <mergeCell ref="AB11:AC11"/>
    <mergeCell ref="Y44:AB44"/>
    <mergeCell ref="J3:O4"/>
    <mergeCell ref="E29:J29"/>
    <mergeCell ref="E24:G24"/>
    <mergeCell ref="E13:G13"/>
    <mergeCell ref="E14:G14"/>
    <mergeCell ref="E15:G15"/>
    <mergeCell ref="E16:G16"/>
    <mergeCell ref="E17:G17"/>
    <mergeCell ref="E18:G18"/>
    <mergeCell ref="E19:G19"/>
    <mergeCell ref="E20:G20"/>
    <mergeCell ref="E21:G21"/>
    <mergeCell ref="E22:G22"/>
    <mergeCell ref="E23:G23"/>
    <mergeCell ref="Y11:AA11"/>
    <mergeCell ref="E26:G26"/>
    <mergeCell ref="E27:G27"/>
    <mergeCell ref="E28:G28"/>
    <mergeCell ref="E7:K8"/>
    <mergeCell ref="E9:G12"/>
    <mergeCell ref="H9:H10"/>
    <mergeCell ref="I9:I10"/>
    <mergeCell ref="J9:J10"/>
    <mergeCell ref="K9:K10"/>
    <mergeCell ref="H11:H12"/>
    <mergeCell ref="I11:I12"/>
    <mergeCell ref="J11:J12"/>
    <mergeCell ref="K11:K12"/>
    <mergeCell ref="B2:G2"/>
    <mergeCell ref="B3:D3"/>
    <mergeCell ref="B5:D5"/>
    <mergeCell ref="B4:D4"/>
    <mergeCell ref="E25:G25"/>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5A83A-A436-4CC1-A311-841E1E393B9F}">
  <sheetPr codeName="Feuil19"/>
  <dimension ref="C9:K35"/>
  <sheetViews>
    <sheetView topLeftCell="A6" zoomScale="85" zoomScaleNormal="85" workbookViewId="0">
      <selection activeCell="G23" sqref="G23"/>
    </sheetView>
  </sheetViews>
  <sheetFormatPr baseColWidth="10" defaultColWidth="11" defaultRowHeight="15.75"/>
  <cols>
    <col min="10" max="10" width="11.375" bestFit="1" customWidth="1"/>
  </cols>
  <sheetData>
    <row r="9" spans="3:11" ht="16.5" thickBot="1">
      <c r="C9" s="641"/>
      <c r="D9" s="642"/>
      <c r="E9" s="642"/>
      <c r="F9" s="642"/>
      <c r="G9" s="641"/>
      <c r="H9" s="641"/>
      <c r="I9" s="641"/>
      <c r="J9" s="641"/>
      <c r="K9" s="641"/>
    </row>
    <row r="10" spans="3:11">
      <c r="C10" s="643"/>
      <c r="D10" s="1329" t="s">
        <v>570</v>
      </c>
      <c r="E10" s="1330"/>
      <c r="F10" s="1330"/>
      <c r="G10" s="1262" t="s">
        <v>750</v>
      </c>
      <c r="H10" s="1262" t="s">
        <v>751</v>
      </c>
      <c r="I10" s="1333" t="s">
        <v>752</v>
      </c>
      <c r="J10" s="1262" t="s">
        <v>753</v>
      </c>
      <c r="K10" s="641"/>
    </row>
    <row r="11" spans="3:11">
      <c r="C11" s="643"/>
      <c r="D11" s="1331"/>
      <c r="E11" s="1332"/>
      <c r="F11" s="1332"/>
      <c r="G11" s="1262"/>
      <c r="H11" s="1262"/>
      <c r="I11" s="1333"/>
      <c r="J11" s="1262"/>
      <c r="K11" s="641"/>
    </row>
    <row r="12" spans="3:11">
      <c r="C12" s="643"/>
      <c r="D12" s="1331"/>
      <c r="E12" s="1332"/>
      <c r="F12" s="1332"/>
      <c r="G12" s="1334" t="s">
        <v>623</v>
      </c>
      <c r="H12" s="1334" t="s">
        <v>623</v>
      </c>
      <c r="I12" s="1335" t="s">
        <v>623</v>
      </c>
      <c r="J12" s="1334" t="s">
        <v>623</v>
      </c>
      <c r="K12" s="641"/>
    </row>
    <row r="13" spans="3:11">
      <c r="C13" s="643"/>
      <c r="D13" s="1331"/>
      <c r="E13" s="1332"/>
      <c r="F13" s="1332"/>
      <c r="G13" s="1334"/>
      <c r="H13" s="1334"/>
      <c r="I13" s="1335"/>
      <c r="J13" s="1334"/>
      <c r="K13" s="641"/>
    </row>
    <row r="14" spans="3:11">
      <c r="C14" s="643"/>
      <c r="D14" s="1259" t="s">
        <v>571</v>
      </c>
      <c r="E14" s="1259"/>
      <c r="F14" s="1235"/>
      <c r="G14" s="757" t="s">
        <v>228</v>
      </c>
      <c r="H14" s="758" t="s">
        <v>228</v>
      </c>
      <c r="I14" s="759" t="s">
        <v>228</v>
      </c>
      <c r="J14" s="760">
        <v>0</v>
      </c>
      <c r="K14" s="641"/>
    </row>
    <row r="15" spans="3:11">
      <c r="C15" s="643"/>
      <c r="D15" s="1259" t="s">
        <v>572</v>
      </c>
      <c r="E15" s="1259"/>
      <c r="F15" s="1235"/>
      <c r="G15" s="757">
        <f>'TRANS PAROIS OPAQUE'!M12</f>
        <v>10.34878904929881</v>
      </c>
      <c r="H15" s="758" t="s">
        <v>228</v>
      </c>
      <c r="I15" s="759" t="s">
        <v>228</v>
      </c>
      <c r="J15" s="760">
        <f>G15</f>
        <v>10.34878904929881</v>
      </c>
      <c r="K15" s="641"/>
    </row>
    <row r="16" spans="3:11">
      <c r="C16" s="643"/>
      <c r="D16" s="1259" t="s">
        <v>573</v>
      </c>
      <c r="E16" s="1259"/>
      <c r="F16" s="1235"/>
      <c r="G16" s="757">
        <f>'TRANS PAROIS OPAQUE'!M13</f>
        <v>2.8024842847755855</v>
      </c>
      <c r="H16" s="758" t="s">
        <v>228</v>
      </c>
      <c r="I16" s="759" t="s">
        <v>228</v>
      </c>
      <c r="J16" s="760">
        <f>G16</f>
        <v>2.8024842847755855</v>
      </c>
      <c r="K16" s="641"/>
    </row>
    <row r="17" spans="3:11">
      <c r="C17" s="643"/>
      <c r="D17" s="1259" t="s">
        <v>661</v>
      </c>
      <c r="E17" s="1259"/>
      <c r="F17" s="1235"/>
      <c r="G17" s="757">
        <f>'TRANS PAROIS OPAQUE'!M14+'TRANS PAROIS OPAQUE'!M17</f>
        <v>38.105282055346585</v>
      </c>
      <c r="H17" s="758">
        <f>'TRANS PAROI VITREE'!K14</f>
        <v>28.275102401350964</v>
      </c>
      <c r="I17" s="759">
        <f>'TRANS PAROI VITREE'!V11</f>
        <v>143.46269437500001</v>
      </c>
      <c r="J17" s="760">
        <f>SUM(G17:I17)-H17</f>
        <v>181.56797643034662</v>
      </c>
      <c r="K17" s="641"/>
    </row>
    <row r="18" spans="3:11">
      <c r="C18" s="643"/>
      <c r="D18" s="1259" t="s">
        <v>662</v>
      </c>
      <c r="E18" s="1259"/>
      <c r="F18" s="1235"/>
      <c r="G18" s="757">
        <f>'TRANS PAROIS OPAQUE'!M18</f>
        <v>46.275490599603835</v>
      </c>
      <c r="H18" s="761">
        <f>'TRANS PAROI VITREE'!K15</f>
        <v>27.974046485213179</v>
      </c>
      <c r="I18" s="759">
        <v>136.77000000000001</v>
      </c>
      <c r="J18" s="760">
        <f>SUM(G18:I18)-H18</f>
        <v>183.04549059960385</v>
      </c>
      <c r="K18" s="641"/>
    </row>
    <row r="19" spans="3:11">
      <c r="C19" s="643"/>
      <c r="D19" s="1259" t="s">
        <v>663</v>
      </c>
      <c r="E19" s="1259"/>
      <c r="F19" s="1235"/>
      <c r="G19" s="757">
        <f>'TRANS PAROIS OPAQUE'!M19</f>
        <v>25.61034301363464</v>
      </c>
      <c r="H19" s="758">
        <f>'TRANS PAROI VITREE'!K16+'TRANS PAROI VITREE'!K17</f>
        <v>26.91382255164676</v>
      </c>
      <c r="I19" s="759">
        <f>'TRANS PAROI VITREE'!V13+'TRANS PAROI VITREE'!V14</f>
        <v>127.09446749999999</v>
      </c>
      <c r="J19" s="760">
        <f>SUM(G19:I19)-H19</f>
        <v>152.70481051363464</v>
      </c>
      <c r="K19" s="641"/>
    </row>
    <row r="20" spans="3:11">
      <c r="C20" s="643"/>
      <c r="D20" s="1259" t="s">
        <v>40</v>
      </c>
      <c r="E20" s="1259"/>
      <c r="F20" s="1235"/>
      <c r="G20" s="757">
        <f>'TRANS PAROIS OPAQUE'!M20</f>
        <v>35.681512760826479</v>
      </c>
      <c r="H20" s="758">
        <f>'TRANS PAROI VITREE'!K18+'TRANS PAROI VITREE'!K19</f>
        <v>26.97869442225841</v>
      </c>
      <c r="I20" s="759">
        <f>'TRANS PAROI VITREE'!V15 + 'TRANS PAROI VITREE'!V16</f>
        <v>127.09446749999999</v>
      </c>
      <c r="J20" s="760">
        <f>SUM(G20:I20)-H20</f>
        <v>162.77598026082649</v>
      </c>
      <c r="K20" s="641"/>
    </row>
    <row r="21" spans="3:11">
      <c r="C21" s="643"/>
      <c r="D21" s="1259" t="s">
        <v>664</v>
      </c>
      <c r="E21" s="1259"/>
      <c r="F21" s="1235"/>
      <c r="G21" s="757">
        <f>'TRANS PAROIS OPAQUE'!M21</f>
        <v>37.100567902074395</v>
      </c>
      <c r="H21" s="758">
        <f>SUM('TRANS PAROI VITREE'!K21:'TRANS PAROI VITREE'!K22)+'TRANS PAROI VITREE'!K13</f>
        <v>365.90898187338115</v>
      </c>
      <c r="I21" s="759">
        <f>'TRANS PAROI VITREE'!V17+'TRANS PAROI VITREE'!V18+'TRANS PAROI VITREE'!V19</f>
        <v>4719.6062842500005</v>
      </c>
      <c r="J21" s="760">
        <f>SUM(G21:I21)-H21</f>
        <v>4756.706852152075</v>
      </c>
      <c r="K21" s="641"/>
    </row>
    <row r="22" spans="3:11">
      <c r="C22" s="643"/>
      <c r="D22" s="1259" t="s">
        <v>665</v>
      </c>
      <c r="E22" s="1259"/>
      <c r="F22" s="1235"/>
      <c r="G22" s="757" t="s">
        <v>228</v>
      </c>
      <c r="H22" s="758" t="s">
        <v>228</v>
      </c>
      <c r="I22" s="759" t="s">
        <v>228</v>
      </c>
      <c r="J22" s="760">
        <f>SUM(G22:I22)</f>
        <v>0</v>
      </c>
      <c r="K22" s="641"/>
    </row>
    <row r="23" spans="3:11">
      <c r="C23" s="643"/>
      <c r="D23" s="1259" t="s">
        <v>579</v>
      </c>
      <c r="E23" s="1259"/>
      <c r="F23" s="1235"/>
      <c r="G23" s="757" t="s">
        <v>228</v>
      </c>
      <c r="H23" s="758" t="s">
        <v>228</v>
      </c>
      <c r="I23" s="759" t="s">
        <v>228</v>
      </c>
      <c r="J23" s="760">
        <f>SUM(G23:I23)</f>
        <v>0</v>
      </c>
      <c r="K23" s="641"/>
    </row>
    <row r="24" spans="3:11">
      <c r="C24" s="643"/>
      <c r="D24" s="1288" t="s">
        <v>684</v>
      </c>
      <c r="E24" s="1289"/>
      <c r="F24" s="1289"/>
      <c r="G24" s="757" t="s">
        <v>228</v>
      </c>
      <c r="H24" s="758">
        <f>'TRANS PAROI VITREE'!K24+'TRANS PAROI VITREE'!K26+'TRANS PAROI VITREE'!K23+'TRANS PAROI VITREE'!K27</f>
        <v>176.44904502479119</v>
      </c>
      <c r="I24" s="759">
        <f>'TRANS PAROI VITREE'!V21+'TRANS PAROI VITREE'!V22+'TRANS PAROI VITREE'!V20+'TRANS PAROI VITREE'!V23</f>
        <v>2988.8657370000001</v>
      </c>
      <c r="J24" s="760">
        <f>I24</f>
        <v>2988.8657370000001</v>
      </c>
      <c r="K24" s="641"/>
    </row>
    <row r="25" spans="3:11">
      <c r="C25" s="643"/>
      <c r="D25" s="1259" t="s">
        <v>583</v>
      </c>
      <c r="E25" s="1259"/>
      <c r="F25" s="1235"/>
      <c r="G25" s="757" t="s">
        <v>228</v>
      </c>
      <c r="H25" s="758" t="s">
        <v>228</v>
      </c>
      <c r="I25" s="759"/>
      <c r="J25" s="760">
        <f>SUM(G25:I25)</f>
        <v>0</v>
      </c>
      <c r="K25" s="641"/>
    </row>
    <row r="26" spans="3:11">
      <c r="C26" s="643"/>
      <c r="D26" s="1259" t="s">
        <v>584</v>
      </c>
      <c r="E26" s="1259"/>
      <c r="F26" s="1235"/>
      <c r="G26" s="757" t="s">
        <v>228</v>
      </c>
      <c r="H26" s="758">
        <f>'TRANS PAROI VITREE'!K28+'TRANS PAROI VITREE'!K25</f>
        <v>174.52270528927045</v>
      </c>
      <c r="I26" s="759">
        <f>'TRANS PAROI VITREE'!V24+'TRANS PAROI VITREE'!V25</f>
        <v>3553.3632420000004</v>
      </c>
      <c r="J26" s="760">
        <f>I26</f>
        <v>3553.3632420000004</v>
      </c>
      <c r="K26" s="641"/>
    </row>
    <row r="27" spans="3:11">
      <c r="C27" s="643"/>
      <c r="D27" s="1259" t="s">
        <v>668</v>
      </c>
      <c r="E27" s="1259"/>
      <c r="F27" s="1235"/>
      <c r="G27" s="757" t="s">
        <v>228</v>
      </c>
      <c r="H27" s="758" t="s">
        <v>228</v>
      </c>
      <c r="I27" s="759" t="s">
        <v>228</v>
      </c>
      <c r="J27" s="760">
        <f t="shared" ref="J27:J34" si="0">SUM(G27:I27)</f>
        <v>0</v>
      </c>
      <c r="K27" s="641"/>
    </row>
    <row r="28" spans="3:11">
      <c r="C28" s="643"/>
      <c r="D28" s="1235" t="s">
        <v>669</v>
      </c>
      <c r="E28" s="1236"/>
      <c r="F28" s="1236"/>
      <c r="G28" s="757" t="s">
        <v>228</v>
      </c>
      <c r="H28" s="758" t="s">
        <v>228</v>
      </c>
      <c r="I28" s="759" t="s">
        <v>228</v>
      </c>
      <c r="J28" s="760">
        <f t="shared" si="0"/>
        <v>0</v>
      </c>
      <c r="K28" s="641"/>
    </row>
    <row r="29" spans="3:11">
      <c r="C29" s="643"/>
      <c r="D29" s="1259" t="s">
        <v>587</v>
      </c>
      <c r="E29" s="1259"/>
      <c r="F29" s="1235"/>
      <c r="G29" s="757" t="s">
        <v>228</v>
      </c>
      <c r="H29" s="758" t="s">
        <v>228</v>
      </c>
      <c r="I29" s="759" t="s">
        <v>228</v>
      </c>
      <c r="J29" s="760">
        <f t="shared" si="0"/>
        <v>0</v>
      </c>
      <c r="K29" s="641"/>
    </row>
    <row r="30" spans="3:11">
      <c r="C30" s="643"/>
      <c r="D30" s="1259" t="s">
        <v>588</v>
      </c>
      <c r="E30" s="1259"/>
      <c r="F30" s="1235"/>
      <c r="G30" s="757" t="s">
        <v>228</v>
      </c>
      <c r="H30" s="758" t="s">
        <v>228</v>
      </c>
      <c r="I30" s="759" t="s">
        <v>228</v>
      </c>
      <c r="J30" s="760">
        <f t="shared" si="0"/>
        <v>0</v>
      </c>
      <c r="K30" s="641"/>
    </row>
    <row r="31" spans="3:11">
      <c r="C31" s="643"/>
      <c r="D31" s="1259" t="s">
        <v>589</v>
      </c>
      <c r="E31" s="1259"/>
      <c r="F31" s="1235"/>
      <c r="G31" s="762">
        <f>'TRANS PAROIS OPAQUE'!M10</f>
        <v>-2.1568361365969877</v>
      </c>
      <c r="H31" s="758" t="s">
        <v>228</v>
      </c>
      <c r="I31" s="758" t="s">
        <v>228</v>
      </c>
      <c r="J31" s="760">
        <f t="shared" si="0"/>
        <v>-2.1568361365969877</v>
      </c>
      <c r="K31" s="641"/>
    </row>
    <row r="32" spans="3:11">
      <c r="C32" s="643"/>
      <c r="D32" s="1259" t="s">
        <v>590</v>
      </c>
      <c r="E32" s="1259"/>
      <c r="F32" s="1235"/>
      <c r="G32" s="762">
        <f>'TRANS PAROIS OPAQUE'!M11</f>
        <v>-2.3555412009542605</v>
      </c>
      <c r="H32" s="763" t="s">
        <v>228</v>
      </c>
      <c r="I32" s="763" t="s">
        <v>228</v>
      </c>
      <c r="J32" s="760">
        <f>SUM(G32:I32)</f>
        <v>-2.3555412009542605</v>
      </c>
      <c r="K32" s="641"/>
    </row>
    <row r="33" spans="3:11">
      <c r="C33" s="641"/>
      <c r="D33" s="1259" t="s">
        <v>670</v>
      </c>
      <c r="E33" s="1259"/>
      <c r="F33" s="1235"/>
      <c r="G33" s="759" t="s">
        <v>228</v>
      </c>
      <c r="H33" s="759" t="s">
        <v>228</v>
      </c>
      <c r="I33" s="759" t="s">
        <v>228</v>
      </c>
      <c r="J33" s="760">
        <f t="shared" si="0"/>
        <v>0</v>
      </c>
      <c r="K33" s="641"/>
    </row>
    <row r="34" spans="3:11">
      <c r="C34" s="641"/>
      <c r="D34" s="198" t="s">
        <v>671</v>
      </c>
      <c r="E34" s="442"/>
      <c r="F34" s="442"/>
      <c r="G34" s="759" t="s">
        <v>228</v>
      </c>
      <c r="H34" s="759" t="s">
        <v>228</v>
      </c>
      <c r="I34" s="759" t="s">
        <v>228</v>
      </c>
      <c r="J34" s="760">
        <f t="shared" si="0"/>
        <v>0</v>
      </c>
      <c r="K34" s="641"/>
    </row>
    <row r="35" spans="3:11" ht="16.5" thickBot="1">
      <c r="D35" s="1336" t="s">
        <v>71</v>
      </c>
      <c r="E35" s="1337"/>
      <c r="F35" s="1337"/>
      <c r="G35" s="650">
        <f>SUM(G14:G34)</f>
        <v>191.41209232800909</v>
      </c>
      <c r="H35" s="647">
        <f>SUM(H14:H34)</f>
        <v>827.02239804791213</v>
      </c>
      <c r="I35" s="650">
        <f>SUM(I17:I21)+ I24+I26</f>
        <v>11796.256892625002</v>
      </c>
      <c r="J35" s="648">
        <f>SUM(J14:J34)</f>
        <v>11987.66898495301</v>
      </c>
    </row>
  </sheetData>
  <mergeCells count="30">
    <mergeCell ref="D35:F35"/>
    <mergeCell ref="D33:F33"/>
    <mergeCell ref="D32:F32"/>
    <mergeCell ref="D26:F26"/>
    <mergeCell ref="D27:F27"/>
    <mergeCell ref="D28:F28"/>
    <mergeCell ref="D29:F29"/>
    <mergeCell ref="D30:F30"/>
    <mergeCell ref="D31:F31"/>
    <mergeCell ref="D25:F25"/>
    <mergeCell ref="D14:F14"/>
    <mergeCell ref="D15:F15"/>
    <mergeCell ref="D16:F16"/>
    <mergeCell ref="D17:F17"/>
    <mergeCell ref="D18:F18"/>
    <mergeCell ref="D19:F19"/>
    <mergeCell ref="D20:F20"/>
    <mergeCell ref="D21:F21"/>
    <mergeCell ref="D22:F22"/>
    <mergeCell ref="D23:F23"/>
    <mergeCell ref="D24:F24"/>
    <mergeCell ref="D10:F13"/>
    <mergeCell ref="G10:G11"/>
    <mergeCell ref="H10:H11"/>
    <mergeCell ref="I10:I11"/>
    <mergeCell ref="J10:J11"/>
    <mergeCell ref="G12:G13"/>
    <mergeCell ref="H12:H13"/>
    <mergeCell ref="I12:I13"/>
    <mergeCell ref="J12:J13"/>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21A641-4473-4B2C-B673-25658C05169A}">
  <sheetPr codeName="Feuil18"/>
  <dimension ref="D3:T32"/>
  <sheetViews>
    <sheetView topLeftCell="C1" zoomScale="85" zoomScaleNormal="85" workbookViewId="0">
      <selection activeCell="Q19" sqref="Q19:R19"/>
    </sheetView>
  </sheetViews>
  <sheetFormatPr baseColWidth="10" defaultColWidth="11" defaultRowHeight="15.75"/>
  <sheetData>
    <row r="3" spans="4:20">
      <c r="J3" s="636" t="s">
        <v>740</v>
      </c>
    </row>
    <row r="4" spans="4:20" ht="16.5" thickBot="1"/>
    <row r="5" spans="4:20">
      <c r="D5" s="1274" t="s">
        <v>570</v>
      </c>
      <c r="E5" s="1275"/>
      <c r="F5" s="1276"/>
      <c r="G5" s="1338" t="s">
        <v>741</v>
      </c>
      <c r="H5" s="1338"/>
      <c r="I5" s="1341" t="s">
        <v>742</v>
      </c>
      <c r="J5" s="1341"/>
      <c r="K5" s="810" t="s">
        <v>743</v>
      </c>
      <c r="L5" s="810" t="s">
        <v>744</v>
      </c>
      <c r="M5" s="810"/>
      <c r="N5" s="810"/>
      <c r="O5" s="810"/>
      <c r="P5" s="841"/>
      <c r="Q5" s="817" t="s">
        <v>745</v>
      </c>
      <c r="R5" s="817"/>
    </row>
    <row r="6" spans="4:20">
      <c r="D6" s="1277"/>
      <c r="E6" s="1278"/>
      <c r="F6" s="1279"/>
      <c r="G6" s="1338"/>
      <c r="H6" s="1338"/>
      <c r="I6" s="1341"/>
      <c r="J6" s="1341"/>
      <c r="K6" s="810"/>
      <c r="L6" s="810"/>
      <c r="M6" s="810"/>
      <c r="N6" s="810"/>
      <c r="O6" s="810"/>
      <c r="P6" s="841"/>
      <c r="Q6" s="817"/>
      <c r="R6" s="817"/>
    </row>
    <row r="7" spans="4:20">
      <c r="D7" s="1277"/>
      <c r="E7" s="1278"/>
      <c r="F7" s="1279"/>
      <c r="G7" s="1338"/>
      <c r="H7" s="1338"/>
      <c r="I7" s="1341"/>
      <c r="J7" s="1341"/>
      <c r="K7" s="810"/>
      <c r="L7" s="810"/>
      <c r="M7" s="810"/>
      <c r="N7" s="810"/>
      <c r="O7" s="810"/>
      <c r="P7" s="841"/>
      <c r="Q7" s="817"/>
      <c r="R7" s="817"/>
      <c r="T7" t="s">
        <v>777</v>
      </c>
    </row>
    <row r="8" spans="4:20">
      <c r="D8" s="1277"/>
      <c r="E8" s="1278"/>
      <c r="F8" s="1279"/>
      <c r="G8" s="1338"/>
      <c r="H8" s="1338"/>
      <c r="I8" s="1341"/>
      <c r="J8" s="1341"/>
      <c r="K8" s="810"/>
      <c r="L8" s="810"/>
      <c r="M8" s="810"/>
      <c r="N8" s="810"/>
      <c r="O8" s="810"/>
      <c r="P8" s="841"/>
      <c r="Q8" s="817"/>
      <c r="R8" s="817"/>
      <c r="T8">
        <f>2.45*10^6/3600</f>
        <v>680.55555555555554</v>
      </c>
    </row>
    <row r="9" spans="4:20">
      <c r="D9" s="1277"/>
      <c r="E9" s="1278"/>
      <c r="F9" s="1279"/>
      <c r="G9" s="1338"/>
      <c r="H9" s="1338"/>
      <c r="I9" s="1342" t="s">
        <v>623</v>
      </c>
      <c r="J9" s="1343"/>
      <c r="K9" s="1349" t="s">
        <v>623</v>
      </c>
      <c r="L9" s="282" t="s">
        <v>746</v>
      </c>
      <c r="M9" s="62" t="s">
        <v>747</v>
      </c>
      <c r="N9" s="129" t="s">
        <v>780</v>
      </c>
      <c r="O9" s="2" t="s">
        <v>748</v>
      </c>
      <c r="P9" s="120" t="s">
        <v>749</v>
      </c>
      <c r="Q9" s="1351" t="s">
        <v>623</v>
      </c>
      <c r="R9" s="1352"/>
    </row>
    <row r="10" spans="4:20">
      <c r="D10" s="1280"/>
      <c r="E10" s="1281"/>
      <c r="F10" s="1282"/>
      <c r="G10" s="1338"/>
      <c r="H10" s="1338"/>
      <c r="I10" s="1344"/>
      <c r="J10" s="1345"/>
      <c r="K10" s="1350"/>
      <c r="L10" s="611" t="s">
        <v>623</v>
      </c>
      <c r="M10" s="542" t="s">
        <v>623</v>
      </c>
      <c r="N10" s="221"/>
      <c r="O10" s="221" t="s">
        <v>623</v>
      </c>
      <c r="P10" s="221" t="s">
        <v>623</v>
      </c>
      <c r="Q10" s="1353"/>
      <c r="R10" s="1354"/>
    </row>
    <row r="11" spans="4:20">
      <c r="D11" s="1259" t="s">
        <v>571</v>
      </c>
      <c r="E11" s="1259"/>
      <c r="F11" s="1259"/>
      <c r="G11" s="1339">
        <v>0</v>
      </c>
      <c r="H11" s="1340"/>
      <c r="I11" s="1339">
        <v>0</v>
      </c>
      <c r="J11" s="1340"/>
      <c r="K11" s="761">
        <f>Données!E45*12</f>
        <v>444.6450000000001</v>
      </c>
      <c r="L11" s="765">
        <v>0</v>
      </c>
      <c r="M11" s="763">
        <v>0</v>
      </c>
      <c r="N11" s="763"/>
      <c r="O11" s="766">
        <v>0</v>
      </c>
      <c r="P11" s="765">
        <v>0</v>
      </c>
      <c r="Q11" s="1348">
        <f>SUM(I11:P11)</f>
        <v>444.6450000000001</v>
      </c>
      <c r="R11" s="1348"/>
    </row>
    <row r="12" spans="4:20">
      <c r="D12" s="1259" t="s">
        <v>572</v>
      </c>
      <c r="E12" s="1259"/>
      <c r="F12" s="1259"/>
      <c r="G12" s="1339">
        <v>10</v>
      </c>
      <c r="H12" s="1340"/>
      <c r="I12" s="1339">
        <f>(69+58/1000*T8)*G12</f>
        <v>1084.7222222222222</v>
      </c>
      <c r="J12" s="1340"/>
      <c r="K12" s="765">
        <f>11*(Données!G22)</f>
        <v>368.51979999999998</v>
      </c>
      <c r="L12" s="765">
        <v>0</v>
      </c>
      <c r="M12" s="763">
        <v>0</v>
      </c>
      <c r="N12" s="763"/>
      <c r="O12" s="766">
        <v>0</v>
      </c>
      <c r="P12" s="765">
        <v>0</v>
      </c>
      <c r="Q12" s="1348">
        <f t="shared" ref="Q12:Q31" si="0">SUM(I12:P12)</f>
        <v>1453.2420222222222</v>
      </c>
      <c r="R12" s="1348"/>
      <c r="T12" t="s">
        <v>775</v>
      </c>
    </row>
    <row r="13" spans="4:20">
      <c r="D13" s="1259" t="s">
        <v>573</v>
      </c>
      <c r="E13" s="1259"/>
      <c r="F13" s="1259"/>
      <c r="G13" s="1339">
        <v>0</v>
      </c>
      <c r="H13" s="1340"/>
      <c r="I13" s="1339">
        <f t="shared" ref="I13" si="1">92*G13</f>
        <v>0</v>
      </c>
      <c r="J13" s="1340"/>
      <c r="K13" s="765">
        <f>8*Données!E46</f>
        <v>116.12799999999999</v>
      </c>
      <c r="L13" s="765">
        <v>0</v>
      </c>
      <c r="M13" s="763">
        <v>0</v>
      </c>
      <c r="N13" s="763"/>
      <c r="O13" s="766">
        <v>0</v>
      </c>
      <c r="P13" s="765">
        <v>0</v>
      </c>
      <c r="Q13" s="1348">
        <f t="shared" si="0"/>
        <v>116.12799999999999</v>
      </c>
      <c r="R13" s="1348"/>
      <c r="T13" t="s">
        <v>776</v>
      </c>
    </row>
    <row r="14" spans="4:20">
      <c r="D14" s="1259" t="s">
        <v>661</v>
      </c>
      <c r="E14" s="1259"/>
      <c r="F14" s="1259"/>
      <c r="G14" s="1339">
        <v>3</v>
      </c>
      <c r="H14" s="1340"/>
      <c r="I14" s="1339">
        <f>(69+70/1000*T8)*G14</f>
        <v>349.91666666666663</v>
      </c>
      <c r="J14" s="1340"/>
      <c r="K14" s="765">
        <f>11*(Données!G23)</f>
        <v>342.87440000000004</v>
      </c>
      <c r="L14" s="765">
        <f>(60+40)</f>
        <v>100</v>
      </c>
      <c r="M14" s="765">
        <f>250*0.1+70</f>
        <v>95</v>
      </c>
      <c r="N14" s="763"/>
      <c r="O14" s="766">
        <v>60</v>
      </c>
      <c r="P14" s="765">
        <v>0</v>
      </c>
      <c r="Q14" s="1348">
        <f t="shared" si="0"/>
        <v>947.79106666666667</v>
      </c>
      <c r="R14" s="1348"/>
    </row>
    <row r="15" spans="4:20">
      <c r="D15" s="1259" t="s">
        <v>662</v>
      </c>
      <c r="E15" s="1259"/>
      <c r="F15" s="1259"/>
      <c r="G15" s="1339">
        <v>3</v>
      </c>
      <c r="H15" s="1340"/>
      <c r="I15" s="1339">
        <f>(69+70/1000*T8)*G15</f>
        <v>349.91666666666663</v>
      </c>
      <c r="J15" s="1340"/>
      <c r="K15" s="765">
        <f>11*Données!G24</f>
        <v>221.76</v>
      </c>
      <c r="L15" s="765">
        <f>(60+40)</f>
        <v>100</v>
      </c>
      <c r="M15" s="765">
        <f>250*0.1+70</f>
        <v>95</v>
      </c>
      <c r="N15" s="763"/>
      <c r="O15" s="766">
        <v>60</v>
      </c>
      <c r="P15" s="765">
        <v>0</v>
      </c>
      <c r="Q15" s="1348">
        <f t="shared" si="0"/>
        <v>826.67666666666662</v>
      </c>
      <c r="R15" s="1348"/>
    </row>
    <row r="16" spans="4:20">
      <c r="D16" s="1259" t="s">
        <v>663</v>
      </c>
      <c r="E16" s="1259"/>
      <c r="F16" s="1259"/>
      <c r="G16" s="1339">
        <v>3</v>
      </c>
      <c r="H16" s="1340"/>
      <c r="I16" s="1339">
        <f>(69+70/1000*T8)*G16</f>
        <v>349.91666666666663</v>
      </c>
      <c r="J16" s="1340"/>
      <c r="K16" s="765">
        <f>11*Données!G26</f>
        <v>221.76</v>
      </c>
      <c r="L16" s="765">
        <f>(60+40)</f>
        <v>100</v>
      </c>
      <c r="M16" s="765">
        <f>250*0.1+70</f>
        <v>95</v>
      </c>
      <c r="N16" s="763"/>
      <c r="O16" s="766">
        <v>60</v>
      </c>
      <c r="P16" s="765">
        <v>0</v>
      </c>
      <c r="Q16" s="1348">
        <f t="shared" si="0"/>
        <v>826.67666666666662</v>
      </c>
      <c r="R16" s="1348"/>
    </row>
    <row r="17" spans="4:20">
      <c r="D17" s="1259" t="s">
        <v>40</v>
      </c>
      <c r="E17" s="1259"/>
      <c r="F17" s="1259"/>
      <c r="G17" s="1339">
        <v>3</v>
      </c>
      <c r="H17" s="1340"/>
      <c r="I17" s="1339">
        <f>(69+70/1000*T8)*G17</f>
        <v>349.91666666666663</v>
      </c>
      <c r="J17" s="1340"/>
      <c r="K17" s="765">
        <f>12*Données!G27</f>
        <v>258.24</v>
      </c>
      <c r="L17" s="765">
        <f>(60+40)</f>
        <v>100</v>
      </c>
      <c r="M17" s="765">
        <f>250*0.1+70</f>
        <v>95</v>
      </c>
      <c r="N17" s="763"/>
      <c r="O17" s="766">
        <v>60</v>
      </c>
      <c r="P17" s="765" t="s">
        <v>174</v>
      </c>
      <c r="Q17" s="1348">
        <f t="shared" si="0"/>
        <v>863.15666666666664</v>
      </c>
      <c r="R17" s="1348"/>
      <c r="T17" t="s">
        <v>782</v>
      </c>
    </row>
    <row r="18" spans="4:20">
      <c r="D18" s="1259" t="s">
        <v>664</v>
      </c>
      <c r="E18" s="1259"/>
      <c r="F18" s="1259"/>
      <c r="G18" s="1339">
        <v>14</v>
      </c>
      <c r="H18" s="1340"/>
      <c r="I18" s="1339">
        <f>(77+58/1000*T8)*G18</f>
        <v>1630.6111111111113</v>
      </c>
      <c r="J18" s="1340"/>
      <c r="K18" s="765">
        <f>12*Données!G28</f>
        <v>433.1952</v>
      </c>
      <c r="L18" s="765"/>
      <c r="M18" s="763">
        <v>0</v>
      </c>
      <c r="N18" s="763"/>
      <c r="O18" s="766">
        <v>0</v>
      </c>
      <c r="P18" s="765">
        <v>0</v>
      </c>
      <c r="Q18" s="1348">
        <f t="shared" si="0"/>
        <v>2063.8063111111114</v>
      </c>
      <c r="R18" s="1348"/>
    </row>
    <row r="19" spans="4:20">
      <c r="D19" s="1259" t="s">
        <v>665</v>
      </c>
      <c r="E19" s="1259"/>
      <c r="F19" s="1259"/>
      <c r="G19" s="1339">
        <v>0</v>
      </c>
      <c r="H19" s="1340"/>
      <c r="I19" s="1339">
        <v>0</v>
      </c>
      <c r="J19" s="1340"/>
      <c r="K19" s="765">
        <f>Données!G33*8</f>
        <v>392.5</v>
      </c>
      <c r="L19" s="765">
        <v>0</v>
      </c>
      <c r="M19" s="765"/>
      <c r="N19" s="763"/>
      <c r="O19" s="766">
        <v>0</v>
      </c>
      <c r="P19" s="765">
        <v>0</v>
      </c>
      <c r="Q19" s="1348">
        <f t="shared" si="0"/>
        <v>392.5</v>
      </c>
      <c r="R19" s="1348"/>
    </row>
    <row r="20" spans="4:20">
      <c r="D20" s="1259" t="s">
        <v>579</v>
      </c>
      <c r="E20" s="1259"/>
      <c r="F20" s="1259"/>
      <c r="G20" s="1339">
        <v>0</v>
      </c>
      <c r="H20" s="1340"/>
      <c r="I20" s="1339">
        <v>0</v>
      </c>
      <c r="J20" s="1340"/>
      <c r="K20" s="765">
        <f>Données!E51*8</f>
        <v>68.724000000000004</v>
      </c>
      <c r="L20" s="765">
        <v>0</v>
      </c>
      <c r="M20" s="765">
        <v>0</v>
      </c>
      <c r="N20" s="763"/>
      <c r="O20" s="766">
        <v>0</v>
      </c>
      <c r="P20" s="765">
        <v>0</v>
      </c>
      <c r="Q20" s="1348">
        <f t="shared" si="0"/>
        <v>68.724000000000004</v>
      </c>
      <c r="R20" s="1348"/>
    </row>
    <row r="21" spans="4:20">
      <c r="D21" s="1288" t="s">
        <v>684</v>
      </c>
      <c r="E21" s="1289"/>
      <c r="F21" s="1290"/>
      <c r="G21" s="1346">
        <v>0</v>
      </c>
      <c r="H21" s="1347"/>
      <c r="I21" s="1339">
        <v>0</v>
      </c>
      <c r="J21" s="1340"/>
      <c r="K21" s="765">
        <f>Données!E52*8</f>
        <v>145.66</v>
      </c>
      <c r="L21" s="765">
        <v>0</v>
      </c>
      <c r="M21" s="765">
        <v>0</v>
      </c>
      <c r="N21" s="763"/>
      <c r="O21" s="766">
        <v>0</v>
      </c>
      <c r="P21" s="767">
        <v>0</v>
      </c>
      <c r="Q21" s="1348">
        <f t="shared" si="0"/>
        <v>145.66</v>
      </c>
      <c r="R21" s="1348"/>
    </row>
    <row r="22" spans="4:20">
      <c r="D22" s="1259" t="s">
        <v>583</v>
      </c>
      <c r="E22" s="1259"/>
      <c r="F22" s="1259"/>
      <c r="G22" s="1339">
        <v>3</v>
      </c>
      <c r="H22" s="1340"/>
      <c r="I22" s="1339">
        <f>G22*(69+70/1000*T8)</f>
        <v>349.91666666666663</v>
      </c>
      <c r="J22" s="1340"/>
      <c r="K22" s="765">
        <f>Données!G36*8</f>
        <v>184.64400000000001</v>
      </c>
      <c r="L22" s="765">
        <v>0</v>
      </c>
      <c r="M22" s="765">
        <v>0</v>
      </c>
      <c r="N22" s="763"/>
      <c r="O22" s="766">
        <v>0</v>
      </c>
      <c r="P22" s="767">
        <f>3*600</f>
        <v>1800</v>
      </c>
      <c r="Q22" s="1348">
        <f>SUM(I22:P22)</f>
        <v>2334.5606666666667</v>
      </c>
      <c r="R22" s="1348"/>
    </row>
    <row r="23" spans="4:20">
      <c r="D23" s="1259" t="s">
        <v>584</v>
      </c>
      <c r="E23" s="1259"/>
      <c r="F23" s="1259"/>
      <c r="G23" s="1339">
        <v>6</v>
      </c>
      <c r="H23" s="1340"/>
      <c r="I23" s="1339">
        <f>G23*(69+70/1000*T8)</f>
        <v>699.83333333333326</v>
      </c>
      <c r="J23" s="1340"/>
      <c r="K23" s="761">
        <f>Données!G29*12</f>
        <v>386.09999999999997</v>
      </c>
      <c r="L23" s="765">
        <f>2*(60+40)</f>
        <v>200</v>
      </c>
      <c r="M23" s="765"/>
      <c r="N23" s="763"/>
      <c r="O23" s="765">
        <f>2*60</f>
        <v>120</v>
      </c>
      <c r="P23" s="765">
        <v>0</v>
      </c>
      <c r="Q23" s="1348">
        <f t="shared" si="0"/>
        <v>1405.9333333333332</v>
      </c>
      <c r="R23" s="1348"/>
    </row>
    <row r="24" spans="4:20">
      <c r="D24" s="1259" t="s">
        <v>668</v>
      </c>
      <c r="E24" s="1259"/>
      <c r="F24" s="1259"/>
      <c r="G24" s="1339">
        <v>26</v>
      </c>
      <c r="H24" s="1340"/>
      <c r="I24" s="1339">
        <f>(77+58/1000*T8)*G24</f>
        <v>3028.2777777777778</v>
      </c>
      <c r="J24" s="1340"/>
      <c r="K24" s="765">
        <f>12*Données!G30</f>
        <v>631.43999999999994</v>
      </c>
      <c r="L24" s="765"/>
      <c r="M24" s="763">
        <v>0</v>
      </c>
      <c r="N24" s="763"/>
      <c r="O24" s="766">
        <v>0</v>
      </c>
      <c r="P24" s="766">
        <v>0</v>
      </c>
      <c r="Q24" s="1348">
        <f t="shared" si="0"/>
        <v>3659.7177777777779</v>
      </c>
      <c r="R24" s="1348"/>
    </row>
    <row r="25" spans="4:20">
      <c r="D25" s="1235" t="s">
        <v>669</v>
      </c>
      <c r="E25" s="1236"/>
      <c r="F25" s="1237"/>
      <c r="G25" s="1339">
        <v>9</v>
      </c>
      <c r="H25" s="1340"/>
      <c r="I25" s="1339">
        <f>(69+70/1000*T8)*G25</f>
        <v>1049.75</v>
      </c>
      <c r="J25" s="1340"/>
      <c r="K25" s="765">
        <f>8*'Charge therm. total'!I23</f>
        <v>400.19680608365019</v>
      </c>
      <c r="L25" s="765">
        <v>0</v>
      </c>
      <c r="M25" s="763">
        <v>0</v>
      </c>
      <c r="N25" s="763"/>
      <c r="O25" s="766">
        <v>0</v>
      </c>
      <c r="P25" s="766">
        <v>0</v>
      </c>
      <c r="Q25" s="1348">
        <f t="shared" si="0"/>
        <v>1449.9468060836502</v>
      </c>
      <c r="R25" s="1348"/>
    </row>
    <row r="26" spans="4:20">
      <c r="D26" s="1259" t="s">
        <v>587</v>
      </c>
      <c r="E26" s="1259"/>
      <c r="F26" s="1259"/>
      <c r="G26" s="1339">
        <v>1</v>
      </c>
      <c r="H26" s="1340"/>
      <c r="I26" s="1339">
        <f>(69+70/1000*T8)*G26</f>
        <v>116.63888888888889</v>
      </c>
      <c r="J26" s="1340"/>
      <c r="K26" s="765">
        <f>8*'Charge therm. total'!I24</f>
        <v>37.840000000000003</v>
      </c>
      <c r="L26" s="765">
        <v>0</v>
      </c>
      <c r="M26" s="763">
        <v>0</v>
      </c>
      <c r="N26" s="763"/>
      <c r="O26" s="766">
        <v>0</v>
      </c>
      <c r="P26" s="766">
        <v>0</v>
      </c>
      <c r="Q26" s="1348">
        <f t="shared" si="0"/>
        <v>154.47888888888889</v>
      </c>
      <c r="R26" s="1348"/>
    </row>
    <row r="27" spans="4:20">
      <c r="D27" s="1259" t="s">
        <v>588</v>
      </c>
      <c r="E27" s="1259"/>
      <c r="F27" s="1235"/>
      <c r="G27" s="1339">
        <v>1</v>
      </c>
      <c r="H27" s="1340"/>
      <c r="I27" s="1339">
        <f>(69+70/1000*T8)*G27</f>
        <v>116.63888888888889</v>
      </c>
      <c r="J27" s="1340"/>
      <c r="K27" s="765">
        <f>8*'Charge therm. total'!I25</f>
        <v>34.96</v>
      </c>
      <c r="L27" s="765">
        <v>0</v>
      </c>
      <c r="M27" s="763">
        <v>0</v>
      </c>
      <c r="N27" s="763"/>
      <c r="O27" s="766">
        <v>0</v>
      </c>
      <c r="P27" s="766">
        <v>0</v>
      </c>
      <c r="Q27" s="1348">
        <f t="shared" si="0"/>
        <v>151.59888888888889</v>
      </c>
      <c r="R27" s="1348"/>
    </row>
    <row r="28" spans="4:20">
      <c r="D28" s="1259" t="s">
        <v>589</v>
      </c>
      <c r="E28" s="1259"/>
      <c r="F28" s="1235"/>
      <c r="G28" s="1339">
        <v>5</v>
      </c>
      <c r="H28" s="1340"/>
      <c r="I28" s="1339">
        <f>(69+70/1000*T8)*G28</f>
        <v>583.19444444444446</v>
      </c>
      <c r="J28" s="1340"/>
      <c r="K28" s="765">
        <f>8*'Charge therm. total'!I26</f>
        <v>139.19999999999999</v>
      </c>
      <c r="L28" s="765">
        <v>0</v>
      </c>
      <c r="M28" s="765">
        <v>0</v>
      </c>
      <c r="N28" s="763"/>
      <c r="O28" s="766">
        <v>0</v>
      </c>
      <c r="P28" s="766">
        <v>0</v>
      </c>
      <c r="Q28" s="1348">
        <f t="shared" si="0"/>
        <v>722.39444444444439</v>
      </c>
      <c r="R28" s="1348"/>
    </row>
    <row r="29" spans="4:20">
      <c r="D29" s="1259" t="s">
        <v>590</v>
      </c>
      <c r="E29" s="1259"/>
      <c r="F29" s="1235"/>
      <c r="G29" s="1339">
        <v>5</v>
      </c>
      <c r="H29" s="1340"/>
      <c r="I29" s="1339">
        <f>(69+70/1000*T8)*G29</f>
        <v>583.19444444444446</v>
      </c>
      <c r="J29" s="1340"/>
      <c r="K29" s="765">
        <f>8*'Charge therm. total'!I27</f>
        <v>98.16</v>
      </c>
      <c r="L29" s="765">
        <v>0</v>
      </c>
      <c r="M29" s="765">
        <v>0</v>
      </c>
      <c r="N29" s="763"/>
      <c r="O29" s="766">
        <v>0</v>
      </c>
      <c r="P29" s="766">
        <v>0</v>
      </c>
      <c r="Q29" s="1348">
        <f t="shared" si="0"/>
        <v>681.35444444444443</v>
      </c>
      <c r="R29" s="1348"/>
    </row>
    <row r="30" spans="4:20">
      <c r="D30" s="1259" t="s">
        <v>670</v>
      </c>
      <c r="E30" s="1259"/>
      <c r="F30" s="1235"/>
      <c r="G30" s="1339">
        <v>0</v>
      </c>
      <c r="H30" s="1340"/>
      <c r="I30" s="1339">
        <f>(69+70/1000*T8)*G30</f>
        <v>0</v>
      </c>
      <c r="J30" s="1340"/>
      <c r="K30" s="765">
        <f>0*'Charge therm. total'!I28</f>
        <v>0</v>
      </c>
      <c r="L30" s="765">
        <v>0</v>
      </c>
      <c r="M30" s="765">
        <v>0</v>
      </c>
      <c r="N30" s="763"/>
      <c r="O30" s="766">
        <v>0</v>
      </c>
      <c r="P30" s="766">
        <v>0</v>
      </c>
      <c r="Q30" s="1348">
        <f t="shared" si="0"/>
        <v>0</v>
      </c>
      <c r="R30" s="1348"/>
    </row>
    <row r="31" spans="4:20" ht="16.5" thickBot="1">
      <c r="D31" s="198" t="s">
        <v>671</v>
      </c>
      <c r="E31" s="442"/>
      <c r="F31" s="442"/>
      <c r="G31" s="1359">
        <v>0</v>
      </c>
      <c r="H31" s="1360"/>
      <c r="I31" s="1339">
        <f>(69+70/1000*T8)*G31</f>
        <v>0</v>
      </c>
      <c r="J31" s="1340"/>
      <c r="K31" s="765">
        <f>0*'Charge therm. total'!I29</f>
        <v>0</v>
      </c>
      <c r="L31" s="765">
        <v>0</v>
      </c>
      <c r="M31" s="765">
        <v>0</v>
      </c>
      <c r="N31" s="763"/>
      <c r="O31" s="766">
        <v>0</v>
      </c>
      <c r="P31" s="766">
        <v>0</v>
      </c>
      <c r="Q31" s="1348">
        <f t="shared" si="0"/>
        <v>0</v>
      </c>
      <c r="R31" s="1348"/>
    </row>
    <row r="32" spans="4:20" ht="16.5" thickBot="1">
      <c r="D32" s="1286" t="s">
        <v>71</v>
      </c>
      <c r="E32" s="1287"/>
      <c r="F32" s="1287"/>
      <c r="G32" s="1357">
        <f>SUM(G11:H31)</f>
        <v>92</v>
      </c>
      <c r="H32" s="1358"/>
      <c r="I32" s="1357">
        <f>SUM(I11:J31)</f>
        <v>10642.444444444445</v>
      </c>
      <c r="J32" s="1358"/>
      <c r="K32" s="626"/>
      <c r="L32" s="625"/>
      <c r="M32" s="625"/>
      <c r="N32" s="625"/>
      <c r="O32" s="625"/>
      <c r="P32" s="625"/>
      <c r="Q32" s="1355">
        <f>SUM(Q11:R31)</f>
        <v>18708.9916505281</v>
      </c>
      <c r="R32" s="1356"/>
    </row>
  </sheetData>
  <mergeCells count="96">
    <mergeCell ref="Q29:R29"/>
    <mergeCell ref="Q30:R30"/>
    <mergeCell ref="Q31:R31"/>
    <mergeCell ref="Q32:R32"/>
    <mergeCell ref="G32:H32"/>
    <mergeCell ref="I32:J32"/>
    <mergeCell ref="G29:H29"/>
    <mergeCell ref="G30:H30"/>
    <mergeCell ref="G31:H31"/>
    <mergeCell ref="I29:J29"/>
    <mergeCell ref="I30:J30"/>
    <mergeCell ref="I31:J31"/>
    <mergeCell ref="Q26:R26"/>
    <mergeCell ref="Q27:R27"/>
    <mergeCell ref="Q28:R28"/>
    <mergeCell ref="K9:K10"/>
    <mergeCell ref="Q9:R10"/>
    <mergeCell ref="Q21:R21"/>
    <mergeCell ref="Q22:R22"/>
    <mergeCell ref="Q23:R23"/>
    <mergeCell ref="Q24:R24"/>
    <mergeCell ref="Q25:R25"/>
    <mergeCell ref="Q16:R16"/>
    <mergeCell ref="Q17:R17"/>
    <mergeCell ref="Q18:R18"/>
    <mergeCell ref="Q19:R19"/>
    <mergeCell ref="Q20:R20"/>
    <mergeCell ref="I27:J27"/>
    <mergeCell ref="I28:J28"/>
    <mergeCell ref="K5:K8"/>
    <mergeCell ref="L5:P8"/>
    <mergeCell ref="Q5:R8"/>
    <mergeCell ref="Q11:R11"/>
    <mergeCell ref="Q12:R12"/>
    <mergeCell ref="Q13:R13"/>
    <mergeCell ref="Q14:R14"/>
    <mergeCell ref="Q15:R15"/>
    <mergeCell ref="I22:J22"/>
    <mergeCell ref="I23:J23"/>
    <mergeCell ref="I24:J24"/>
    <mergeCell ref="I25:J25"/>
    <mergeCell ref="I26:J26"/>
    <mergeCell ref="I17:J17"/>
    <mergeCell ref="I18:J18"/>
    <mergeCell ref="I19:J19"/>
    <mergeCell ref="I20:J20"/>
    <mergeCell ref="I21:J21"/>
    <mergeCell ref="G26:H26"/>
    <mergeCell ref="G20:H20"/>
    <mergeCell ref="G27:H27"/>
    <mergeCell ref="G28:H28"/>
    <mergeCell ref="I5:J8"/>
    <mergeCell ref="I9:J10"/>
    <mergeCell ref="I11:J11"/>
    <mergeCell ref="I12:J12"/>
    <mergeCell ref="I13:J13"/>
    <mergeCell ref="I14:J14"/>
    <mergeCell ref="I15:J15"/>
    <mergeCell ref="I16:J16"/>
    <mergeCell ref="G21:H21"/>
    <mergeCell ref="G22:H22"/>
    <mergeCell ref="G23:H23"/>
    <mergeCell ref="G24:H24"/>
    <mergeCell ref="G25:H25"/>
    <mergeCell ref="G16:H16"/>
    <mergeCell ref="G11:H11"/>
    <mergeCell ref="G12:H12"/>
    <mergeCell ref="G13:H13"/>
    <mergeCell ref="G14:H14"/>
    <mergeCell ref="G15:H15"/>
    <mergeCell ref="D17:F17"/>
    <mergeCell ref="D18:F18"/>
    <mergeCell ref="G17:H17"/>
    <mergeCell ref="G18:H18"/>
    <mergeCell ref="G19:H19"/>
    <mergeCell ref="D13:F13"/>
    <mergeCell ref="D5:F10"/>
    <mergeCell ref="D14:F14"/>
    <mergeCell ref="D15:F15"/>
    <mergeCell ref="D16:F16"/>
    <mergeCell ref="G5:H10"/>
    <mergeCell ref="D32:F32"/>
    <mergeCell ref="D20:F20"/>
    <mergeCell ref="D21:F21"/>
    <mergeCell ref="D22:F22"/>
    <mergeCell ref="D23:F23"/>
    <mergeCell ref="D24:F24"/>
    <mergeCell ref="D25:F25"/>
    <mergeCell ref="D26:F26"/>
    <mergeCell ref="D27:F27"/>
    <mergeCell ref="D28:F28"/>
    <mergeCell ref="D29:F29"/>
    <mergeCell ref="D30:F30"/>
    <mergeCell ref="D19:F19"/>
    <mergeCell ref="D11:F11"/>
    <mergeCell ref="D12:F12"/>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EDC982-1C94-4B68-8E4B-1A349834E511}">
  <sheetPr codeName="Feuil20"/>
  <dimension ref="D12:AG126"/>
  <sheetViews>
    <sheetView tabSelected="1" topLeftCell="D11" zoomScale="65" zoomScaleNormal="65" workbookViewId="0">
      <selection activeCell="V49" sqref="V49"/>
    </sheetView>
  </sheetViews>
  <sheetFormatPr baseColWidth="10" defaultColWidth="11" defaultRowHeight="15.75"/>
  <cols>
    <col min="13" max="13" width="13.25" customWidth="1"/>
    <col min="16" max="16" width="11.75" customWidth="1"/>
    <col min="17" max="17" width="16.875" customWidth="1"/>
    <col min="20" max="20" width="13" customWidth="1"/>
    <col min="24" max="24" width="21.5" customWidth="1"/>
    <col min="25" max="25" width="20.625" customWidth="1"/>
  </cols>
  <sheetData>
    <row r="12" spans="4:30">
      <c r="J12" s="5"/>
      <c r="K12" s="5"/>
      <c r="L12" s="5"/>
      <c r="M12" s="5"/>
      <c r="N12" s="5"/>
      <c r="O12" s="5"/>
      <c r="P12" s="5"/>
      <c r="Q12" s="5"/>
      <c r="R12" s="5"/>
      <c r="S12" s="5"/>
      <c r="T12" s="5"/>
      <c r="U12" s="5"/>
      <c r="V12" s="5"/>
      <c r="W12" s="5"/>
      <c r="X12" s="5"/>
      <c r="Y12" s="5"/>
      <c r="Z12" s="5"/>
      <c r="AA12" s="5"/>
      <c r="AB12" s="5"/>
      <c r="AC12" s="5"/>
      <c r="AD12" s="5"/>
    </row>
    <row r="13" spans="4:30" ht="46.9" customHeight="1">
      <c r="D13" s="5"/>
      <c r="E13" s="5"/>
      <c r="F13" s="5"/>
      <c r="G13" s="747"/>
      <c r="H13" s="641"/>
      <c r="I13" s="641"/>
      <c r="J13" s="641"/>
      <c r="K13" s="1362" t="s">
        <v>755</v>
      </c>
      <c r="L13" s="1362"/>
      <c r="M13" s="1362" t="s">
        <v>756</v>
      </c>
      <c r="N13" s="1362"/>
      <c r="O13" s="1367" t="s">
        <v>754</v>
      </c>
      <c r="P13" s="1367"/>
      <c r="Q13" s="1362" t="s">
        <v>771</v>
      </c>
      <c r="R13" s="641"/>
      <c r="S13" s="641"/>
      <c r="T13" s="641"/>
      <c r="U13" s="641"/>
      <c r="V13" s="747"/>
      <c r="W13" s="747"/>
      <c r="X13" s="747"/>
      <c r="Y13" s="747"/>
      <c r="Z13" s="747"/>
      <c r="AA13" s="5"/>
      <c r="AB13" s="5"/>
      <c r="AC13" s="5"/>
      <c r="AD13" s="5"/>
    </row>
    <row r="14" spans="4:30" ht="70.150000000000006" customHeight="1">
      <c r="D14" s="5"/>
      <c r="E14" s="5"/>
      <c r="F14" s="5"/>
      <c r="G14" s="747"/>
      <c r="H14" s="641"/>
      <c r="I14" s="641"/>
      <c r="J14" s="641"/>
      <c r="K14" s="1362"/>
      <c r="L14" s="1362"/>
      <c r="M14" s="1362"/>
      <c r="N14" s="1362"/>
      <c r="O14" s="1367"/>
      <c r="P14" s="1367"/>
      <c r="Q14" s="1362"/>
      <c r="R14" s="743"/>
      <c r="S14" s="743"/>
      <c r="T14" s="641"/>
      <c r="V14" s="5"/>
      <c r="W14" s="5"/>
      <c r="X14" s="747"/>
      <c r="Y14" s="747"/>
      <c r="Z14" s="747"/>
      <c r="AA14" s="5"/>
      <c r="AB14" s="5"/>
      <c r="AC14" s="5"/>
      <c r="AD14" s="5"/>
    </row>
    <row r="15" spans="4:30" ht="15.6" customHeight="1">
      <c r="D15" s="5"/>
      <c r="E15" s="5"/>
      <c r="F15" s="5"/>
      <c r="G15" s="747"/>
      <c r="H15" s="1386"/>
      <c r="I15" s="1386"/>
      <c r="J15" s="1386"/>
      <c r="K15" s="1362"/>
      <c r="L15" s="1362"/>
      <c r="M15" s="1362"/>
      <c r="N15" s="1362"/>
      <c r="O15" s="1367"/>
      <c r="P15" s="1367"/>
      <c r="Q15" s="1362"/>
      <c r="R15" s="1379" t="s">
        <v>767</v>
      </c>
      <c r="S15" s="1397" t="s">
        <v>757</v>
      </c>
      <c r="T15" s="1398" t="s">
        <v>758</v>
      </c>
      <c r="U15" s="5"/>
      <c r="V15" s="5"/>
      <c r="W15" s="5"/>
      <c r="X15" s="5"/>
      <c r="Y15" s="5"/>
      <c r="Z15" s="5"/>
      <c r="AA15" s="5"/>
      <c r="AB15" s="5"/>
      <c r="AC15" s="5"/>
      <c r="AD15" s="5"/>
    </row>
    <row r="16" spans="4:30" ht="15.6" customHeight="1">
      <c r="D16" s="5"/>
      <c r="E16" s="5"/>
      <c r="F16" s="5"/>
      <c r="G16" s="747"/>
      <c r="H16" s="1386"/>
      <c r="I16" s="1386"/>
      <c r="J16" s="1386"/>
      <c r="K16" s="1363"/>
      <c r="L16" s="1363"/>
      <c r="M16" s="1362"/>
      <c r="N16" s="1362"/>
      <c r="O16" s="1368"/>
      <c r="P16" s="1368"/>
      <c r="Q16" s="1363"/>
      <c r="R16" s="1380"/>
      <c r="S16" s="1397"/>
      <c r="T16" s="1398"/>
      <c r="U16" s="5"/>
      <c r="V16" s="5"/>
      <c r="W16" s="5"/>
      <c r="X16" s="5"/>
      <c r="Y16" s="5"/>
      <c r="Z16" s="5"/>
      <c r="AA16" s="5"/>
      <c r="AB16" s="5"/>
      <c r="AC16" s="5"/>
      <c r="AD16" s="5"/>
    </row>
    <row r="17" spans="4:30" ht="15.6" customHeight="1">
      <c r="D17" s="5"/>
      <c r="E17" s="5"/>
      <c r="F17" s="5"/>
      <c r="G17" s="747"/>
      <c r="H17" s="1386"/>
      <c r="I17" s="1386"/>
      <c r="J17" s="1386"/>
      <c r="K17" s="1382" t="s">
        <v>263</v>
      </c>
      <c r="L17" s="1383"/>
      <c r="M17" s="1384" t="s">
        <v>263</v>
      </c>
      <c r="N17" s="1384"/>
      <c r="O17" s="1365" t="s">
        <v>623</v>
      </c>
      <c r="P17" s="1366"/>
      <c r="Q17" s="735" t="s">
        <v>623</v>
      </c>
      <c r="R17" s="753" t="s">
        <v>768</v>
      </c>
      <c r="T17" s="646"/>
      <c r="U17" s="5"/>
      <c r="V17" s="5"/>
      <c r="W17" s="5"/>
      <c r="X17" s="5"/>
      <c r="Y17" s="5"/>
      <c r="Z17" s="5" t="s">
        <v>772</v>
      </c>
      <c r="AA17" s="5"/>
      <c r="AB17" s="5"/>
      <c r="AC17" s="5"/>
      <c r="AD17" s="5"/>
    </row>
    <row r="18" spans="4:30">
      <c r="D18" s="5"/>
      <c r="E18" s="5"/>
      <c r="F18" s="5"/>
      <c r="G18" s="747"/>
      <c r="H18" s="1259" t="s">
        <v>571</v>
      </c>
      <c r="I18" s="1259"/>
      <c r="J18" s="1235"/>
      <c r="K18" s="1371">
        <f>'APPORT EXTERNE TOT'!J14</f>
        <v>0</v>
      </c>
      <c r="L18" s="1372"/>
      <c r="M18" s="1385">
        <f>'APPORT INTERNE'!Q11</f>
        <v>444.6450000000001</v>
      </c>
      <c r="N18" s="1371"/>
      <c r="O18" s="1369">
        <f>'Coffre-fort (1)'!M71</f>
        <v>337.90963334943524</v>
      </c>
      <c r="P18" s="1369"/>
      <c r="Q18" s="742">
        <f t="shared" ref="Q18:Q38" si="0">K18+M18+O18</f>
        <v>782.55463334943533</v>
      </c>
      <c r="R18" s="801">
        <f t="shared" ref="R18:R38" si="1">(Q18/Q$39)*100</f>
        <v>2.2499989936393994</v>
      </c>
      <c r="S18" s="754">
        <f>'Charge therm. total'!I9</f>
        <v>37.053750000000008</v>
      </c>
      <c r="T18" s="755">
        <f t="shared" ref="T18:T39" si="2">Q18/S18</f>
        <v>21.119444950900654</v>
      </c>
      <c r="U18" s="746"/>
      <c r="V18" s="746"/>
      <c r="W18" s="5"/>
      <c r="X18" s="5"/>
      <c r="Y18" s="5"/>
      <c r="Z18" s="5" t="s">
        <v>773</v>
      </c>
      <c r="AA18" s="5"/>
      <c r="AB18" s="5"/>
      <c r="AC18" s="5"/>
      <c r="AD18" s="5"/>
    </row>
    <row r="19" spans="4:30">
      <c r="D19" s="5"/>
      <c r="E19" s="5"/>
      <c r="F19" s="5"/>
      <c r="G19" s="747"/>
      <c r="H19" s="1259" t="s">
        <v>572</v>
      </c>
      <c r="I19" s="1259"/>
      <c r="J19" s="1235"/>
      <c r="K19" s="1371">
        <f>'APPORT EXTERNE TOT'!J15</f>
        <v>10.34878904929881</v>
      </c>
      <c r="L19" s="1372"/>
      <c r="M19" s="1385">
        <f>'APPORT INTERNE'!Q12</f>
        <v>1453.2420222222222</v>
      </c>
      <c r="N19" s="1371"/>
      <c r="O19" s="1369">
        <f>'SDR (3)'!BI116</f>
        <v>330.04611158823514</v>
      </c>
      <c r="P19" s="1369"/>
      <c r="Q19" s="742">
        <f t="shared" si="0"/>
        <v>1793.6369228597562</v>
      </c>
      <c r="R19" s="801">
        <f t="shared" si="1"/>
        <v>5.157060094469931</v>
      </c>
      <c r="S19" s="754">
        <f>'Charge therm. total'!I10</f>
        <v>33.501799999999996</v>
      </c>
      <c r="T19" s="755">
        <f t="shared" si="2"/>
        <v>53.538523985569626</v>
      </c>
      <c r="U19" s="746"/>
      <c r="V19" s="746"/>
      <c r="W19" s="5"/>
      <c r="X19" s="5"/>
      <c r="Y19" s="5"/>
      <c r="Z19" s="5" t="s">
        <v>774</v>
      </c>
      <c r="AA19" s="5"/>
      <c r="AB19" s="5"/>
      <c r="AC19" s="5"/>
      <c r="AD19" s="5"/>
    </row>
    <row r="20" spans="4:30">
      <c r="D20" s="5"/>
      <c r="E20" s="5"/>
      <c r="F20" s="5"/>
      <c r="G20" s="747"/>
      <c r="H20" s="1259" t="s">
        <v>573</v>
      </c>
      <c r="I20" s="1259"/>
      <c r="J20" s="1235"/>
      <c r="K20" s="1371">
        <f>'APPORT EXTERNE TOT'!J16</f>
        <v>2.8024842847755855</v>
      </c>
      <c r="L20" s="1372"/>
      <c r="M20" s="1385">
        <f>'APPORT INTERNE'!Q13</f>
        <v>116.12799999999999</v>
      </c>
      <c r="N20" s="1371"/>
      <c r="O20" s="1369">
        <f>'Escalier (1)'!X48</f>
        <v>40.550278554880435</v>
      </c>
      <c r="P20" s="1369"/>
      <c r="Q20" s="742">
        <f t="shared" si="0"/>
        <v>159.48076283965599</v>
      </c>
      <c r="R20" s="801">
        <f t="shared" si="1"/>
        <v>0.45853866375849583</v>
      </c>
      <c r="S20" s="754">
        <f>'Charge therm. total'!I11</f>
        <v>14.515999999999998</v>
      </c>
      <c r="T20" s="755">
        <f t="shared" si="2"/>
        <v>10.986550209400386</v>
      </c>
      <c r="U20" s="746"/>
      <c r="V20" s="746"/>
      <c r="W20" s="5"/>
      <c r="X20" s="5"/>
      <c r="Y20" s="5"/>
      <c r="Z20" s="5"/>
      <c r="AA20" s="5"/>
      <c r="AB20" s="5"/>
      <c r="AC20" s="5"/>
      <c r="AD20" s="5"/>
    </row>
    <row r="21" spans="4:30">
      <c r="D21" s="5"/>
      <c r="E21" s="5"/>
      <c r="F21" s="5"/>
      <c r="G21" s="747"/>
      <c r="H21" s="1259" t="s">
        <v>661</v>
      </c>
      <c r="I21" s="1259"/>
      <c r="J21" s="1235"/>
      <c r="K21" s="1371">
        <f>'APPORT EXTERNE TOT'!J17</f>
        <v>181.56797643034662</v>
      </c>
      <c r="L21" s="1372"/>
      <c r="M21" s="1385">
        <f>'APPORT INTERNE'!Q14</f>
        <v>947.79106666666667</v>
      </c>
      <c r="N21" s="1371"/>
      <c r="O21" s="1369">
        <f>'SDR (3)'!N117</f>
        <v>460.06858145010983</v>
      </c>
      <c r="P21" s="1369"/>
      <c r="Q21" s="742">
        <f t="shared" si="0"/>
        <v>1589.4276245471231</v>
      </c>
      <c r="R21" s="801">
        <f t="shared" si="1"/>
        <v>4.5699180648730469</v>
      </c>
      <c r="S21" s="754">
        <f>'Charge therm. total'!I12</f>
        <v>31.170400000000001</v>
      </c>
      <c r="T21" s="755">
        <f t="shared" si="2"/>
        <v>50.991569711878036</v>
      </c>
      <c r="U21" s="746"/>
      <c r="V21" s="746"/>
      <c r="W21" s="5"/>
      <c r="X21" s="5"/>
      <c r="Y21" s="5"/>
      <c r="Z21" s="5"/>
      <c r="AA21" s="5"/>
      <c r="AB21" s="5"/>
      <c r="AC21" s="5"/>
      <c r="AD21" s="5"/>
    </row>
    <row r="22" spans="4:30">
      <c r="D22" s="5"/>
      <c r="E22" s="5"/>
      <c r="F22" s="5"/>
      <c r="G22" s="747"/>
      <c r="H22" s="1259" t="s">
        <v>662</v>
      </c>
      <c r="I22" s="1259"/>
      <c r="J22" s="1235"/>
      <c r="K22" s="1371">
        <f>'APPORT EXTERNE TOT'!J18</f>
        <v>183.04549059960385</v>
      </c>
      <c r="L22" s="1372"/>
      <c r="M22" s="1385">
        <f>'APPORT INTERNE'!Q15</f>
        <v>826.67666666666662</v>
      </c>
      <c r="N22" s="1371"/>
      <c r="O22" s="1369">
        <f>'Bureau (5)'!BF76</f>
        <v>103.04662368361511</v>
      </c>
      <c r="P22" s="1369"/>
      <c r="Q22" s="742">
        <f t="shared" si="0"/>
        <v>1112.7687809498855</v>
      </c>
      <c r="R22" s="801">
        <f t="shared" si="1"/>
        <v>3.1994298296775781</v>
      </c>
      <c r="S22" s="754">
        <f>'Charge therm. total'!I13</f>
        <v>20.16</v>
      </c>
      <c r="T22" s="755">
        <f t="shared" si="2"/>
        <v>55.196864134418924</v>
      </c>
      <c r="U22" s="746"/>
      <c r="V22" s="746"/>
      <c r="W22" s="5"/>
      <c r="X22" s="5"/>
      <c r="Y22" s="5"/>
      <c r="Z22" s="5"/>
      <c r="AA22" s="5"/>
      <c r="AB22" s="5"/>
      <c r="AC22" s="5"/>
      <c r="AD22" s="5"/>
    </row>
    <row r="23" spans="4:30">
      <c r="D23" s="5"/>
      <c r="E23" s="5"/>
      <c r="F23" s="5"/>
      <c r="G23" s="747"/>
      <c r="H23" s="1259" t="s">
        <v>663</v>
      </c>
      <c r="I23" s="1259"/>
      <c r="J23" s="1235"/>
      <c r="K23" s="1371">
        <f>'APPORT EXTERNE TOT'!J19</f>
        <v>152.70481051363464</v>
      </c>
      <c r="L23" s="1372"/>
      <c r="M23" s="1385">
        <f>'APPORT INTERNE'!Q16</f>
        <v>826.67666666666662</v>
      </c>
      <c r="N23" s="1371"/>
      <c r="O23" s="1369">
        <f>'Bureau (5)'!W89</f>
        <v>88.45342966330324</v>
      </c>
      <c r="P23" s="1369"/>
      <c r="Q23" s="742">
        <f>K23+M23+O23</f>
        <v>1067.8349068436046</v>
      </c>
      <c r="R23" s="801">
        <f t="shared" si="1"/>
        <v>3.070236074748641</v>
      </c>
      <c r="S23" s="754">
        <f>'Charge therm. total'!I14</f>
        <v>20.16</v>
      </c>
      <c r="T23" s="755">
        <f t="shared" si="2"/>
        <v>52.968001331528008</v>
      </c>
      <c r="U23" s="746"/>
      <c r="V23" s="746"/>
      <c r="W23" s="5"/>
      <c r="X23" s="5"/>
      <c r="Y23" s="5"/>
      <c r="Z23" s="5"/>
      <c r="AA23" s="5"/>
      <c r="AB23" s="5"/>
      <c r="AC23" s="5"/>
      <c r="AD23" s="5"/>
    </row>
    <row r="24" spans="4:30">
      <c r="D24" s="5"/>
      <c r="E24" s="5"/>
      <c r="F24" s="5"/>
      <c r="G24" s="747"/>
      <c r="H24" s="1259" t="s">
        <v>40</v>
      </c>
      <c r="I24" s="1259"/>
      <c r="J24" s="1235"/>
      <c r="K24" s="1371">
        <f>'APPORT EXTERNE TOT'!J20</f>
        <v>162.77598026082649</v>
      </c>
      <c r="L24" s="1372"/>
      <c r="M24" s="1385">
        <f>'APPORT INTERNE'!Q17</f>
        <v>863.15666666666664</v>
      </c>
      <c r="N24" s="1371"/>
      <c r="O24" s="1369">
        <f>'Bureau (5)'!BH111</f>
        <v>191.23986183168793</v>
      </c>
      <c r="P24" s="1369"/>
      <c r="Q24" s="742">
        <f t="shared" si="0"/>
        <v>1217.172508759181</v>
      </c>
      <c r="R24" s="801">
        <f t="shared" si="1"/>
        <v>3.4996111492842097</v>
      </c>
      <c r="S24" s="754">
        <f>'Charge therm. total'!I15</f>
        <v>21.52</v>
      </c>
      <c r="T24" s="755">
        <f t="shared" si="2"/>
        <v>56.560060815947075</v>
      </c>
      <c r="U24" s="746"/>
      <c r="V24" s="746"/>
      <c r="W24" s="5"/>
      <c r="X24" s="5"/>
      <c r="Y24" s="5"/>
      <c r="Z24" s="5"/>
      <c r="AA24" s="5"/>
      <c r="AB24" s="5"/>
      <c r="AC24" s="5"/>
      <c r="AD24" s="5"/>
    </row>
    <row r="25" spans="4:30">
      <c r="D25" s="5"/>
      <c r="E25" s="5"/>
      <c r="F25" s="5"/>
      <c r="G25" s="747"/>
      <c r="H25" s="1259" t="s">
        <v>664</v>
      </c>
      <c r="I25" s="1259"/>
      <c r="J25" s="1235"/>
      <c r="K25" s="1371">
        <f>'APPORT EXTERNE TOT'!J21</f>
        <v>4756.706852152075</v>
      </c>
      <c r="L25" s="1372"/>
      <c r="M25" s="1385">
        <f>'APPORT INTERNE'!Q18</f>
        <v>2063.8063111111114</v>
      </c>
      <c r="N25" s="1371"/>
      <c r="O25" s="1369">
        <f>'Bureau (5)'!BF43</f>
        <v>43.887241841081469</v>
      </c>
      <c r="P25" s="1369"/>
      <c r="Q25" s="742">
        <f t="shared" si="0"/>
        <v>6864.4004051042675</v>
      </c>
      <c r="R25" s="801">
        <f t="shared" si="1"/>
        <v>19.7365057278063</v>
      </c>
      <c r="S25" s="754">
        <f>'Charge therm. total'!I16</f>
        <v>36.099600000000002</v>
      </c>
      <c r="T25" s="755">
        <f t="shared" si="2"/>
        <v>190.15170265333319</v>
      </c>
      <c r="U25" s="746"/>
      <c r="V25" s="746"/>
      <c r="W25" s="5"/>
      <c r="X25" s="5"/>
      <c r="Y25" s="5"/>
      <c r="Z25" s="5"/>
      <c r="AA25" s="5"/>
      <c r="AB25" s="5"/>
      <c r="AC25" s="5"/>
      <c r="AD25" s="5"/>
    </row>
    <row r="26" spans="4:30">
      <c r="D26" s="5"/>
      <c r="E26" s="5"/>
      <c r="F26" s="5"/>
      <c r="G26" s="747"/>
      <c r="H26" s="1259" t="s">
        <v>665</v>
      </c>
      <c r="I26" s="1259"/>
      <c r="J26" s="1235"/>
      <c r="K26" s="1371">
        <f>'APPORT EXTERNE TOT'!J22</f>
        <v>0</v>
      </c>
      <c r="L26" s="1372"/>
      <c r="M26" s="1385">
        <f>'APPORT INTERNE'!Q19</f>
        <v>392.5</v>
      </c>
      <c r="N26" s="1371"/>
      <c r="O26" s="1369">
        <f>'Couloir (1)'!AC103</f>
        <v>844.45780342733224</v>
      </c>
      <c r="P26" s="1369"/>
      <c r="Q26" s="742">
        <f t="shared" si="0"/>
        <v>1236.9578034273322</v>
      </c>
      <c r="R26" s="801">
        <f t="shared" si="1"/>
        <v>3.5564977757190452</v>
      </c>
      <c r="S26" s="754">
        <f>'Charge therm. total'!I17</f>
        <v>49.0625</v>
      </c>
      <c r="T26" s="755">
        <f t="shared" si="2"/>
        <v>25.211878795971103</v>
      </c>
      <c r="U26" s="746"/>
      <c r="V26" s="746"/>
      <c r="W26" s="5"/>
      <c r="X26" s="5"/>
      <c r="Y26" s="5"/>
      <c r="Z26" s="5"/>
      <c r="AA26" s="5"/>
      <c r="AB26" s="5"/>
      <c r="AC26" s="5"/>
      <c r="AD26" s="5"/>
    </row>
    <row r="27" spans="4:30">
      <c r="D27" s="5"/>
      <c r="E27" s="5"/>
      <c r="F27" s="5"/>
      <c r="G27" s="747"/>
      <c r="H27" s="1259" t="s">
        <v>579</v>
      </c>
      <c r="I27" s="1259"/>
      <c r="J27" s="1235"/>
      <c r="K27" s="1371">
        <f>'APPORT EXTERNE TOT'!J23</f>
        <v>0</v>
      </c>
      <c r="L27" s="1372"/>
      <c r="M27" s="1385">
        <f>'APPORT INTERNE'!Q20</f>
        <v>68.724000000000004</v>
      </c>
      <c r="N27" s="1371"/>
      <c r="O27" s="1369">
        <f>'Distrib et Approv'!AB85</f>
        <v>1.5755316140055184</v>
      </c>
      <c r="P27" s="1369"/>
      <c r="Q27" s="742">
        <f t="shared" si="0"/>
        <v>70.299531614005517</v>
      </c>
      <c r="R27" s="801">
        <f t="shared" si="1"/>
        <v>0.20212502570948801</v>
      </c>
      <c r="S27" s="754">
        <f>'Charge therm. total'!I18</f>
        <v>8.5905000000000005</v>
      </c>
      <c r="T27" s="755">
        <f t="shared" si="2"/>
        <v>8.1834039478500102</v>
      </c>
      <c r="U27" s="746"/>
      <c r="V27" s="746"/>
      <c r="W27" s="5"/>
      <c r="X27" s="5"/>
      <c r="Y27" s="5"/>
      <c r="Z27" s="5"/>
      <c r="AA27" s="5"/>
      <c r="AB27" s="5"/>
      <c r="AC27" s="5"/>
      <c r="AD27" s="5"/>
    </row>
    <row r="28" spans="4:30">
      <c r="D28" s="5"/>
      <c r="E28" s="5"/>
      <c r="F28" s="5"/>
      <c r="G28" s="747"/>
      <c r="H28" s="1288" t="s">
        <v>684</v>
      </c>
      <c r="I28" s="1289"/>
      <c r="J28" s="1289"/>
      <c r="K28" s="1371">
        <f>'APPORT EXTERNE TOT'!J24</f>
        <v>2988.8657370000001</v>
      </c>
      <c r="L28" s="1372"/>
      <c r="M28" s="1385">
        <f>'APPORT INTERNE'!Q21</f>
        <v>145.66</v>
      </c>
      <c r="N28" s="1371"/>
      <c r="O28" s="1369">
        <f>'Entrée (1)'!X37</f>
        <v>83.475585166182924</v>
      </c>
      <c r="P28" s="1369"/>
      <c r="Q28" s="742">
        <f t="shared" si="0"/>
        <v>3218.0013221661829</v>
      </c>
      <c r="R28" s="801">
        <f t="shared" si="1"/>
        <v>9.25238881458524</v>
      </c>
      <c r="S28" s="754">
        <f>'Charge therm. total'!I19</f>
        <v>18.2075</v>
      </c>
      <c r="T28" s="755">
        <f t="shared" si="2"/>
        <v>176.74042686619157</v>
      </c>
      <c r="U28" s="746"/>
      <c r="V28" s="746"/>
      <c r="W28" s="5"/>
      <c r="X28" s="5"/>
      <c r="Y28" s="5"/>
      <c r="Z28" s="5"/>
      <c r="AA28" s="5"/>
      <c r="AB28" s="5"/>
      <c r="AC28" s="5"/>
      <c r="AD28" s="5"/>
    </row>
    <row r="29" spans="4:30">
      <c r="D29" s="5"/>
      <c r="E29" s="5"/>
      <c r="F29" s="5"/>
      <c r="G29" s="747"/>
      <c r="H29" s="1259" t="s">
        <v>583</v>
      </c>
      <c r="I29" s="1259"/>
      <c r="J29" s="1235"/>
      <c r="K29" s="1371">
        <f>'APPORT EXTERNE TOT'!J25</f>
        <v>0</v>
      </c>
      <c r="L29" s="1372"/>
      <c r="M29" s="1385">
        <f>'APPORT INTERNE'!Q22</f>
        <v>2334.5606666666667</v>
      </c>
      <c r="N29" s="1371"/>
      <c r="O29" s="1369">
        <f>'Distrib et Approv'!Z35</f>
        <v>35.943687011532738</v>
      </c>
      <c r="P29" s="1369"/>
      <c r="Q29" s="742">
        <f t="shared" si="0"/>
        <v>2370.5043536781995</v>
      </c>
      <c r="R29" s="801">
        <f t="shared" si="1"/>
        <v>6.8156677922474564</v>
      </c>
      <c r="S29" s="754">
        <f>'Charge therm. total'!I20</f>
        <v>23.080500000000001</v>
      </c>
      <c r="T29" s="755">
        <f t="shared" si="2"/>
        <v>102.70593590598988</v>
      </c>
      <c r="U29" s="746"/>
      <c r="V29" s="746"/>
      <c r="W29" s="5"/>
      <c r="X29" s="5"/>
      <c r="Y29" s="5"/>
      <c r="Z29" s="5"/>
      <c r="AA29" s="5"/>
      <c r="AB29" s="5"/>
      <c r="AC29" s="5"/>
      <c r="AD29" s="5"/>
    </row>
    <row r="30" spans="4:30">
      <c r="D30" s="5"/>
      <c r="E30" s="5"/>
      <c r="F30" s="5"/>
      <c r="G30" s="747"/>
      <c r="H30" s="1259" t="s">
        <v>584</v>
      </c>
      <c r="I30" s="1259"/>
      <c r="J30" s="1235"/>
      <c r="K30" s="1371">
        <f>'APPORT EXTERNE TOT'!J26</f>
        <v>3553.3632420000004</v>
      </c>
      <c r="L30" s="1372"/>
      <c r="M30" s="1385">
        <f>'APPORT INTERNE'!Q23</f>
        <v>1405.9333333333332</v>
      </c>
      <c r="N30" s="1371"/>
      <c r="O30" s="1369">
        <f>'Bureau (5)'!AJ147</f>
        <v>215.89101259787279</v>
      </c>
      <c r="P30" s="1369"/>
      <c r="Q30" s="742">
        <f t="shared" si="0"/>
        <v>5175.1875879312065</v>
      </c>
      <c r="R30" s="801">
        <f t="shared" si="1"/>
        <v>14.879685543361724</v>
      </c>
      <c r="S30" s="754">
        <f>'Charge therm. total'!I21</f>
        <v>32.174999999999997</v>
      </c>
      <c r="T30" s="755">
        <f t="shared" si="2"/>
        <v>160.84499107789298</v>
      </c>
      <c r="U30" s="746"/>
      <c r="V30" s="746"/>
      <c r="W30" s="5"/>
      <c r="X30" s="5"/>
      <c r="Y30" s="5"/>
      <c r="Z30" s="5"/>
      <c r="AA30" s="5"/>
      <c r="AB30" s="5"/>
      <c r="AC30" s="5"/>
      <c r="AD30" s="5"/>
    </row>
    <row r="31" spans="4:30">
      <c r="D31" s="5"/>
      <c r="E31" s="5"/>
      <c r="F31" s="5"/>
      <c r="G31" s="747"/>
      <c r="H31" s="1259" t="s">
        <v>668</v>
      </c>
      <c r="I31" s="1259"/>
      <c r="J31" s="1235"/>
      <c r="K31" s="1371">
        <f>'APPORT EXTERNE TOT'!J27</f>
        <v>0</v>
      </c>
      <c r="L31" s="1372"/>
      <c r="M31" s="1385">
        <f>'APPORT INTERNE'!Q24</f>
        <v>3659.7177777777779</v>
      </c>
      <c r="N31" s="1371"/>
      <c r="O31" s="1369">
        <f>'SDR (3)'!AJ111</f>
        <v>296.63803022961349</v>
      </c>
      <c r="P31" s="1369"/>
      <c r="Q31" s="742">
        <f t="shared" si="0"/>
        <v>3956.3558080073913</v>
      </c>
      <c r="R31" s="801">
        <f t="shared" si="1"/>
        <v>11.375303662052552</v>
      </c>
      <c r="S31" s="754">
        <f>'Charge therm. total'!I22</f>
        <v>52.62</v>
      </c>
      <c r="T31" s="755">
        <f t="shared" si="2"/>
        <v>75.187301558483298</v>
      </c>
      <c r="U31" s="746"/>
      <c r="V31" s="746"/>
      <c r="W31" s="5"/>
      <c r="X31" s="5"/>
      <c r="Y31" s="5"/>
      <c r="Z31" s="5"/>
      <c r="AA31" s="5"/>
      <c r="AB31" s="5"/>
      <c r="AC31" s="5"/>
      <c r="AD31" s="5"/>
    </row>
    <row r="32" spans="4:30">
      <c r="D32" s="5"/>
      <c r="E32" s="5"/>
      <c r="F32" s="5"/>
      <c r="G32" s="747"/>
      <c r="H32" s="1235" t="s">
        <v>669</v>
      </c>
      <c r="I32" s="1236"/>
      <c r="J32" s="1236"/>
      <c r="K32" s="1371">
        <f>'APPORT EXTERNE TOT'!J28</f>
        <v>0</v>
      </c>
      <c r="L32" s="1372"/>
      <c r="M32" s="1385">
        <f>'APPORT INTERNE'!Q25</f>
        <v>1449.9468060836502</v>
      </c>
      <c r="N32" s="1371"/>
      <c r="O32" s="1369">
        <f>'Salle d''attente (1)'!N110</f>
        <v>761.29029861990011</v>
      </c>
      <c r="P32" s="1369"/>
      <c r="Q32" s="742">
        <f t="shared" si="0"/>
        <v>2211.2371047035504</v>
      </c>
      <c r="R32" s="801">
        <f t="shared" si="1"/>
        <v>6.3577430229838887</v>
      </c>
      <c r="S32" s="754">
        <f>'Charge therm. total'!I23</f>
        <v>50.024600760456273</v>
      </c>
      <c r="T32" s="755">
        <f t="shared" si="2"/>
        <v>44.202993548956044</v>
      </c>
      <c r="U32" s="746"/>
      <c r="V32" s="746"/>
      <c r="W32" s="5"/>
      <c r="X32" s="5"/>
      <c r="Y32" s="5"/>
      <c r="Z32" s="5"/>
      <c r="AA32" s="5"/>
      <c r="AB32" s="5"/>
      <c r="AC32" s="5"/>
      <c r="AD32" s="5"/>
    </row>
    <row r="33" spans="4:30">
      <c r="D33" s="5"/>
      <c r="E33" s="5"/>
      <c r="F33" s="5"/>
      <c r="G33" s="747"/>
      <c r="H33" s="1259" t="s">
        <v>587</v>
      </c>
      <c r="I33" s="1259"/>
      <c r="J33" s="1235"/>
      <c r="K33" s="1371">
        <f>'APPORT EXTERNE TOT'!J29</f>
        <v>0</v>
      </c>
      <c r="L33" s="1372"/>
      <c r="M33" s="1385">
        <f>'APPORT INTERNE'!Q26</f>
        <v>154.47888888888889</v>
      </c>
      <c r="N33" s="1371"/>
      <c r="O33" s="1369">
        <f>'WC (4)'!AL134</f>
        <v>66.898803347542213</v>
      </c>
      <c r="P33" s="1369"/>
      <c r="Q33" s="742">
        <f t="shared" si="0"/>
        <v>221.3776922364311</v>
      </c>
      <c r="R33" s="801">
        <f t="shared" si="1"/>
        <v>0.63650454999448647</v>
      </c>
      <c r="S33" s="754">
        <f>'Charge therm. total'!I24</f>
        <v>4.7300000000000004</v>
      </c>
      <c r="T33" s="755">
        <f t="shared" si="2"/>
        <v>46.802894764573168</v>
      </c>
      <c r="U33" s="746"/>
      <c r="V33" s="746"/>
      <c r="W33" s="5"/>
      <c r="X33" s="5"/>
      <c r="Y33" s="5"/>
      <c r="Z33" s="5"/>
      <c r="AA33" s="5"/>
      <c r="AB33" s="5"/>
      <c r="AC33" s="5"/>
      <c r="AD33" s="5"/>
    </row>
    <row r="34" spans="4:30">
      <c r="D34" s="5"/>
      <c r="E34" s="5"/>
      <c r="F34" s="5"/>
      <c r="G34" s="747"/>
      <c r="H34" s="1259" t="s">
        <v>588</v>
      </c>
      <c r="I34" s="1259"/>
      <c r="J34" s="1235"/>
      <c r="K34" s="1371">
        <f>'APPORT EXTERNE TOT'!J30</f>
        <v>0</v>
      </c>
      <c r="L34" s="1372"/>
      <c r="M34" s="1385">
        <f>'APPORT INTERNE'!Q27</f>
        <v>151.59888888888889</v>
      </c>
      <c r="N34" s="1371"/>
      <c r="O34" s="1369">
        <f>'WC (4)'!AL180</f>
        <v>73.035955353690468</v>
      </c>
      <c r="P34" s="1369"/>
      <c r="Q34" s="742">
        <f t="shared" si="0"/>
        <v>224.63484424257936</v>
      </c>
      <c r="R34" s="801">
        <f t="shared" si="1"/>
        <v>0.64586950475118743</v>
      </c>
      <c r="S34" s="754">
        <f>'Charge therm. total'!I25</f>
        <v>4.37</v>
      </c>
      <c r="T34" s="755">
        <f t="shared" si="2"/>
        <v>51.403854517752713</v>
      </c>
      <c r="U34" s="746"/>
      <c r="V34" s="746"/>
      <c r="W34" s="5"/>
      <c r="X34" s="5"/>
      <c r="Y34" s="5"/>
      <c r="Z34" s="5"/>
      <c r="AA34" s="5"/>
      <c r="AB34" s="5"/>
      <c r="AC34" s="5"/>
      <c r="AD34" s="5"/>
    </row>
    <row r="35" spans="4:30">
      <c r="D35" s="5"/>
      <c r="E35" s="5"/>
      <c r="F35" s="5"/>
      <c r="G35" s="747"/>
      <c r="H35" s="1259" t="s">
        <v>589</v>
      </c>
      <c r="I35" s="1259"/>
      <c r="J35" s="1235"/>
      <c r="K35" s="1371">
        <f>'APPORT EXTERNE TOT'!J31</f>
        <v>-2.1568361365969877</v>
      </c>
      <c r="L35" s="1372"/>
      <c r="M35" s="1385">
        <f>'APPORT INTERNE'!Q28</f>
        <v>722.39444444444439</v>
      </c>
      <c r="N35" s="1371"/>
      <c r="O35" s="1369">
        <f>'WC (4)'!AL43</f>
        <v>64.755859640271836</v>
      </c>
      <c r="P35" s="1369"/>
      <c r="Q35" s="742">
        <f t="shared" si="0"/>
        <v>784.99346794811925</v>
      </c>
      <c r="R35" s="801">
        <f t="shared" si="1"/>
        <v>2.2570111243697553</v>
      </c>
      <c r="S35" s="754">
        <f>'Charge therm. total'!I26</f>
        <v>17.399999999999999</v>
      </c>
      <c r="T35" s="755">
        <f t="shared" si="2"/>
        <v>45.114567123455132</v>
      </c>
      <c r="U35" s="746"/>
      <c r="V35" s="746"/>
      <c r="W35" s="5"/>
      <c r="X35" s="5"/>
      <c r="Y35" s="5"/>
      <c r="Z35" s="5"/>
      <c r="AA35" s="5"/>
      <c r="AB35" s="5"/>
      <c r="AC35" s="5"/>
      <c r="AD35" s="5"/>
    </row>
    <row r="36" spans="4:30">
      <c r="D36" s="5"/>
      <c r="E36" s="5"/>
      <c r="F36" s="5"/>
      <c r="G36" s="748"/>
      <c r="H36" s="1259" t="s">
        <v>590</v>
      </c>
      <c r="I36" s="1259"/>
      <c r="J36" s="1235"/>
      <c r="K36" s="1371">
        <f>'APPORT EXTERNE TOT'!J32</f>
        <v>-2.3555412009542605</v>
      </c>
      <c r="L36" s="1372"/>
      <c r="M36" s="1385">
        <f>'APPORT INTERNE'!Q29</f>
        <v>681.35444444444443</v>
      </c>
      <c r="N36" s="1371"/>
      <c r="O36" s="1369">
        <f>'WC (4)'!AL90</f>
        <v>44.396518387760715</v>
      </c>
      <c r="P36" s="1369"/>
      <c r="Q36" s="742">
        <f>K36+M36+O36</f>
        <v>723.39542163125088</v>
      </c>
      <c r="R36" s="801">
        <f t="shared" si="1"/>
        <v>2.0799045859675735</v>
      </c>
      <c r="S36" s="754">
        <f>'Charge therm. total'!I27</f>
        <v>12.27</v>
      </c>
      <c r="T36" s="755">
        <f t="shared" si="2"/>
        <v>58.956432080786549</v>
      </c>
      <c r="U36" s="746"/>
      <c r="V36" s="746"/>
      <c r="W36" s="5"/>
      <c r="X36" s="5"/>
      <c r="Y36" s="5"/>
      <c r="Z36" s="5"/>
      <c r="AA36" s="5"/>
      <c r="AB36" s="5"/>
      <c r="AC36" s="5"/>
      <c r="AD36" s="5"/>
    </row>
    <row r="37" spans="4:30">
      <c r="D37" s="5"/>
      <c r="E37" s="5"/>
      <c r="F37" s="5"/>
      <c r="G37" s="747"/>
      <c r="H37" s="1259" t="s">
        <v>670</v>
      </c>
      <c r="I37" s="1259"/>
      <c r="J37" s="1235"/>
      <c r="K37" s="1371">
        <f>'APPORT EXTERNE TOT'!J33</f>
        <v>0</v>
      </c>
      <c r="L37" s="1372"/>
      <c r="M37" s="1385">
        <f>'APPORT INTERNE'!Q30</f>
        <v>0</v>
      </c>
      <c r="N37" s="1371"/>
      <c r="O37" s="1369">
        <f>'Trappe (2)'!M80</f>
        <v>0</v>
      </c>
      <c r="P37" s="1369"/>
      <c r="Q37" s="742">
        <f t="shared" si="0"/>
        <v>0</v>
      </c>
      <c r="R37" s="801">
        <f t="shared" si="1"/>
        <v>0</v>
      </c>
      <c r="S37" s="754">
        <f>'Charge therm. total'!I28</f>
        <v>10.89</v>
      </c>
      <c r="T37" s="755">
        <f t="shared" si="2"/>
        <v>0</v>
      </c>
      <c r="U37" s="746"/>
      <c r="V37" s="746"/>
      <c r="W37" s="5"/>
      <c r="X37" s="5"/>
      <c r="Y37" s="5"/>
      <c r="Z37" s="5"/>
      <c r="AA37" s="5"/>
      <c r="AB37" s="5"/>
      <c r="AC37" s="5"/>
      <c r="AD37" s="5"/>
    </row>
    <row r="38" spans="4:30" ht="16.5" thickBot="1">
      <c r="D38" s="5"/>
      <c r="E38" s="5"/>
      <c r="F38" s="5"/>
      <c r="G38" s="747"/>
      <c r="H38" s="198" t="s">
        <v>671</v>
      </c>
      <c r="I38" s="442"/>
      <c r="J38" s="442"/>
      <c r="K38" s="1371">
        <f>'APPORT EXTERNE TOT'!J34</f>
        <v>0</v>
      </c>
      <c r="L38" s="1372"/>
      <c r="M38" s="1385">
        <f>'APPORT INTERNE'!Q31</f>
        <v>0</v>
      </c>
      <c r="N38" s="1371"/>
      <c r="O38" s="1370">
        <f>'Trappe (2)'!AC80</f>
        <v>0</v>
      </c>
      <c r="P38" s="1370"/>
      <c r="Q38" s="742">
        <f t="shared" si="0"/>
        <v>0</v>
      </c>
      <c r="R38" s="801">
        <f t="shared" si="1"/>
        <v>0</v>
      </c>
      <c r="S38" s="754">
        <f>'Charge therm. total'!I29</f>
        <v>3.5139999999999993</v>
      </c>
      <c r="T38" s="755">
        <f t="shared" si="2"/>
        <v>0</v>
      </c>
      <c r="U38" s="746"/>
      <c r="V38" s="746"/>
      <c r="W38" s="5"/>
      <c r="X38" s="5"/>
      <c r="Y38" s="5"/>
      <c r="Z38" s="5"/>
      <c r="AA38" s="5"/>
      <c r="AB38" s="5"/>
      <c r="AC38" s="5"/>
      <c r="AD38" s="5"/>
    </row>
    <row r="39" spans="4:30" ht="16.5" thickBot="1">
      <c r="D39" s="5"/>
      <c r="E39" s="5"/>
      <c r="F39" s="5"/>
      <c r="G39" s="747"/>
      <c r="H39" s="1400" t="s">
        <v>737</v>
      </c>
      <c r="I39" s="1401"/>
      <c r="J39" s="1402"/>
      <c r="K39" s="1393">
        <f>SUM(K18:L38)</f>
        <v>11987.66898495301</v>
      </c>
      <c r="L39" s="1394"/>
      <c r="M39" s="1394">
        <f>SUM(M18:N38)</f>
        <v>18708.9916505281</v>
      </c>
      <c r="N39" s="1394"/>
      <c r="O39" s="1395">
        <f>SUM(O18:P38)</f>
        <v>4083.5608473580537</v>
      </c>
      <c r="P39" s="1396"/>
      <c r="Q39" s="744">
        <f>SUM(Q18:Q38)</f>
        <v>34780.221482839159</v>
      </c>
      <c r="R39" s="752">
        <f>SUM(R18:R38)</f>
        <v>99.999999999999972</v>
      </c>
      <c r="S39" s="754">
        <f>'Charge therm. total'!I30</f>
        <v>501.11615076045632</v>
      </c>
      <c r="T39" s="755">
        <f t="shared" si="2"/>
        <v>69.405508942506245</v>
      </c>
      <c r="U39" s="745"/>
      <c r="V39" s="745"/>
      <c r="W39" s="5"/>
      <c r="X39" s="5"/>
      <c r="Y39" s="5"/>
      <c r="Z39" s="5"/>
      <c r="AA39" s="5"/>
      <c r="AB39" s="5"/>
      <c r="AC39" s="5"/>
      <c r="AD39" s="5"/>
    </row>
    <row r="40" spans="4:30">
      <c r="D40" s="5"/>
      <c r="E40" s="5"/>
      <c r="F40" s="5"/>
      <c r="G40" s="5"/>
      <c r="H40" s="1381" t="s">
        <v>769</v>
      </c>
      <c r="I40" s="1381"/>
      <c r="J40" s="1381"/>
      <c r="K40" s="1364">
        <f>100*K39/Q$39</f>
        <v>34.466913877669882</v>
      </c>
      <c r="L40" s="1364"/>
      <c r="M40" s="1364">
        <f>100*M39/Q39</f>
        <v>53.792042870570178</v>
      </c>
      <c r="N40" s="1364"/>
      <c r="O40" s="1361">
        <f>O39/Q39*100</f>
        <v>11.741043251759956</v>
      </c>
      <c r="P40" s="1361"/>
      <c r="R40" s="5"/>
      <c r="S40" s="750"/>
      <c r="T40" s="749"/>
      <c r="U40" s="5"/>
      <c r="V40" s="5"/>
      <c r="W40" s="5"/>
      <c r="X40" s="5"/>
      <c r="Y40" s="5"/>
      <c r="Z40" s="5"/>
      <c r="AA40" s="5"/>
      <c r="AB40" s="5"/>
      <c r="AC40" s="5"/>
      <c r="AD40" s="5"/>
    </row>
    <row r="41" spans="4:30">
      <c r="D41" s="5"/>
      <c r="E41" s="5"/>
      <c r="F41" s="5"/>
      <c r="G41" s="5"/>
      <c r="H41" s="5"/>
      <c r="I41" s="5"/>
      <c r="J41" s="5"/>
      <c r="K41" s="749"/>
      <c r="L41" s="749"/>
      <c r="M41" s="749"/>
      <c r="N41" s="749"/>
      <c r="O41" s="749"/>
      <c r="P41" s="749"/>
      <c r="Q41" s="749"/>
      <c r="R41" s="749"/>
      <c r="S41" s="749"/>
      <c r="T41" s="749"/>
      <c r="U41" s="1399"/>
      <c r="V41" s="1399"/>
      <c r="W41" s="1399"/>
      <c r="X41" s="5"/>
      <c r="Y41" s="5"/>
      <c r="Z41" s="5"/>
      <c r="AA41" s="5"/>
      <c r="AB41" s="5"/>
      <c r="AC41" s="5"/>
      <c r="AD41" s="5"/>
    </row>
    <row r="42" spans="4:30">
      <c r="D42" s="5"/>
      <c r="E42" s="5"/>
      <c r="F42" s="5"/>
      <c r="G42" s="5"/>
      <c r="H42" s="5"/>
      <c r="I42" s="5"/>
      <c r="J42" s="5"/>
      <c r="K42" s="5"/>
      <c r="L42" s="5"/>
      <c r="M42" s="5"/>
      <c r="N42" s="5"/>
      <c r="O42" s="5"/>
      <c r="P42" s="5"/>
      <c r="Q42" s="5"/>
      <c r="R42" s="5"/>
      <c r="S42" s="5"/>
      <c r="T42" s="5"/>
      <c r="U42" s="1399"/>
      <c r="V42" s="1399"/>
      <c r="W42" s="1399"/>
      <c r="X42" s="5"/>
      <c r="Y42" s="5"/>
      <c r="Z42" s="5"/>
      <c r="AA42" s="5"/>
      <c r="AB42" s="5"/>
      <c r="AC42" s="5"/>
      <c r="AD42" s="5"/>
    </row>
    <row r="43" spans="4:30">
      <c r="D43" s="5"/>
      <c r="E43" s="5"/>
      <c r="F43" s="5"/>
      <c r="G43" s="5"/>
      <c r="H43" s="5"/>
      <c r="I43" s="5"/>
      <c r="J43" s="5"/>
      <c r="K43" s="5"/>
      <c r="L43" s="5"/>
      <c r="M43" s="5"/>
      <c r="N43" s="5"/>
      <c r="O43" s="5"/>
      <c r="P43" s="5"/>
      <c r="Q43" s="5" t="s">
        <v>783</v>
      </c>
      <c r="R43" s="5"/>
      <c r="S43" s="5" t="s">
        <v>784</v>
      </c>
      <c r="T43" s="5"/>
      <c r="U43" s="1399"/>
      <c r="V43" s="1399"/>
      <c r="W43" s="1399"/>
      <c r="X43" s="5"/>
      <c r="Y43" s="5"/>
      <c r="Z43" s="5"/>
      <c r="AA43" s="5"/>
      <c r="AB43" s="5"/>
      <c r="AC43" s="5"/>
      <c r="AD43" s="5"/>
    </row>
    <row r="44" spans="4:30">
      <c r="D44" s="5"/>
      <c r="E44" s="5"/>
      <c r="F44" s="5"/>
      <c r="G44" s="5"/>
      <c r="H44" s="5"/>
      <c r="I44" s="5"/>
      <c r="J44" s="5"/>
      <c r="K44" s="5"/>
      <c r="L44" s="5"/>
      <c r="M44" s="5"/>
      <c r="N44" s="5"/>
      <c r="O44" s="5"/>
      <c r="P44" s="5"/>
      <c r="Q44" s="5" t="s">
        <v>786</v>
      </c>
      <c r="R44" s="5"/>
      <c r="S44" s="5" t="s">
        <v>785</v>
      </c>
      <c r="T44" s="5"/>
      <c r="U44" s="1399"/>
      <c r="V44" s="1399"/>
      <c r="W44" s="1399"/>
      <c r="X44" s="5"/>
      <c r="Y44" s="5"/>
      <c r="Z44" s="5"/>
      <c r="AA44" s="5"/>
      <c r="AB44" s="5"/>
      <c r="AC44" s="5"/>
      <c r="AD44" s="5"/>
    </row>
    <row r="45" spans="4:30" ht="16.5" thickBot="1">
      <c r="D45" s="5"/>
      <c r="E45" s="5"/>
      <c r="F45" s="5"/>
      <c r="G45" s="5"/>
      <c r="H45" s="5"/>
      <c r="I45" s="5"/>
      <c r="J45" s="5"/>
      <c r="K45" s="5"/>
      <c r="L45" s="5"/>
      <c r="M45" s="5"/>
      <c r="N45" s="5"/>
      <c r="O45" s="5"/>
      <c r="P45" s="5"/>
      <c r="Q45" s="5"/>
      <c r="R45" s="5"/>
      <c r="S45" s="5" t="s">
        <v>787</v>
      </c>
      <c r="T45" s="5"/>
      <c r="U45" s="5"/>
      <c r="V45" s="5"/>
      <c r="W45" s="5"/>
      <c r="X45" s="5"/>
      <c r="Y45" s="5"/>
      <c r="Z45" s="5"/>
      <c r="AA45" s="5"/>
      <c r="AB45" s="5"/>
      <c r="AC45" s="5"/>
      <c r="AD45" s="5"/>
    </row>
    <row r="46" spans="4:30" ht="15.6" customHeight="1">
      <c r="D46" s="5"/>
      <c r="E46" s="5"/>
      <c r="F46" s="5"/>
      <c r="G46" s="5"/>
      <c r="H46" s="1274" t="s">
        <v>570</v>
      </c>
      <c r="I46" s="1275"/>
      <c r="J46" s="1276"/>
      <c r="K46" s="1266" t="s">
        <v>672</v>
      </c>
      <c r="L46" s="1266" t="s">
        <v>673</v>
      </c>
      <c r="M46" s="1268" t="s">
        <v>656</v>
      </c>
      <c r="N46" s="1389" t="s">
        <v>674</v>
      </c>
      <c r="O46" s="1391" t="s">
        <v>655</v>
      </c>
      <c r="P46" s="1203" t="s">
        <v>675</v>
      </c>
      <c r="Q46" s="5"/>
      <c r="R46" s="5"/>
      <c r="S46" s="5"/>
      <c r="T46" s="5"/>
      <c r="U46" s="5"/>
      <c r="V46" s="5"/>
      <c r="W46" s="5"/>
      <c r="X46" s="5"/>
      <c r="Y46" s="5"/>
      <c r="Z46" s="5"/>
      <c r="AA46" s="5"/>
      <c r="AB46" s="5"/>
      <c r="AC46" s="5"/>
      <c r="AD46" s="5"/>
    </row>
    <row r="47" spans="4:30">
      <c r="D47" s="5"/>
      <c r="E47" s="5"/>
      <c r="F47" s="5"/>
      <c r="G47" s="5"/>
      <c r="H47" s="1277"/>
      <c r="I47" s="1278"/>
      <c r="J47" s="1279"/>
      <c r="K47" s="1376"/>
      <c r="L47" s="1376"/>
      <c r="M47" s="1388"/>
      <c r="N47" s="1390"/>
      <c r="O47" s="1392"/>
      <c r="P47" s="1261"/>
      <c r="Q47" s="5"/>
      <c r="R47" s="5"/>
      <c r="S47" s="5"/>
      <c r="T47" s="5"/>
      <c r="U47" s="5"/>
      <c r="W47" s="5"/>
      <c r="X47" s="5"/>
      <c r="Y47" s="5"/>
      <c r="Z47" s="5"/>
      <c r="AA47" s="5"/>
      <c r="AB47" s="5"/>
      <c r="AC47" s="5"/>
      <c r="AD47" s="5"/>
    </row>
    <row r="48" spans="4:30" ht="15.6" customHeight="1">
      <c r="D48" s="5"/>
      <c r="E48" s="5"/>
      <c r="F48" s="5"/>
      <c r="G48" s="5"/>
      <c r="H48" s="1277"/>
      <c r="I48" s="1278"/>
      <c r="J48" s="1279"/>
      <c r="K48" s="1270" t="s">
        <v>676</v>
      </c>
      <c r="L48" s="1270" t="s">
        <v>677</v>
      </c>
      <c r="M48" s="731" t="s">
        <v>678</v>
      </c>
      <c r="N48" s="811" t="s">
        <v>679</v>
      </c>
      <c r="O48" s="829" t="s">
        <v>658</v>
      </c>
      <c r="P48" s="815" t="s">
        <v>680</v>
      </c>
      <c r="Q48" s="5"/>
      <c r="R48" s="5"/>
      <c r="T48" s="5"/>
      <c r="U48" s="5"/>
      <c r="V48" s="5"/>
      <c r="W48" s="5"/>
      <c r="X48" s="5"/>
      <c r="Y48" s="5"/>
      <c r="Z48" s="5"/>
      <c r="AA48" s="5"/>
      <c r="AB48" s="5"/>
      <c r="AC48" s="5"/>
      <c r="AD48" s="5"/>
    </row>
    <row r="49" spans="4:30">
      <c r="D49" s="5"/>
      <c r="E49" s="5"/>
      <c r="F49" s="5"/>
      <c r="G49" s="5"/>
      <c r="H49" s="1277"/>
      <c r="I49" s="1278"/>
      <c r="J49" s="1279"/>
      <c r="K49" s="1283"/>
      <c r="L49" s="1283"/>
      <c r="M49" s="732"/>
      <c r="N49" s="830"/>
      <c r="O49" s="883"/>
      <c r="P49" s="831"/>
      <c r="Q49" s="751"/>
      <c r="R49" s="751"/>
      <c r="S49" s="40"/>
      <c r="T49" s="5"/>
      <c r="U49" s="5"/>
      <c r="V49" s="5"/>
      <c r="W49" s="5"/>
      <c r="X49" s="5"/>
      <c r="Y49" s="5"/>
      <c r="Z49" s="5"/>
      <c r="AA49" s="5"/>
      <c r="AB49" s="5"/>
      <c r="AC49" s="5"/>
      <c r="AD49" s="5"/>
    </row>
    <row r="50" spans="4:30" ht="15.6" customHeight="1">
      <c r="D50" s="5"/>
      <c r="E50" s="5"/>
      <c r="F50" s="5"/>
      <c r="G50" s="5"/>
      <c r="H50" s="1277"/>
      <c r="I50" s="1278"/>
      <c r="J50" s="1279"/>
      <c r="K50" s="1270" t="s">
        <v>623</v>
      </c>
      <c r="L50" s="1270" t="s">
        <v>623</v>
      </c>
      <c r="M50" s="1272" t="s">
        <v>623</v>
      </c>
      <c r="N50" s="811" t="s">
        <v>623</v>
      </c>
      <c r="O50" s="811" t="s">
        <v>226</v>
      </c>
      <c r="P50" s="808" t="s">
        <v>681</v>
      </c>
      <c r="Q50" s="1387" t="s">
        <v>682</v>
      </c>
      <c r="R50" s="1387" t="s">
        <v>683</v>
      </c>
      <c r="S50" s="5"/>
      <c r="T50" s="5"/>
      <c r="U50" s="5"/>
      <c r="V50" s="5"/>
      <c r="W50" s="5"/>
      <c r="X50" s="5"/>
      <c r="Y50" s="5"/>
      <c r="Z50" s="5"/>
      <c r="AA50" s="5"/>
      <c r="AB50" s="5"/>
      <c r="AC50" s="5"/>
      <c r="AD50" s="5"/>
    </row>
    <row r="51" spans="4:30">
      <c r="D51" s="5"/>
      <c r="E51" s="5"/>
      <c r="F51" s="5"/>
      <c r="G51" s="5"/>
      <c r="H51" s="1280"/>
      <c r="I51" s="1281"/>
      <c r="J51" s="1282"/>
      <c r="K51" s="1283"/>
      <c r="L51" s="1283"/>
      <c r="M51" s="1273"/>
      <c r="N51" s="830"/>
      <c r="O51" s="830"/>
      <c r="P51" s="809"/>
      <c r="Q51" s="1387"/>
      <c r="R51" s="1387"/>
      <c r="S51" s="5"/>
      <c r="T51" s="5"/>
      <c r="U51" s="5"/>
      <c r="V51" s="5"/>
      <c r="W51" s="5"/>
      <c r="X51" s="5"/>
      <c r="Y51" s="5"/>
      <c r="Z51" s="5"/>
      <c r="AA51" s="5"/>
      <c r="AB51" s="5"/>
      <c r="AC51" s="5"/>
      <c r="AD51" s="5"/>
    </row>
    <row r="52" spans="4:30">
      <c r="D52" s="5"/>
      <c r="E52" s="5"/>
      <c r="F52" s="5"/>
      <c r="G52" s="5"/>
      <c r="H52" s="1235" t="s">
        <v>571</v>
      </c>
      <c r="I52" s="1236"/>
      <c r="J52" s="1237"/>
      <c r="K52" s="737">
        <f>'Charge therm. total'!E9</f>
        <v>83.864409064392873</v>
      </c>
      <c r="L52" s="737">
        <f>'Charge therm. total'!F9</f>
        <v>445.92768000000012</v>
      </c>
      <c r="M52" s="737">
        <f>'Charge therm. total'!G9</f>
        <v>741.07500000000016</v>
      </c>
      <c r="N52" s="737">
        <f>'Charge therm. total'!H9</f>
        <v>1270.867089064393</v>
      </c>
      <c r="O52" s="737">
        <f>'Charge therm. total'!I9</f>
        <v>37.053750000000008</v>
      </c>
      <c r="P52" s="737">
        <f>'Charge therm. total'!J9</f>
        <v>109.29600000000001</v>
      </c>
      <c r="Q52" s="736">
        <f>'Charge therm. total'!K9</f>
        <v>3.4966249880635702</v>
      </c>
      <c r="R52" s="736">
        <f>'Charge therm. total'!L9</f>
        <v>34.297934461812709</v>
      </c>
      <c r="S52" s="5"/>
      <c r="T52" s="5"/>
      <c r="U52" s="5"/>
      <c r="V52" s="5"/>
      <c r="W52" s="5"/>
      <c r="X52" s="5"/>
      <c r="Y52" s="5"/>
      <c r="Z52" s="5"/>
      <c r="AA52" s="5"/>
      <c r="AB52" s="5"/>
      <c r="AC52" s="5"/>
      <c r="AD52" s="5"/>
    </row>
    <row r="53" spans="4:30">
      <c r="D53" s="5"/>
      <c r="E53" s="5"/>
      <c r="F53" s="5"/>
      <c r="G53" s="5"/>
      <c r="H53" s="1235" t="s">
        <v>572</v>
      </c>
      <c r="I53" s="1236"/>
      <c r="J53" s="1237"/>
      <c r="K53" s="737">
        <f>'Charge therm. total'!E10</f>
        <v>996.76302091952971</v>
      </c>
      <c r="L53" s="737">
        <f>'Charge therm. total'!F10</f>
        <v>783.11520000000007</v>
      </c>
      <c r="M53" s="737">
        <f>'Charge therm. total'!G10</f>
        <v>670.03599999999994</v>
      </c>
      <c r="N53" s="737">
        <f>'Charge therm. total'!H10</f>
        <v>2449.9142209195297</v>
      </c>
      <c r="O53" s="737">
        <f>'Charge therm. total'!I10</f>
        <v>33.501799999999996</v>
      </c>
      <c r="P53" s="737">
        <f>'Charge therm. total'!J10</f>
        <v>82.26</v>
      </c>
      <c r="Q53" s="736">
        <f>'Charge therm. total'!K10</f>
        <v>6.7406193434327522</v>
      </c>
      <c r="R53" s="736">
        <f>'Charge therm. total'!L10</f>
        <v>73.127838531646958</v>
      </c>
      <c r="S53" s="5"/>
      <c r="T53" s="5"/>
      <c r="U53" s="5"/>
      <c r="V53" s="5"/>
      <c r="W53" s="5"/>
      <c r="X53" s="5"/>
      <c r="Y53" s="5"/>
      <c r="Z53" s="5"/>
      <c r="AA53" s="5"/>
      <c r="AB53" s="5"/>
      <c r="AC53" s="5"/>
      <c r="AD53" s="5"/>
    </row>
    <row r="54" spans="4:30">
      <c r="D54" s="5"/>
      <c r="E54" s="5"/>
      <c r="F54" s="5"/>
      <c r="G54" s="5"/>
      <c r="H54" s="1235" t="s">
        <v>573</v>
      </c>
      <c r="I54" s="1236"/>
      <c r="J54" s="1237"/>
      <c r="K54" s="737">
        <f>'Charge therm. total'!E11</f>
        <v>0</v>
      </c>
      <c r="L54" s="737">
        <f>'Charge therm. total'!F11</f>
        <v>0</v>
      </c>
      <c r="M54" s="737">
        <f>'Charge therm. total'!G11</f>
        <v>290.31999999999994</v>
      </c>
      <c r="N54" s="737">
        <f>'Charge therm. total'!H11</f>
        <v>290.31999999999994</v>
      </c>
      <c r="O54" s="737">
        <f>'Charge therm. total'!I11</f>
        <v>14.515999999999998</v>
      </c>
      <c r="P54" s="737">
        <f>'Charge therm. total'!J11</f>
        <v>44.676000000000002</v>
      </c>
      <c r="Q54" s="736">
        <f>'Charge therm. total'!K11</f>
        <v>0.79877760252801688</v>
      </c>
      <c r="R54" s="736">
        <f>'Charge therm. total'!L11</f>
        <v>19.999999999999996</v>
      </c>
      <c r="S54" s="5"/>
      <c r="T54" s="5"/>
      <c r="U54" s="5"/>
      <c r="V54" s="5"/>
      <c r="W54" s="5"/>
      <c r="X54" s="5"/>
      <c r="Y54" s="5"/>
      <c r="Z54" s="5"/>
      <c r="AA54" s="5"/>
      <c r="AB54" s="5"/>
      <c r="AC54" s="5"/>
      <c r="AD54" s="5"/>
    </row>
    <row r="55" spans="4:30">
      <c r="D55" s="5"/>
      <c r="E55" s="5"/>
      <c r="F55" s="5"/>
      <c r="G55" s="5"/>
      <c r="H55" s="1235" t="s">
        <v>661</v>
      </c>
      <c r="I55" s="1236"/>
      <c r="J55" s="1237"/>
      <c r="K55" s="737">
        <f>'Charge therm. total'!E12</f>
        <v>1364.9886067206223</v>
      </c>
      <c r="L55" s="737">
        <f>'Charge therm. total'!F12</f>
        <v>807.5136</v>
      </c>
      <c r="M55" s="737">
        <f>'Charge therm. total'!G12</f>
        <v>623.40800000000002</v>
      </c>
      <c r="N55" s="737">
        <f>'Charge therm. total'!H12</f>
        <v>2795.9102067206222</v>
      </c>
      <c r="O55" s="737">
        <f>'Charge therm. total'!I12</f>
        <v>31.170400000000001</v>
      </c>
      <c r="P55" s="737">
        <f>'Charge therm. total'!J12</f>
        <v>98.96</v>
      </c>
      <c r="Q55" s="736">
        <f>'Charge therm. total'!K12</f>
        <v>7.6925821569575339</v>
      </c>
      <c r="R55" s="736">
        <f>'Charge therm. total'!L12</f>
        <v>89.697604352867529</v>
      </c>
      <c r="S55" s="5"/>
      <c r="T55" s="5"/>
      <c r="U55" s="5"/>
      <c r="V55" s="5"/>
      <c r="W55" s="5"/>
      <c r="X55" s="5"/>
      <c r="Y55" s="5"/>
      <c r="Z55" s="5"/>
      <c r="AA55" s="5"/>
      <c r="AB55" s="5"/>
      <c r="AC55" s="5"/>
      <c r="AD55" s="5"/>
    </row>
    <row r="56" spans="4:30">
      <c r="D56" s="5"/>
      <c r="E56" s="5"/>
      <c r="F56" s="5"/>
      <c r="G56" s="5"/>
      <c r="H56" s="1235" t="s">
        <v>662</v>
      </c>
      <c r="I56" s="1236"/>
      <c r="J56" s="1237"/>
      <c r="K56" s="737">
        <f>'Charge therm. total'!E13</f>
        <v>888.51307811329821</v>
      </c>
      <c r="L56" s="737">
        <f>'Charge therm. total'!F13</f>
        <v>661.67400000000009</v>
      </c>
      <c r="M56" s="737">
        <f>'Charge therm. total'!G13</f>
        <v>403.2</v>
      </c>
      <c r="N56" s="737">
        <f>'Charge therm. total'!H13</f>
        <v>1953.3870781132985</v>
      </c>
      <c r="O56" s="737">
        <f>'Charge therm. total'!I13</f>
        <v>20.16</v>
      </c>
      <c r="P56" s="737">
        <f>'Charge therm. total'!J13</f>
        <v>64.87</v>
      </c>
      <c r="Q56" s="736">
        <f>'Charge therm. total'!K13</f>
        <v>5.3744896909084767</v>
      </c>
      <c r="R56" s="736">
        <f>'Charge therm. total'!L13</f>
        <v>96.894200303239003</v>
      </c>
      <c r="S56" s="5"/>
      <c r="T56" s="5"/>
      <c r="U56" s="5"/>
      <c r="V56" s="5"/>
      <c r="W56" s="5"/>
      <c r="X56" s="5"/>
      <c r="Y56" s="5"/>
      <c r="Z56" s="5"/>
      <c r="AA56" s="5"/>
      <c r="AB56" s="5"/>
      <c r="AC56" s="5"/>
      <c r="AD56" s="5"/>
    </row>
    <row r="57" spans="4:30">
      <c r="D57" s="5"/>
      <c r="E57" s="5"/>
      <c r="F57" s="5"/>
      <c r="G57" s="5"/>
      <c r="H57" s="1235" t="s">
        <v>663</v>
      </c>
      <c r="I57" s="1236"/>
      <c r="J57" s="1237"/>
      <c r="K57" s="737">
        <f>'Charge therm. total'!E14</f>
        <v>582.27359499023362</v>
      </c>
      <c r="L57" s="737">
        <f>'Charge therm. total'!F14</f>
        <v>532.58688000000006</v>
      </c>
      <c r="M57" s="737">
        <f>'Charge therm. total'!G14</f>
        <v>403.2</v>
      </c>
      <c r="N57" s="737">
        <f>'Charge therm. total'!H14</f>
        <v>1518.0604749902338</v>
      </c>
      <c r="O57" s="737">
        <f>'Charge therm. total'!I14</f>
        <v>20.16</v>
      </c>
      <c r="P57" s="737">
        <f>'Charge therm. total'!J14</f>
        <v>65.268000000000001</v>
      </c>
      <c r="Q57" s="736">
        <f>'Charge therm. total'!K14</f>
        <v>4.1767453386099538</v>
      </c>
      <c r="R57" s="736">
        <f>'Charge therm. total'!L14</f>
        <v>75.300618799118737</v>
      </c>
      <c r="S57" s="5"/>
      <c r="T57" s="5"/>
      <c r="U57" s="5"/>
      <c r="V57" s="5"/>
      <c r="W57" s="5"/>
      <c r="X57" s="5"/>
      <c r="Y57" s="5"/>
      <c r="Z57" s="5"/>
      <c r="AA57" s="5"/>
      <c r="AB57" s="5"/>
      <c r="AC57" s="5"/>
      <c r="AD57" s="5"/>
    </row>
    <row r="58" spans="4:30">
      <c r="D58" s="5"/>
      <c r="E58" s="5"/>
      <c r="F58" s="5"/>
      <c r="G58" s="5"/>
      <c r="H58" s="1235" t="s">
        <v>40</v>
      </c>
      <c r="I58" s="1236"/>
      <c r="J58" s="1237"/>
      <c r="K58" s="737">
        <f>'Charge therm. total'!E15</f>
        <v>607.00326551320916</v>
      </c>
      <c r="L58" s="737">
        <f>'Charge therm. total'!F15</f>
        <v>665.73360000000002</v>
      </c>
      <c r="M58" s="737">
        <f>'Charge therm. total'!G15</f>
        <v>430.4</v>
      </c>
      <c r="N58" s="737">
        <f>'Charge therm. total'!H15</f>
        <v>1703.1368655132092</v>
      </c>
      <c r="O58" s="737">
        <f>'Charge therm. total'!I15</f>
        <v>21.52</v>
      </c>
      <c r="P58" s="737">
        <f>'Charge therm. total'!J15</f>
        <v>65.268000000000001</v>
      </c>
      <c r="Q58" s="736">
        <f>'Charge therm. total'!K15</f>
        <v>4.6859588805859849</v>
      </c>
      <c r="R58" s="736">
        <f>'Charge therm. total'!L15</f>
        <v>79.142047653959537</v>
      </c>
      <c r="S58" s="5"/>
      <c r="T58" s="5"/>
      <c r="U58" s="5"/>
      <c r="V58" s="5"/>
      <c r="W58" s="5"/>
      <c r="X58" s="5"/>
      <c r="Y58" s="5"/>
      <c r="Z58" s="5"/>
      <c r="AA58" s="5"/>
      <c r="AB58" s="5"/>
      <c r="AC58" s="5"/>
      <c r="AD58" s="5"/>
    </row>
    <row r="59" spans="4:30">
      <c r="D59" s="5"/>
      <c r="E59" s="5"/>
      <c r="F59" s="5"/>
      <c r="G59" s="5"/>
      <c r="H59" s="1235" t="s">
        <v>664</v>
      </c>
      <c r="I59" s="1236"/>
      <c r="J59" s="1237"/>
      <c r="K59" s="737">
        <f>'Charge therm. total'!E16</f>
        <v>1760.8771777313507</v>
      </c>
      <c r="L59" s="737">
        <f>'Charge therm. total'!F16</f>
        <v>2282.5151999999998</v>
      </c>
      <c r="M59" s="737">
        <f>'Charge therm. total'!G16</f>
        <v>721.99200000000008</v>
      </c>
      <c r="N59" s="737">
        <f>'Charge therm. total'!H16</f>
        <v>4765.3843777313505</v>
      </c>
      <c r="O59" s="737">
        <f>'Charge therm. total'!I16</f>
        <v>36.099600000000002</v>
      </c>
      <c r="P59" s="737">
        <f>'Charge therm. total'!J16</f>
        <v>119.88</v>
      </c>
      <c r="Q59" s="736">
        <f>'Charge therm. total'!K16</f>
        <v>13.111333385122329</v>
      </c>
      <c r="R59" s="736">
        <f>'Charge therm. total'!L16</f>
        <v>132.00657009305783</v>
      </c>
      <c r="S59" s="5"/>
      <c r="T59" s="5"/>
      <c r="U59" s="5"/>
      <c r="V59" s="5"/>
      <c r="W59" s="5"/>
      <c r="X59" s="5"/>
      <c r="Y59" s="5"/>
      <c r="Z59" s="5"/>
      <c r="AA59" s="5"/>
      <c r="AB59" s="5"/>
      <c r="AC59" s="5"/>
      <c r="AD59" s="5"/>
    </row>
    <row r="60" spans="4:30">
      <c r="D60" s="5"/>
      <c r="E60" s="5"/>
      <c r="F60" s="5"/>
      <c r="G60" s="5"/>
      <c r="H60" s="1235" t="s">
        <v>665</v>
      </c>
      <c r="I60" s="1236"/>
      <c r="J60" s="1237"/>
      <c r="K60" s="737">
        <f>'Charge therm. total'!E17</f>
        <v>544.66884974492871</v>
      </c>
      <c r="L60" s="737">
        <f>'Charge therm. total'!F17</f>
        <v>728.76960000000008</v>
      </c>
      <c r="M60" s="737">
        <f>'Charge therm. total'!G17</f>
        <v>981.25</v>
      </c>
      <c r="N60" s="737">
        <f>'Charge therm. total'!H17</f>
        <v>2254.6884497449287</v>
      </c>
      <c r="O60" s="737">
        <f>'Charge therm. total'!I17</f>
        <v>49.0625</v>
      </c>
      <c r="P60" s="737">
        <f>'Charge therm. total'!J17</f>
        <v>164.88</v>
      </c>
      <c r="Q60" s="736">
        <f>'Charge therm. total'!K17</f>
        <v>6.2034811047632461</v>
      </c>
      <c r="R60" s="736">
        <f>'Charge therm. total'!L17</f>
        <v>45.95543337059727</v>
      </c>
      <c r="S60" s="5"/>
      <c r="T60" s="5"/>
      <c r="U60" s="5"/>
      <c r="V60" s="5"/>
      <c r="W60" s="5"/>
      <c r="X60" s="5"/>
      <c r="Y60" s="5"/>
      <c r="Z60" s="5"/>
      <c r="AA60" s="5"/>
      <c r="AB60" s="5"/>
      <c r="AC60" s="5"/>
      <c r="AD60" s="5"/>
    </row>
    <row r="61" spans="4:30">
      <c r="D61" s="5"/>
      <c r="E61" s="5"/>
      <c r="F61" s="5"/>
      <c r="G61" s="5"/>
      <c r="H61" s="1235" t="s">
        <v>579</v>
      </c>
      <c r="I61" s="1236"/>
      <c r="J61" s="1237"/>
      <c r="K61" s="737">
        <f>'Charge therm. total'!E18</f>
        <v>27.446599402006406</v>
      </c>
      <c r="L61" s="737">
        <f>'Charge therm. total'!F18</f>
        <v>115.20288000000001</v>
      </c>
      <c r="M61" s="737">
        <f>'Charge therm. total'!G18</f>
        <v>171.81</v>
      </c>
      <c r="N61" s="737">
        <f>'Charge therm. total'!H18</f>
        <v>314.45947940200642</v>
      </c>
      <c r="O61" s="737">
        <f>'Charge therm. total'!I18</f>
        <v>8.5905000000000005</v>
      </c>
      <c r="P61" s="737">
        <f>'Charge therm. total'!J18</f>
        <v>26.064</v>
      </c>
      <c r="Q61" s="736">
        <f>'Charge therm. total'!K18</f>
        <v>0.86519423067285428</v>
      </c>
      <c r="R61" s="736">
        <f>'Charge therm. total'!L18</f>
        <v>36.605492043770028</v>
      </c>
      <c r="S61" s="5"/>
      <c r="T61" s="5"/>
      <c r="U61" s="5"/>
      <c r="V61" s="5"/>
      <c r="W61" s="5"/>
      <c r="X61" s="5"/>
      <c r="Y61" s="5"/>
      <c r="Z61" s="5"/>
      <c r="AA61" s="5"/>
      <c r="AB61" s="5"/>
      <c r="AC61" s="5"/>
      <c r="AD61" s="5"/>
    </row>
    <row r="62" spans="4:30">
      <c r="D62" s="5"/>
      <c r="E62" s="5"/>
      <c r="F62" s="5"/>
      <c r="G62" s="5"/>
      <c r="H62" s="1288" t="s">
        <v>684</v>
      </c>
      <c r="I62" s="1377"/>
      <c r="J62" s="1378"/>
      <c r="K62" s="737">
        <f>'Charge therm. total'!E19</f>
        <v>930.64034404367976</v>
      </c>
      <c r="L62" s="737">
        <f>'Charge therm. total'!F19</f>
        <v>289.71774000000005</v>
      </c>
      <c r="M62" s="737">
        <f>'Charge therm. total'!G19</f>
        <v>364.15</v>
      </c>
      <c r="N62" s="737">
        <f>'Charge therm. total'!H19</f>
        <v>1584.5080840436799</v>
      </c>
      <c r="O62" s="737">
        <f>'Charge therm. total'!I19</f>
        <v>18.2075</v>
      </c>
      <c r="P62" s="737">
        <f>'Charge therm. total'!J19</f>
        <v>65.546999999999997</v>
      </c>
      <c r="Q62" s="736">
        <f>'Charge therm. total'!K19</f>
        <v>4.359567265633344</v>
      </c>
      <c r="R62" s="736">
        <f>'Charge therm. total'!L19</f>
        <v>87.025021779139365</v>
      </c>
      <c r="S62" s="5"/>
      <c r="T62" s="5"/>
      <c r="U62" s="5"/>
      <c r="V62" s="5"/>
      <c r="W62" s="5"/>
      <c r="X62" s="5"/>
      <c r="Y62" s="5"/>
      <c r="Z62" s="5"/>
      <c r="AA62" s="5"/>
      <c r="AB62" s="5"/>
      <c r="AC62" s="5"/>
      <c r="AD62" s="5"/>
    </row>
    <row r="63" spans="4:30">
      <c r="D63" s="5"/>
      <c r="E63" s="5"/>
      <c r="F63" s="5"/>
      <c r="G63" s="5"/>
      <c r="H63" s="1235" t="s">
        <v>583</v>
      </c>
      <c r="I63" s="1236"/>
      <c r="J63" s="1237"/>
      <c r="K63" s="737">
        <f>'Charge therm. total'!E20</f>
        <v>57.509899218452375</v>
      </c>
      <c r="L63" s="737">
        <f>'Charge therm. total'!F20</f>
        <v>337.49352000000005</v>
      </c>
      <c r="M63" s="737">
        <f>'Charge therm. total'!G20</f>
        <v>461.61</v>
      </c>
      <c r="N63" s="737">
        <f>'Charge therm. total'!H20</f>
        <v>856.61341921845246</v>
      </c>
      <c r="O63" s="737">
        <f>'Charge therm. total'!I20</f>
        <v>23.080500000000001</v>
      </c>
      <c r="P63" s="737">
        <f>'Charge therm. total'!J20</f>
        <v>76.356000000000009</v>
      </c>
      <c r="Q63" s="736">
        <f>'Charge therm. total'!K20</f>
        <v>2.3568600623334346</v>
      </c>
      <c r="R63" s="736">
        <f>'Charge therm. total'!L20</f>
        <v>37.114162137668266</v>
      </c>
      <c r="S63" s="5"/>
      <c r="T63" s="5"/>
      <c r="U63" s="5"/>
      <c r="V63" s="5"/>
      <c r="W63" s="5"/>
      <c r="X63" s="5"/>
      <c r="Y63" s="5"/>
      <c r="Z63" s="5"/>
      <c r="AA63" s="5"/>
      <c r="AB63" s="5"/>
      <c r="AC63" s="5"/>
      <c r="AD63" s="5"/>
    </row>
    <row r="64" spans="4:30">
      <c r="D64" s="5"/>
      <c r="E64" s="5"/>
      <c r="F64" s="5"/>
      <c r="G64" s="5"/>
      <c r="H64" s="1235" t="s">
        <v>584</v>
      </c>
      <c r="I64" s="1236"/>
      <c r="J64" s="1237"/>
      <c r="K64" s="737">
        <f>'Charge therm. total'!E21</f>
        <v>1401.0483519837869</v>
      </c>
      <c r="L64" s="737">
        <f>'Charge therm. total'!F21</f>
        <v>1102.3344000000002</v>
      </c>
      <c r="M64" s="737">
        <f>'Charge therm. total'!G21</f>
        <v>643.5</v>
      </c>
      <c r="N64" s="737">
        <f>'Charge therm. total'!H21</f>
        <v>3146.8827519837869</v>
      </c>
      <c r="O64" s="737">
        <f>'Charge therm. total'!I21</f>
        <v>32.174999999999997</v>
      </c>
      <c r="P64" s="737">
        <f>'Charge therm. total'!J21</f>
        <v>108.072</v>
      </c>
      <c r="Q64" s="736">
        <f>'Charge therm. total'!K21</f>
        <v>8.6582373245604085</v>
      </c>
      <c r="R64" s="736">
        <f>'Charge therm. total'!L21</f>
        <v>97.805213736869845</v>
      </c>
      <c r="S64" s="5"/>
      <c r="T64" s="5"/>
      <c r="U64" s="5"/>
      <c r="V64" s="5"/>
      <c r="W64" s="5"/>
      <c r="X64" s="5"/>
      <c r="Y64" s="5"/>
      <c r="Z64" s="5"/>
      <c r="AA64" s="5"/>
      <c r="AB64" s="5"/>
      <c r="AC64" s="5"/>
      <c r="AD64" s="5"/>
    </row>
    <row r="65" spans="4:30">
      <c r="D65" s="5"/>
      <c r="E65" s="5"/>
      <c r="F65" s="5"/>
      <c r="G65" s="5"/>
      <c r="H65" s="1235" t="s">
        <v>668</v>
      </c>
      <c r="I65" s="1236"/>
      <c r="J65" s="1237"/>
      <c r="K65" s="737">
        <f>'Charge therm. total'!E22</f>
        <v>345.60192826993796</v>
      </c>
      <c r="L65" s="737">
        <f>'Charge therm. total'!F22</f>
        <v>3606.7852800000001</v>
      </c>
      <c r="M65" s="737">
        <f>'Charge therm. total'!G22</f>
        <v>1052.3999999999999</v>
      </c>
      <c r="N65" s="737">
        <f>'Charge therm. total'!H22</f>
        <v>5004.7872082699378</v>
      </c>
      <c r="O65" s="737">
        <f>'Charge therm. total'!I22</f>
        <v>52.62</v>
      </c>
      <c r="P65" s="737">
        <f>'Charge therm. total'!J22</f>
        <v>189.43199999999999</v>
      </c>
      <c r="Q65" s="736">
        <f>'Charge therm. total'!K22</f>
        <v>13.770019038938925</v>
      </c>
      <c r="R65" s="736">
        <f>'Charge therm. total'!L22</f>
        <v>95.111881571074463</v>
      </c>
      <c r="S65" s="5"/>
      <c r="T65" s="5"/>
      <c r="U65" s="5"/>
      <c r="V65" s="5"/>
      <c r="W65" s="5"/>
      <c r="X65" s="5"/>
      <c r="Y65" s="5"/>
      <c r="Z65" s="5"/>
      <c r="AA65" s="5"/>
      <c r="AB65" s="5"/>
      <c r="AC65" s="5"/>
      <c r="AD65" s="5"/>
    </row>
    <row r="66" spans="4:30">
      <c r="D66" s="5"/>
      <c r="E66" s="5"/>
      <c r="F66" s="5"/>
      <c r="G66" s="5"/>
      <c r="H66" s="1235" t="s">
        <v>669</v>
      </c>
      <c r="I66" s="1236"/>
      <c r="J66" s="1237"/>
      <c r="K66" s="737">
        <f>'Charge therm. total'!E23</f>
        <v>1397.83524187689</v>
      </c>
      <c r="L66" s="737">
        <f>'Charge therm. total'!F23</f>
        <v>812.54016000000024</v>
      </c>
      <c r="M66" s="737">
        <f>'Charge therm. total'!G23</f>
        <v>1000.4920152091255</v>
      </c>
      <c r="N66" s="737">
        <f>'Charge therm. total'!H23</f>
        <v>3210.8674170860158</v>
      </c>
      <c r="O66" s="737">
        <f>'Charge therm. total'!I23</f>
        <v>50.024600760456273</v>
      </c>
      <c r="P66" s="737">
        <f>'Charge therm. total'!J23</f>
        <v>199.15200000000002</v>
      </c>
      <c r="Q66" s="736">
        <f>'Charge therm. total'!K23</f>
        <v>8.8342827826374144</v>
      </c>
      <c r="R66" s="736">
        <f>'Charge therm. total'!L23</f>
        <v>64.185767967670827</v>
      </c>
      <c r="S66" s="5"/>
      <c r="T66" s="5"/>
      <c r="U66" s="5"/>
      <c r="V66" s="5"/>
      <c r="W66" s="5"/>
      <c r="X66" s="5"/>
      <c r="Y66" s="5"/>
      <c r="Z66" s="5"/>
      <c r="AA66" s="5"/>
      <c r="AB66" s="5"/>
      <c r="AC66" s="5"/>
      <c r="AD66" s="5"/>
    </row>
    <row r="67" spans="4:30">
      <c r="D67" s="5"/>
      <c r="E67" s="5"/>
      <c r="F67" s="5"/>
      <c r="G67" s="5"/>
      <c r="H67" s="1235" t="s">
        <v>587</v>
      </c>
      <c r="I67" s="1236"/>
      <c r="J67" s="1237"/>
      <c r="K67" s="737">
        <f>'Charge therm. total'!E24</f>
        <v>12.59826229754222</v>
      </c>
      <c r="L67" s="737">
        <f>'Charge therm. total'!F24</f>
        <v>208.42272000000003</v>
      </c>
      <c r="M67" s="737">
        <f>'Charge therm. total'!G24</f>
        <v>94.600000000000009</v>
      </c>
      <c r="N67" s="737">
        <f>'Charge therm. total'!H24</f>
        <v>315.62098229754224</v>
      </c>
      <c r="O67" s="737">
        <f>'Charge therm. total'!I24</f>
        <v>4.7300000000000004</v>
      </c>
      <c r="P67" s="737">
        <f>'Charge therm. total'!J24</f>
        <v>17.028000000000002</v>
      </c>
      <c r="Q67" s="736">
        <f>'Charge therm. total'!K24</f>
        <v>0.86838995435095234</v>
      </c>
      <c r="R67" s="736">
        <f>'Charge therm. total'!L24</f>
        <v>66.727480401171718</v>
      </c>
      <c r="S67" s="5"/>
      <c r="T67" s="5"/>
      <c r="U67" s="5"/>
      <c r="V67" s="5"/>
      <c r="W67" s="5"/>
      <c r="X67" s="5"/>
      <c r="Y67" s="5"/>
      <c r="Z67" s="5"/>
      <c r="AA67" s="5"/>
      <c r="AB67" s="5"/>
      <c r="AC67" s="5"/>
      <c r="AD67" s="5"/>
    </row>
    <row r="68" spans="4:30">
      <c r="D68" s="5"/>
      <c r="E68" s="5"/>
      <c r="F68" s="5"/>
      <c r="G68" s="5"/>
      <c r="H68" s="1235" t="s">
        <v>588</v>
      </c>
      <c r="I68" s="1236"/>
      <c r="J68" s="1237"/>
      <c r="K68" s="737">
        <f>'Charge therm. total'!E25</f>
        <v>11.501979843690474</v>
      </c>
      <c r="L68" s="737">
        <f>'Charge therm. total'!F25</f>
        <v>192.55968000000004</v>
      </c>
      <c r="M68" s="737">
        <f>'Charge therm. total'!G25</f>
        <v>87.4</v>
      </c>
      <c r="N68" s="737">
        <f>'Charge therm. total'!H25</f>
        <v>291.46165984369054</v>
      </c>
      <c r="O68" s="737">
        <f>'Charge therm. total'!I25</f>
        <v>4.37</v>
      </c>
      <c r="P68" s="737">
        <f>'Charge therm. total'!J25</f>
        <v>15.732000000000001</v>
      </c>
      <c r="Q68" s="736">
        <f>'Charge therm. total'!K25</f>
        <v>0.80191873063784636</v>
      </c>
      <c r="R68" s="736">
        <f>'Charge therm. total'!L25</f>
        <v>66.696032000844511</v>
      </c>
      <c r="S68" s="5"/>
      <c r="T68" s="5"/>
      <c r="U68" s="5"/>
      <c r="V68" s="5"/>
      <c r="W68" s="5"/>
      <c r="X68" s="5"/>
      <c r="Y68" s="5"/>
      <c r="Z68" s="5"/>
      <c r="AA68" s="5"/>
      <c r="AB68" s="5"/>
      <c r="AC68" s="5"/>
      <c r="AD68" s="5"/>
    </row>
    <row r="69" spans="4:30">
      <c r="D69" s="5"/>
      <c r="E69" s="5"/>
      <c r="F69" s="5"/>
      <c r="G69" s="5"/>
      <c r="H69" s="1235" t="s">
        <v>589</v>
      </c>
      <c r="I69" s="1236"/>
      <c r="J69" s="1237"/>
      <c r="K69" s="737">
        <f>'Charge therm. total'!E26</f>
        <v>284.16775425391933</v>
      </c>
      <c r="L69" s="737">
        <f>'Charge therm. total'!F26</f>
        <v>766.71360000000004</v>
      </c>
      <c r="M69" s="737">
        <f>'Charge therm. total'!G26</f>
        <v>348</v>
      </c>
      <c r="N69" s="737">
        <f>'Charge therm. total'!H26</f>
        <v>1398.8813542539194</v>
      </c>
      <c r="O69" s="737">
        <f>'Charge therm. total'!I26</f>
        <v>17.399999999999999</v>
      </c>
      <c r="P69" s="737">
        <f>'Charge therm. total'!J26</f>
        <v>62.639999999999993</v>
      </c>
      <c r="Q69" s="736">
        <f>'Charge therm. total'!K26</f>
        <v>3.8488395369664219</v>
      </c>
      <c r="R69" s="736">
        <f>'Charge therm. total'!L26</f>
        <v>80.395480129535599</v>
      </c>
      <c r="S69" s="5"/>
      <c r="T69" s="5"/>
      <c r="U69" s="5"/>
      <c r="V69" s="5"/>
      <c r="W69" s="5"/>
      <c r="X69" s="5"/>
      <c r="Y69" s="5"/>
      <c r="Z69" s="5"/>
      <c r="AA69" s="5"/>
      <c r="AB69" s="5"/>
      <c r="AC69" s="5"/>
      <c r="AD69" s="5"/>
    </row>
    <row r="70" spans="4:30">
      <c r="D70" s="5"/>
      <c r="E70" s="5"/>
      <c r="F70" s="5"/>
      <c r="G70" s="5"/>
      <c r="H70" s="1235" t="s">
        <v>590</v>
      </c>
      <c r="I70" s="1236"/>
      <c r="J70" s="1237"/>
      <c r="K70" s="737">
        <f>'Charge therm. total'!E27</f>
        <v>145.63946475084583</v>
      </c>
      <c r="L70" s="737">
        <f>'Charge therm. total'!F27</f>
        <v>540.66527999999994</v>
      </c>
      <c r="M70" s="737">
        <f>'Charge therm. total'!G27</f>
        <v>245.39999999999998</v>
      </c>
      <c r="N70" s="737">
        <f>'Charge therm. total'!H27</f>
        <v>931.70474475084575</v>
      </c>
      <c r="O70" s="737">
        <f>'Charge therm. total'!I27</f>
        <v>12.27</v>
      </c>
      <c r="P70" s="737">
        <f>'Charge therm. total'!J27</f>
        <v>44.171999999999997</v>
      </c>
      <c r="Q70" s="736">
        <f>'Charge therm. total'!K27</f>
        <v>2.56346404752018</v>
      </c>
      <c r="R70" s="736">
        <f>'Charge therm. total'!L27</f>
        <v>75.933557029408789</v>
      </c>
      <c r="S70" s="5"/>
      <c r="T70" s="5"/>
      <c r="U70" s="5"/>
      <c r="V70" s="5"/>
      <c r="W70" s="5"/>
      <c r="X70" s="5"/>
      <c r="Y70" s="5"/>
      <c r="Z70" s="5"/>
      <c r="AA70" s="5"/>
      <c r="AB70" s="5"/>
      <c r="AC70" s="5"/>
      <c r="AD70" s="5"/>
    </row>
    <row r="71" spans="4:30">
      <c r="D71" s="5"/>
      <c r="E71" s="5"/>
      <c r="F71" s="5"/>
      <c r="G71" s="5"/>
      <c r="H71" s="1235" t="s">
        <v>670</v>
      </c>
      <c r="I71" s="1236"/>
      <c r="J71" s="1237"/>
      <c r="K71" s="737">
        <f>'Charge therm. total'!E28</f>
        <v>0</v>
      </c>
      <c r="L71" s="737">
        <f>'Charge therm. total'!F28</f>
        <v>0</v>
      </c>
      <c r="M71" s="737">
        <f>'Charge therm. total'!G28</f>
        <v>217.8</v>
      </c>
      <c r="N71" s="737">
        <f>'Charge therm. total'!H28</f>
        <v>217.8</v>
      </c>
      <c r="O71" s="737">
        <f>'Charge therm. total'!I28</f>
        <v>10.89</v>
      </c>
      <c r="P71" s="737">
        <f>'Charge therm. total'!J28</f>
        <v>39.204000000000001</v>
      </c>
      <c r="Q71" s="736">
        <f>'Charge therm. total'!K28</f>
        <v>0.59924828406793229</v>
      </c>
      <c r="R71" s="736">
        <f>'Charge therm. total'!L28</f>
        <v>20</v>
      </c>
      <c r="S71" s="5"/>
      <c r="T71" s="5"/>
      <c r="U71" s="5"/>
      <c r="V71" s="5"/>
      <c r="W71" s="5"/>
      <c r="X71" s="5"/>
      <c r="Y71" s="5"/>
      <c r="Z71" s="5"/>
      <c r="AA71" s="5"/>
      <c r="AB71" s="5"/>
      <c r="AC71" s="5"/>
      <c r="AD71" s="5"/>
    </row>
    <row r="72" spans="4:30" ht="16.5" thickBot="1">
      <c r="D72" s="5"/>
      <c r="E72" s="5"/>
      <c r="F72" s="5"/>
      <c r="G72" s="5"/>
      <c r="H72" s="1373" t="s">
        <v>671</v>
      </c>
      <c r="I72" s="1374"/>
      <c r="J72" s="1375"/>
      <c r="K72" s="737">
        <f>'Charge therm. total'!E29</f>
        <v>0</v>
      </c>
      <c r="L72" s="737">
        <f>'Charge therm. total'!F29</f>
        <v>0</v>
      </c>
      <c r="M72" s="737">
        <f>'Charge therm. total'!G29</f>
        <v>70.279999999999987</v>
      </c>
      <c r="N72" s="737">
        <f>'Charge therm. total'!H29</f>
        <v>70.279999999999987</v>
      </c>
      <c r="O72" s="737">
        <f>'Charge therm. total'!I29</f>
        <v>3.5139999999999993</v>
      </c>
      <c r="P72" s="737">
        <f>'Charge therm. total'!J29</f>
        <v>12.650399999999998</v>
      </c>
      <c r="Q72" s="736">
        <f>'Charge therm. total'!K29</f>
        <v>0.19336625070842184</v>
      </c>
      <c r="R72" s="797">
        <f>'Charge therm. total'!L29</f>
        <v>20</v>
      </c>
      <c r="S72" s="5"/>
      <c r="T72" s="5"/>
      <c r="U72" s="5"/>
      <c r="V72" s="5"/>
      <c r="W72" s="5"/>
      <c r="X72" s="5"/>
      <c r="Y72" s="5"/>
      <c r="Z72" s="5"/>
      <c r="AA72" s="5"/>
      <c r="AB72" s="5"/>
      <c r="AC72" s="5"/>
      <c r="AD72" s="5"/>
    </row>
    <row r="73" spans="4:30" ht="16.5" thickBot="1">
      <c r="D73" s="5"/>
      <c r="E73" s="5"/>
      <c r="F73" s="5"/>
      <c r="G73" s="5"/>
      <c r="H73" s="733" t="s">
        <v>71</v>
      </c>
      <c r="I73" s="734"/>
      <c r="J73" s="734"/>
      <c r="K73" s="738">
        <f>SUM(K52:K72)</f>
        <v>11442.941828738316</v>
      </c>
      <c r="L73" s="738">
        <f>SUM(L52:L70)</f>
        <v>14880.271020000002</v>
      </c>
      <c r="M73" s="738">
        <f>SUM(M52:M72)</f>
        <v>10022.323015209124</v>
      </c>
      <c r="N73" s="739">
        <f>SUM(N52:N72)</f>
        <v>36345.535863947443</v>
      </c>
      <c r="O73" s="800">
        <f>SUM(O52:O72)</f>
        <v>501.11615076045632</v>
      </c>
      <c r="P73" s="800">
        <f>SUM(P52:P72)</f>
        <v>1671.4074000000001</v>
      </c>
      <c r="Q73" s="798">
        <f>SUM(Q52:Q72)</f>
        <v>100</v>
      </c>
      <c r="R73" s="799">
        <f>N73/O73</f>
        <v>72.529164763083728</v>
      </c>
      <c r="S73" s="5"/>
      <c r="T73" s="5"/>
      <c r="U73" s="5"/>
      <c r="V73" s="5"/>
      <c r="W73" s="5"/>
      <c r="X73" s="5"/>
      <c r="Y73" s="5"/>
      <c r="Z73" s="5"/>
      <c r="AA73" s="5"/>
      <c r="AB73" s="5"/>
      <c r="AC73" s="5"/>
      <c r="AD73" s="5"/>
    </row>
    <row r="74" spans="4:30">
      <c r="D74" s="5"/>
      <c r="E74" s="5"/>
      <c r="F74" s="5"/>
      <c r="G74" s="5"/>
      <c r="H74" s="1265" t="s">
        <v>685</v>
      </c>
      <c r="I74" s="1265"/>
      <c r="J74" s="1265"/>
      <c r="K74" s="692">
        <f>K73/N73*100</f>
        <v>31.483761503951346</v>
      </c>
      <c r="L74" s="692">
        <f>L73/N73*100</f>
        <v>40.94112431221663</v>
      </c>
      <c r="M74" s="692">
        <f>M73/N73*100</f>
        <v>27.575114183832017</v>
      </c>
      <c r="N74" s="692"/>
      <c r="O74" s="692"/>
      <c r="P74" s="692"/>
      <c r="Q74" s="692"/>
      <c r="R74" s="692"/>
      <c r="S74" s="5"/>
      <c r="T74" s="5"/>
      <c r="U74" s="5"/>
      <c r="V74" s="5"/>
      <c r="W74" s="5"/>
      <c r="X74" s="5"/>
      <c r="Y74" s="5"/>
      <c r="Z74" s="5"/>
      <c r="AA74" s="5"/>
      <c r="AB74" s="5"/>
      <c r="AC74" s="5"/>
      <c r="AD74" s="5"/>
    </row>
    <row r="75" spans="4:30">
      <c r="D75" s="5"/>
      <c r="E75" s="5"/>
      <c r="F75" s="5"/>
      <c r="G75" s="5"/>
      <c r="H75" s="5"/>
      <c r="I75" s="5"/>
      <c r="J75" s="5"/>
      <c r="K75" s="749"/>
      <c r="L75" s="749"/>
      <c r="M75" s="749"/>
      <c r="N75" s="749"/>
      <c r="O75" s="749"/>
      <c r="P75" s="749"/>
      <c r="Q75" s="749"/>
      <c r="R75" s="749"/>
      <c r="S75" s="5"/>
      <c r="T75" s="5"/>
      <c r="U75" s="5"/>
      <c r="V75" s="5"/>
      <c r="W75" s="5"/>
      <c r="X75" s="5"/>
      <c r="Y75" s="5"/>
      <c r="Z75" s="5"/>
      <c r="AA75" s="5"/>
      <c r="AB75" s="5"/>
      <c r="AC75" s="5"/>
      <c r="AD75" s="5"/>
    </row>
    <row r="76" spans="4:30">
      <c r="D76" s="5"/>
      <c r="E76" s="5"/>
      <c r="F76" s="5"/>
      <c r="G76" s="5"/>
      <c r="H76" s="5"/>
      <c r="I76" s="5"/>
      <c r="J76" s="5"/>
      <c r="K76" s="5"/>
      <c r="L76" s="5"/>
      <c r="M76" s="5"/>
      <c r="N76" s="5"/>
      <c r="O76" s="5"/>
      <c r="P76" s="5"/>
      <c r="Q76" s="5"/>
      <c r="R76" s="5"/>
      <c r="S76" s="5"/>
      <c r="T76" s="5"/>
      <c r="U76" s="5"/>
      <c r="V76" s="5"/>
      <c r="W76" s="5"/>
      <c r="X76" s="5"/>
      <c r="Y76" s="5"/>
      <c r="Z76" s="5"/>
      <c r="AA76" s="5"/>
      <c r="AB76" s="5"/>
      <c r="AC76" s="5"/>
      <c r="AD76" s="5"/>
    </row>
    <row r="77" spans="4:30">
      <c r="S77" s="5"/>
      <c r="T77" s="5"/>
      <c r="U77" s="5"/>
      <c r="V77" s="5"/>
      <c r="W77" s="5"/>
      <c r="X77" s="5"/>
      <c r="Y77" s="5"/>
      <c r="Z77" s="5"/>
      <c r="AA77" s="5"/>
      <c r="AB77" s="5"/>
      <c r="AC77" s="5"/>
      <c r="AD77" s="5"/>
    </row>
    <row r="82" spans="7:33" ht="61.5">
      <c r="G82" s="802" t="s">
        <v>101</v>
      </c>
      <c r="H82" s="1000"/>
      <c r="I82" s="1000"/>
      <c r="J82" s="1000"/>
    </row>
    <row r="83" spans="7:33">
      <c r="G83" s="5"/>
      <c r="H83" s="5"/>
      <c r="I83" s="5"/>
      <c r="J83" s="5"/>
      <c r="K83" s="5"/>
      <c r="L83" s="5"/>
      <c r="M83" s="5"/>
      <c r="N83" s="5"/>
      <c r="O83" s="5"/>
      <c r="P83" s="5"/>
      <c r="Q83" s="5"/>
      <c r="R83" s="5"/>
      <c r="S83" s="5"/>
      <c r="T83" s="5"/>
      <c r="U83" s="5"/>
      <c r="V83" s="5"/>
      <c r="W83" s="5"/>
      <c r="X83" s="5"/>
      <c r="Y83" s="5"/>
      <c r="Z83" s="5"/>
      <c r="AA83" s="5"/>
      <c r="AB83" s="5"/>
      <c r="AC83" s="5"/>
      <c r="AD83" s="5"/>
      <c r="AE83" s="5"/>
      <c r="AF83" s="5"/>
      <c r="AG83" s="5"/>
    </row>
    <row r="84" spans="7:33">
      <c r="G84" s="5"/>
      <c r="H84" s="5"/>
      <c r="I84" s="5"/>
      <c r="J84" s="5"/>
      <c r="K84" s="5"/>
      <c r="L84" s="5"/>
      <c r="M84" s="5"/>
      <c r="N84" s="5"/>
      <c r="O84" s="5"/>
      <c r="P84" s="5"/>
      <c r="Q84" s="5"/>
      <c r="R84" s="5"/>
      <c r="S84" s="5"/>
      <c r="T84" s="5"/>
      <c r="U84" s="5"/>
      <c r="V84" s="5"/>
      <c r="W84" s="5"/>
      <c r="X84" s="5"/>
      <c r="Y84" s="5"/>
      <c r="Z84" s="5"/>
      <c r="AA84" s="5"/>
      <c r="AB84" s="5"/>
      <c r="AC84" s="5"/>
      <c r="AD84" s="5"/>
      <c r="AE84" s="5"/>
      <c r="AF84" s="5"/>
      <c r="AG84" s="5"/>
    </row>
    <row r="85" spans="7:33">
      <c r="G85" s="5"/>
      <c r="H85" s="5"/>
      <c r="I85" s="5"/>
      <c r="J85" s="5"/>
      <c r="K85" s="5"/>
      <c r="L85" s="5"/>
      <c r="M85" s="5"/>
      <c r="N85" s="5"/>
      <c r="O85" s="5"/>
      <c r="P85" s="5"/>
      <c r="Q85" s="5"/>
      <c r="R85" s="5"/>
      <c r="S85" s="5"/>
      <c r="T85" s="5"/>
      <c r="U85" s="5"/>
      <c r="V85" s="5"/>
      <c r="W85" s="5"/>
      <c r="X85" s="5"/>
      <c r="Y85" s="5"/>
      <c r="Z85" s="5"/>
      <c r="AA85" s="5"/>
      <c r="AB85" s="5"/>
      <c r="AC85" s="5"/>
      <c r="AD85" s="5"/>
      <c r="AE85" s="5"/>
      <c r="AF85" s="5"/>
      <c r="AG85" s="5"/>
    </row>
    <row r="86" spans="7:33">
      <c r="G86" s="5"/>
      <c r="H86" s="5"/>
      <c r="I86" s="5"/>
      <c r="J86" s="5"/>
      <c r="K86" s="5"/>
      <c r="L86" s="5"/>
      <c r="M86" s="5"/>
      <c r="N86" s="5"/>
      <c r="O86" s="5"/>
      <c r="P86" s="5"/>
      <c r="Q86" s="5"/>
      <c r="R86" s="5"/>
      <c r="S86" s="5"/>
      <c r="T86" s="5"/>
      <c r="U86" s="5"/>
      <c r="V86" s="5"/>
      <c r="W86" s="5"/>
      <c r="X86" s="5"/>
      <c r="Y86" s="5"/>
      <c r="Z86" s="5"/>
      <c r="AA86" s="5"/>
      <c r="AB86" s="5"/>
      <c r="AC86" s="5"/>
      <c r="AD86" s="5"/>
      <c r="AE86" s="5"/>
      <c r="AF86" s="5"/>
      <c r="AG86" s="5"/>
    </row>
    <row r="87" spans="7:33">
      <c r="G87" s="5"/>
      <c r="H87" s="5"/>
      <c r="I87" s="5"/>
      <c r="J87" s="5"/>
      <c r="K87" s="5"/>
      <c r="L87" s="5"/>
      <c r="M87" s="5"/>
      <c r="N87" s="5"/>
      <c r="O87" s="5"/>
      <c r="P87" s="5"/>
      <c r="Q87" s="5"/>
      <c r="R87" s="5"/>
      <c r="S87" s="5"/>
      <c r="T87" s="5"/>
      <c r="U87" s="5"/>
      <c r="V87" s="5"/>
      <c r="W87" s="5"/>
      <c r="X87" s="5"/>
      <c r="Y87" s="5"/>
      <c r="Z87" s="5"/>
      <c r="AA87" s="5"/>
      <c r="AB87" s="5"/>
      <c r="AC87" s="5"/>
      <c r="AD87" s="5"/>
      <c r="AE87" s="5"/>
      <c r="AF87" s="5"/>
      <c r="AG87" s="5"/>
    </row>
    <row r="88" spans="7:33">
      <c r="G88" s="5"/>
      <c r="H88" s="5"/>
      <c r="I88" s="5"/>
      <c r="J88" s="5"/>
      <c r="K88" s="5"/>
      <c r="L88" s="5"/>
      <c r="M88" s="5"/>
      <c r="N88" s="5"/>
      <c r="O88" s="5"/>
      <c r="P88" s="5"/>
      <c r="Q88" s="5"/>
      <c r="R88" s="5"/>
      <c r="S88" s="5"/>
      <c r="T88" s="5"/>
      <c r="U88" s="5"/>
      <c r="V88" s="5"/>
      <c r="W88" s="5"/>
      <c r="X88" s="5"/>
      <c r="Y88" s="5"/>
      <c r="Z88" s="5"/>
      <c r="AA88" s="5"/>
      <c r="AB88" s="5"/>
      <c r="AC88" s="5"/>
      <c r="AD88" s="5"/>
      <c r="AE88" s="5"/>
      <c r="AF88" s="5"/>
      <c r="AG88" s="5"/>
    </row>
    <row r="89" spans="7:33">
      <c r="G89" s="5"/>
      <c r="H89" s="5"/>
      <c r="I89" s="5"/>
      <c r="J89" s="5"/>
      <c r="K89" s="5"/>
      <c r="L89" s="5"/>
      <c r="M89" s="5"/>
      <c r="N89" s="5"/>
      <c r="O89" s="5"/>
      <c r="P89" s="5"/>
      <c r="Q89" s="5"/>
      <c r="R89" s="5"/>
      <c r="S89" s="5"/>
      <c r="T89" s="5"/>
      <c r="U89" s="5"/>
      <c r="V89" s="5"/>
      <c r="W89" s="5"/>
      <c r="X89" s="5"/>
      <c r="Y89" s="5"/>
      <c r="Z89" s="5"/>
      <c r="AA89" s="5"/>
      <c r="AB89" s="5"/>
      <c r="AC89" s="5"/>
      <c r="AD89" s="5"/>
      <c r="AE89" s="5"/>
      <c r="AF89" s="5"/>
      <c r="AG89" s="5"/>
    </row>
    <row r="90" spans="7:33">
      <c r="G90" s="5"/>
      <c r="H90" s="5"/>
      <c r="I90" s="5"/>
      <c r="J90" s="5"/>
      <c r="K90" s="5"/>
      <c r="L90" s="5"/>
      <c r="M90" s="5"/>
      <c r="N90" s="5"/>
      <c r="O90" s="5"/>
      <c r="P90" s="5"/>
      <c r="Q90" s="5"/>
      <c r="R90" s="5"/>
      <c r="S90" s="5"/>
      <c r="T90" s="5"/>
      <c r="U90" s="5"/>
      <c r="V90" s="5"/>
      <c r="W90" s="5"/>
      <c r="X90" s="5"/>
      <c r="Y90" s="5"/>
      <c r="Z90" s="5"/>
      <c r="AA90" s="5"/>
      <c r="AB90" s="5"/>
      <c r="AC90" s="5"/>
      <c r="AD90" s="5"/>
      <c r="AE90" s="5"/>
      <c r="AF90" s="5"/>
      <c r="AG90" s="5"/>
    </row>
    <row r="91" spans="7:33">
      <c r="G91" s="5"/>
      <c r="H91" s="5"/>
      <c r="I91" s="5"/>
      <c r="J91" s="5"/>
      <c r="K91" s="5"/>
      <c r="L91" s="5"/>
      <c r="M91" s="5"/>
      <c r="N91" s="5"/>
      <c r="O91" s="5"/>
      <c r="P91" s="5"/>
      <c r="Q91" s="5"/>
      <c r="R91" s="5"/>
      <c r="S91" s="5"/>
      <c r="T91" s="5"/>
      <c r="U91" s="5"/>
      <c r="V91" s="5"/>
      <c r="W91" s="5"/>
      <c r="X91" s="5"/>
      <c r="Y91" s="5"/>
      <c r="Z91" s="5"/>
      <c r="AA91" s="5"/>
      <c r="AB91" s="5"/>
      <c r="AC91" s="5"/>
      <c r="AD91" s="5"/>
      <c r="AE91" s="5"/>
      <c r="AF91" s="5"/>
      <c r="AG91" s="5"/>
    </row>
    <row r="92" spans="7:33">
      <c r="G92" s="5"/>
      <c r="H92" s="5"/>
      <c r="I92" s="5"/>
      <c r="J92" s="5"/>
      <c r="K92" s="5"/>
      <c r="L92" s="5"/>
      <c r="M92" s="5"/>
      <c r="N92" s="5"/>
      <c r="O92" s="5"/>
      <c r="P92" s="5"/>
      <c r="Q92" s="5"/>
      <c r="R92" s="5"/>
      <c r="S92" s="5"/>
      <c r="T92" s="5"/>
      <c r="U92" s="5"/>
      <c r="V92" s="5"/>
      <c r="W92" s="5"/>
      <c r="X92" s="5"/>
      <c r="Y92" s="5"/>
      <c r="Z92" s="5"/>
      <c r="AA92" s="5"/>
      <c r="AB92" s="5"/>
      <c r="AC92" s="5"/>
      <c r="AD92" s="5"/>
      <c r="AE92" s="5"/>
      <c r="AF92" s="5"/>
      <c r="AG92" s="5"/>
    </row>
    <row r="93" spans="7:33">
      <c r="G93" s="5"/>
      <c r="H93" s="5"/>
      <c r="I93" s="5"/>
      <c r="J93" s="5"/>
      <c r="K93" s="5"/>
      <c r="L93" s="5"/>
      <c r="M93" s="5"/>
      <c r="N93" s="5"/>
      <c r="O93" s="5"/>
      <c r="P93" s="5"/>
      <c r="Q93" s="5"/>
      <c r="R93" s="5"/>
      <c r="S93" s="5"/>
      <c r="T93" s="5"/>
      <c r="U93" s="5"/>
      <c r="V93" s="5"/>
      <c r="W93" s="5"/>
      <c r="X93" s="5"/>
      <c r="Y93" s="5"/>
      <c r="Z93" s="5"/>
      <c r="AA93" s="5"/>
      <c r="AB93" s="5"/>
      <c r="AC93" s="5"/>
      <c r="AD93" s="5"/>
      <c r="AE93" s="5"/>
      <c r="AF93" s="5"/>
      <c r="AG93" s="5"/>
    </row>
    <row r="94" spans="7:33">
      <c r="G94" s="5"/>
      <c r="H94" s="5"/>
      <c r="I94" s="5"/>
      <c r="J94" s="5"/>
      <c r="K94" s="5"/>
      <c r="L94" s="5"/>
      <c r="M94" s="5"/>
      <c r="N94" s="5"/>
      <c r="O94" s="5"/>
      <c r="P94" s="5"/>
      <c r="Q94" s="5"/>
      <c r="R94" s="5"/>
      <c r="S94" s="5"/>
      <c r="T94" s="5"/>
      <c r="U94" s="5"/>
      <c r="V94" s="5"/>
      <c r="W94" s="5"/>
      <c r="X94" s="5"/>
      <c r="Y94" s="5"/>
      <c r="Z94" s="5"/>
      <c r="AA94" s="5"/>
      <c r="AB94" s="5"/>
      <c r="AC94" s="5"/>
      <c r="AD94" s="5"/>
      <c r="AE94" s="5"/>
      <c r="AF94" s="5"/>
      <c r="AG94" s="5"/>
    </row>
    <row r="95" spans="7:33">
      <c r="G95" s="5"/>
      <c r="H95" s="5"/>
      <c r="I95" s="5"/>
      <c r="J95" s="5"/>
      <c r="K95" s="5"/>
      <c r="L95" s="5"/>
      <c r="M95" s="5"/>
      <c r="N95" s="5"/>
      <c r="O95" s="5"/>
      <c r="P95" s="5"/>
      <c r="Q95" s="5"/>
      <c r="R95" s="5"/>
      <c r="S95" s="5"/>
      <c r="T95" s="5"/>
      <c r="U95" s="5"/>
      <c r="V95" s="5"/>
      <c r="W95" s="5"/>
      <c r="X95" s="5"/>
      <c r="Y95" s="5"/>
      <c r="Z95" s="5"/>
      <c r="AA95" s="5"/>
      <c r="AB95" s="5"/>
      <c r="AC95" s="5"/>
      <c r="AD95" s="5"/>
      <c r="AE95" s="5"/>
      <c r="AF95" s="5"/>
      <c r="AG95" s="5"/>
    </row>
    <row r="96" spans="7:33">
      <c r="G96" s="5"/>
      <c r="H96" s="5"/>
      <c r="I96" s="5"/>
      <c r="J96" s="5"/>
      <c r="K96" s="5"/>
      <c r="L96" s="5"/>
      <c r="M96" s="5"/>
      <c r="N96" s="5"/>
      <c r="O96" s="5"/>
      <c r="P96" s="5"/>
      <c r="Q96" s="5"/>
      <c r="R96" s="5"/>
      <c r="S96" s="5"/>
      <c r="T96" s="5"/>
      <c r="U96" s="5"/>
      <c r="V96" s="5"/>
      <c r="W96" s="5"/>
      <c r="X96" s="5"/>
      <c r="Y96" s="5"/>
      <c r="Z96" s="5"/>
      <c r="AA96" s="5"/>
      <c r="AB96" s="5"/>
      <c r="AC96" s="5"/>
      <c r="AD96" s="5"/>
      <c r="AE96" s="5"/>
      <c r="AF96" s="5"/>
      <c r="AG96" s="5"/>
    </row>
    <row r="97" spans="7:33">
      <c r="G97" s="5"/>
      <c r="H97" s="5"/>
      <c r="I97" s="5"/>
      <c r="J97" s="5"/>
      <c r="K97" s="5"/>
      <c r="L97" s="5"/>
      <c r="M97" s="5"/>
      <c r="N97" s="5"/>
      <c r="O97" s="5"/>
      <c r="P97" s="5"/>
      <c r="Q97" s="5"/>
      <c r="R97" s="5"/>
      <c r="S97" s="5"/>
      <c r="T97" s="5"/>
      <c r="U97" s="5"/>
      <c r="V97" s="5"/>
      <c r="W97" s="5"/>
      <c r="X97" s="5"/>
      <c r="Y97" s="5"/>
      <c r="Z97" s="5"/>
      <c r="AA97" s="5"/>
      <c r="AB97" s="5"/>
      <c r="AC97" s="5"/>
      <c r="AD97" s="5"/>
      <c r="AE97" s="5"/>
      <c r="AF97" s="5"/>
      <c r="AG97" s="5"/>
    </row>
    <row r="98" spans="7:33">
      <c r="G98" s="5"/>
      <c r="H98" s="5"/>
      <c r="I98" s="5"/>
      <c r="J98" s="5"/>
      <c r="K98" s="5"/>
      <c r="L98" s="5"/>
      <c r="M98" s="5"/>
      <c r="N98" s="5"/>
      <c r="O98" s="5"/>
      <c r="P98" s="5"/>
      <c r="Q98" s="5"/>
      <c r="R98" s="5"/>
      <c r="S98" s="5"/>
      <c r="T98" s="5"/>
      <c r="U98" s="5"/>
      <c r="V98" s="5"/>
      <c r="W98" s="5"/>
      <c r="X98" s="5"/>
      <c r="Y98" s="5"/>
      <c r="Z98" s="5"/>
      <c r="AA98" s="5"/>
      <c r="AB98" s="5"/>
      <c r="AC98" s="5"/>
      <c r="AD98" s="5"/>
      <c r="AE98" s="5"/>
      <c r="AF98" s="5"/>
      <c r="AG98" s="5"/>
    </row>
    <row r="99" spans="7:33">
      <c r="G99" s="5"/>
      <c r="H99" s="5"/>
      <c r="I99" s="5"/>
      <c r="J99" s="5"/>
      <c r="K99" s="5"/>
      <c r="L99" s="5"/>
      <c r="M99" s="5"/>
      <c r="N99" s="5"/>
      <c r="O99" s="5"/>
      <c r="P99" s="5"/>
      <c r="Q99" s="5"/>
      <c r="R99" s="5"/>
      <c r="S99" s="5"/>
      <c r="T99" s="5"/>
      <c r="U99" s="5"/>
      <c r="V99" s="5"/>
      <c r="W99" s="5"/>
      <c r="X99" s="5"/>
      <c r="Y99" s="5"/>
      <c r="Z99" s="5"/>
      <c r="AA99" s="5"/>
      <c r="AB99" s="5"/>
      <c r="AC99" s="5"/>
      <c r="AD99" s="5"/>
      <c r="AE99" s="5"/>
      <c r="AF99" s="5"/>
      <c r="AG99" s="5"/>
    </row>
    <row r="100" spans="7:33">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c r="AG100" s="5"/>
    </row>
    <row r="101" spans="7:33">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c r="AG101" s="5"/>
    </row>
    <row r="102" spans="7:33">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c r="AG102" s="5"/>
    </row>
    <row r="103" spans="7:33">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row>
    <row r="104" spans="7:33">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row>
    <row r="105" spans="7:33">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row>
    <row r="106" spans="7:33">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c r="AG106" s="5"/>
    </row>
    <row r="107" spans="7:33">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c r="AG107" s="5"/>
    </row>
    <row r="108" spans="7:33">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c r="AG108" s="5"/>
    </row>
    <row r="109" spans="7:33">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row>
    <row r="110" spans="7:33">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row>
    <row r="111" spans="7:33">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row>
    <row r="112" spans="7:33">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row>
    <row r="113" spans="7:33">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row>
    <row r="114" spans="7:33">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c r="AG114" s="5"/>
    </row>
    <row r="115" spans="7:33">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c r="AG115" s="5"/>
    </row>
    <row r="116" spans="7:33">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c r="AG116" s="5"/>
    </row>
    <row r="117" spans="7:33">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row>
    <row r="118" spans="7:33">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row>
    <row r="119" spans="7:33">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row>
    <row r="120" spans="7:33">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row>
    <row r="121" spans="7:33">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row>
    <row r="122" spans="7:33">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row>
    <row r="123" spans="7:33">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row>
    <row r="124" spans="7:33">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c r="AG124" s="5"/>
    </row>
    <row r="125" spans="7:33">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c r="AG125" s="5"/>
    </row>
    <row r="126" spans="7:33">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row>
  </sheetData>
  <mergeCells count="146">
    <mergeCell ref="O39:P39"/>
    <mergeCell ref="S15:S16"/>
    <mergeCell ref="T15:T16"/>
    <mergeCell ref="U41:W44"/>
    <mergeCell ref="H34:J34"/>
    <mergeCell ref="H35:J35"/>
    <mergeCell ref="H32:J32"/>
    <mergeCell ref="H33:J33"/>
    <mergeCell ref="M32:N32"/>
    <mergeCell ref="M33:N33"/>
    <mergeCell ref="M34:N34"/>
    <mergeCell ref="M35:N35"/>
    <mergeCell ref="H39:J39"/>
    <mergeCell ref="H36:J36"/>
    <mergeCell ref="H37:J37"/>
    <mergeCell ref="M36:N36"/>
    <mergeCell ref="M37:N37"/>
    <mergeCell ref="M38:N38"/>
    <mergeCell ref="M39:N39"/>
    <mergeCell ref="H27:J27"/>
    <mergeCell ref="H24:J24"/>
    <mergeCell ref="H25:J25"/>
    <mergeCell ref="H30:J30"/>
    <mergeCell ref="H31:J31"/>
    <mergeCell ref="H28:J28"/>
    <mergeCell ref="H29:J29"/>
    <mergeCell ref="M28:N28"/>
    <mergeCell ref="M29:N29"/>
    <mergeCell ref="M30:N30"/>
    <mergeCell ref="M31:N31"/>
    <mergeCell ref="H65:J65"/>
    <mergeCell ref="H66:J66"/>
    <mergeCell ref="H67:J67"/>
    <mergeCell ref="K38:L38"/>
    <mergeCell ref="K39:L39"/>
    <mergeCell ref="K40:L40"/>
    <mergeCell ref="R50:R51"/>
    <mergeCell ref="L46:L47"/>
    <mergeCell ref="M46:M47"/>
    <mergeCell ref="N46:N47"/>
    <mergeCell ref="O46:O47"/>
    <mergeCell ref="P46:P47"/>
    <mergeCell ref="L48:L49"/>
    <mergeCell ref="N48:N49"/>
    <mergeCell ref="O48:O49"/>
    <mergeCell ref="P48:P49"/>
    <mergeCell ref="L50:L51"/>
    <mergeCell ref="M50:M51"/>
    <mergeCell ref="N50:N51"/>
    <mergeCell ref="O50:O51"/>
    <mergeCell ref="P50:P51"/>
    <mergeCell ref="Q50:Q51"/>
    <mergeCell ref="R15:R16"/>
    <mergeCell ref="H40:J40"/>
    <mergeCell ref="K17:L17"/>
    <mergeCell ref="M13:N16"/>
    <mergeCell ref="M17:N17"/>
    <mergeCell ref="M18:N18"/>
    <mergeCell ref="M19:N19"/>
    <mergeCell ref="M20:N20"/>
    <mergeCell ref="M21:N21"/>
    <mergeCell ref="M22:N22"/>
    <mergeCell ref="M23:N23"/>
    <mergeCell ref="M24:N24"/>
    <mergeCell ref="M25:N25"/>
    <mergeCell ref="M26:N26"/>
    <mergeCell ref="M27:N27"/>
    <mergeCell ref="H18:J18"/>
    <mergeCell ref="H19:J19"/>
    <mergeCell ref="H15:J17"/>
    <mergeCell ref="K13:L16"/>
    <mergeCell ref="H22:J22"/>
    <mergeCell ref="H23:J23"/>
    <mergeCell ref="H20:J20"/>
    <mergeCell ref="H21:J21"/>
    <mergeCell ref="H26:J26"/>
    <mergeCell ref="H69:J69"/>
    <mergeCell ref="H70:J70"/>
    <mergeCell ref="H71:J71"/>
    <mergeCell ref="H72:J72"/>
    <mergeCell ref="K46:K47"/>
    <mergeCell ref="K48:K49"/>
    <mergeCell ref="K50:K51"/>
    <mergeCell ref="H46:J51"/>
    <mergeCell ref="H52:J52"/>
    <mergeCell ref="H53:J53"/>
    <mergeCell ref="H54:J54"/>
    <mergeCell ref="H55:J55"/>
    <mergeCell ref="H56:J56"/>
    <mergeCell ref="H57:J57"/>
    <mergeCell ref="H58:J58"/>
    <mergeCell ref="H59:J59"/>
    <mergeCell ref="H60:J60"/>
    <mergeCell ref="H61:J61"/>
    <mergeCell ref="H62:J62"/>
    <mergeCell ref="H63:J63"/>
    <mergeCell ref="H64:J64"/>
    <mergeCell ref="H68:J68"/>
    <mergeCell ref="O36:P36"/>
    <mergeCell ref="O37:P37"/>
    <mergeCell ref="O38:P38"/>
    <mergeCell ref="H74:J74"/>
    <mergeCell ref="K18:L18"/>
    <mergeCell ref="K19:L19"/>
    <mergeCell ref="K20:L20"/>
    <mergeCell ref="K21:L21"/>
    <mergeCell ref="K22:L22"/>
    <mergeCell ref="K23:L23"/>
    <mergeCell ref="K24:L24"/>
    <mergeCell ref="K25:L25"/>
    <mergeCell ref="K26:L26"/>
    <mergeCell ref="K27:L27"/>
    <mergeCell ref="K28:L28"/>
    <mergeCell ref="K29:L29"/>
    <mergeCell ref="K30:L30"/>
    <mergeCell ref="K31:L31"/>
    <mergeCell ref="K32:L32"/>
    <mergeCell ref="K33:L33"/>
    <mergeCell ref="K34:L34"/>
    <mergeCell ref="K35:L35"/>
    <mergeCell ref="K36:L36"/>
    <mergeCell ref="K37:L37"/>
    <mergeCell ref="O40:P40"/>
    <mergeCell ref="Q13:Q16"/>
    <mergeCell ref="H82:J82"/>
    <mergeCell ref="M40:N40"/>
    <mergeCell ref="O17:P17"/>
    <mergeCell ref="O13:P16"/>
    <mergeCell ref="O18:P18"/>
    <mergeCell ref="O19:P19"/>
    <mergeCell ref="O20:P20"/>
    <mergeCell ref="O21:P21"/>
    <mergeCell ref="O22:P22"/>
    <mergeCell ref="O23:P23"/>
    <mergeCell ref="O24:P24"/>
    <mergeCell ref="O25:P25"/>
    <mergeCell ref="O26:P26"/>
    <mergeCell ref="O27:P27"/>
    <mergeCell ref="O28:P28"/>
    <mergeCell ref="O29:P29"/>
    <mergeCell ref="O30:P30"/>
    <mergeCell ref="O31:P31"/>
    <mergeCell ref="O32:P32"/>
    <mergeCell ref="O33:P33"/>
    <mergeCell ref="O34:P34"/>
    <mergeCell ref="O35:P35"/>
  </mergeCells>
  <pageMargins left="0.7" right="0.7" top="0.75" bottom="0.75" header="0.3" footer="0.3"/>
  <pageSetup paperSize="9" orientation="portrait"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EC8C20-910C-4FF3-977E-64A2B67D99E2}">
  <sheetPr codeName="Feuil21"/>
  <dimension ref="C8:J19"/>
  <sheetViews>
    <sheetView workbookViewId="0">
      <selection activeCell="L15" sqref="L15"/>
    </sheetView>
  </sheetViews>
  <sheetFormatPr baseColWidth="10" defaultColWidth="11" defaultRowHeight="15.75"/>
  <sheetData>
    <row r="8" spans="3:10">
      <c r="C8" s="646"/>
      <c r="D8" s="646"/>
      <c r="E8" s="646"/>
      <c r="F8" s="646"/>
      <c r="G8" s="646"/>
      <c r="H8" s="646"/>
      <c r="I8" s="646"/>
      <c r="J8" s="646"/>
    </row>
    <row r="9" spans="3:10">
      <c r="C9" s="641"/>
      <c r="D9" s="641"/>
      <c r="E9" s="641"/>
      <c r="F9" s="641"/>
      <c r="G9" s="641"/>
      <c r="H9" s="641"/>
      <c r="I9" s="641"/>
      <c r="J9" s="641"/>
    </row>
    <row r="10" spans="3:10">
      <c r="C10" s="641"/>
      <c r="D10" s="641"/>
      <c r="E10" s="641"/>
      <c r="F10" s="641"/>
      <c r="G10" s="641"/>
      <c r="H10" s="641"/>
      <c r="I10" s="641"/>
      <c r="J10" s="641"/>
    </row>
    <row r="11" spans="3:10">
      <c r="C11" s="641"/>
      <c r="D11" s="1403" t="s">
        <v>759</v>
      </c>
      <c r="E11" s="1403"/>
      <c r="F11" s="1403"/>
      <c r="G11" s="1404" t="s">
        <v>760</v>
      </c>
      <c r="H11" s="1404"/>
      <c r="I11" s="1404"/>
      <c r="J11" s="641"/>
    </row>
    <row r="12" spans="3:10">
      <c r="C12" s="641"/>
      <c r="D12" s="1405" t="s">
        <v>761</v>
      </c>
      <c r="E12" s="1405"/>
      <c r="F12" s="649"/>
      <c r="G12" s="1398" t="s">
        <v>761</v>
      </c>
      <c r="H12" s="1398"/>
      <c r="I12" s="649"/>
      <c r="J12" s="641"/>
    </row>
    <row r="13" spans="3:10">
      <c r="C13" s="641"/>
      <c r="D13" s="1406" t="s">
        <v>102</v>
      </c>
      <c r="E13" s="1406"/>
      <c r="F13" s="651">
        <f>'Charge therm. total'!E30</f>
        <v>11442.941828738316</v>
      </c>
      <c r="G13" s="1386" t="s">
        <v>762</v>
      </c>
      <c r="H13" s="1386"/>
      <c r="I13" s="711">
        <f>'TOT APPORT DEPERD'!M39</f>
        <v>18708.9916505281</v>
      </c>
      <c r="J13" s="641"/>
    </row>
    <row r="14" spans="3:10">
      <c r="C14" s="641"/>
      <c r="D14" s="1406"/>
      <c r="E14" s="1406"/>
      <c r="F14" s="645"/>
      <c r="G14" s="1386" t="s">
        <v>763</v>
      </c>
      <c r="H14" s="1386"/>
      <c r="I14" s="644">
        <f>+'TOT APPORT DEPERD'!K39</f>
        <v>11987.66898495301</v>
      </c>
      <c r="J14" s="641"/>
    </row>
    <row r="15" spans="3:10">
      <c r="C15" s="641"/>
      <c r="D15" s="1406" t="s">
        <v>764</v>
      </c>
      <c r="E15" s="1406"/>
      <c r="F15" s="651">
        <f>'Charge therm. total'!F30</f>
        <v>14880.271020000002</v>
      </c>
      <c r="G15" s="1386" t="s">
        <v>765</v>
      </c>
      <c r="H15" s="1386"/>
      <c r="I15" s="652">
        <f>'TRANS PAROI VITREE'!V26</f>
        <v>11800.061076375001</v>
      </c>
      <c r="J15" s="641"/>
    </row>
    <row r="16" spans="3:10">
      <c r="C16" s="641"/>
      <c r="D16" s="1406" t="s">
        <v>656</v>
      </c>
      <c r="E16" s="1406"/>
      <c r="F16" s="645">
        <f>'(Surpuissance de relance)'!H34</f>
        <v>9952.043015209123</v>
      </c>
      <c r="G16" s="1386" t="s">
        <v>766</v>
      </c>
      <c r="H16" s="1386"/>
      <c r="I16" s="644">
        <f>'TRANS PAROIS OPAQUE'!M22</f>
        <v>191.41209232800909</v>
      </c>
      <c r="J16" s="641"/>
    </row>
    <row r="17" spans="3:10">
      <c r="C17" s="641"/>
      <c r="D17" s="1407" t="s">
        <v>71</v>
      </c>
      <c r="E17" s="1407"/>
      <c r="F17" s="653">
        <f>SUM(F13:F16)</f>
        <v>36275.255863947437</v>
      </c>
      <c r="G17" s="1408" t="s">
        <v>71</v>
      </c>
      <c r="H17" s="1408"/>
      <c r="I17" s="712">
        <f>SUM(I13:I14)</f>
        <v>30696.660635481108</v>
      </c>
      <c r="J17" s="641"/>
    </row>
    <row r="18" spans="3:10">
      <c r="C18" s="641"/>
      <c r="D18" s="641"/>
      <c r="E18" s="641"/>
      <c r="F18" s="641"/>
      <c r="G18" s="641"/>
      <c r="H18" s="641"/>
      <c r="I18" s="641"/>
      <c r="J18" s="641"/>
    </row>
    <row r="19" spans="3:10">
      <c r="C19" s="641"/>
      <c r="D19" s="641"/>
      <c r="E19" s="641"/>
      <c r="F19" s="641"/>
      <c r="G19" s="641"/>
      <c r="H19" s="641"/>
      <c r="I19" s="641"/>
      <c r="J19" s="641"/>
    </row>
  </sheetData>
  <mergeCells count="14">
    <mergeCell ref="D17:E17"/>
    <mergeCell ref="G17:H17"/>
    <mergeCell ref="D14:E14"/>
    <mergeCell ref="G14:H14"/>
    <mergeCell ref="D15:E15"/>
    <mergeCell ref="G15:H15"/>
    <mergeCell ref="D16:E16"/>
    <mergeCell ref="G16:H16"/>
    <mergeCell ref="D11:F11"/>
    <mergeCell ref="G11:I11"/>
    <mergeCell ref="D12:E12"/>
    <mergeCell ref="G12:H12"/>
    <mergeCell ref="D13:E13"/>
    <mergeCell ref="G13:H13"/>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ffb3005a-d88d-4137-b6fc-c3800909cdc2"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0CAEB511A502B64B83D72C846DEDE29B" ma:contentTypeVersion="16" ma:contentTypeDescription="Crée un document." ma:contentTypeScope="" ma:versionID="6b45bd3708a7eeafdeda416c1d5e98b6">
  <xsd:schema xmlns:xsd="http://www.w3.org/2001/XMLSchema" xmlns:xs="http://www.w3.org/2001/XMLSchema" xmlns:p="http://schemas.microsoft.com/office/2006/metadata/properties" xmlns:ns3="ffb3005a-d88d-4137-b6fc-c3800909cdc2" xmlns:ns4="a8be9f96-bcb7-4872-83da-6a2f2af0a875" targetNamespace="http://schemas.microsoft.com/office/2006/metadata/properties" ma:root="true" ma:fieldsID="548bcf4372283f5916bdc6b51665e516" ns3:_="" ns4:_="">
    <xsd:import namespace="ffb3005a-d88d-4137-b6fc-c3800909cdc2"/>
    <xsd:import namespace="a8be9f96-bcb7-4872-83da-6a2f2af0a875"/>
    <xsd:element name="properties">
      <xsd:complexType>
        <xsd:sequence>
          <xsd:element name="documentManagement">
            <xsd:complexType>
              <xsd:all>
                <xsd:element ref="ns3:MediaServiceMetadata" minOccurs="0"/>
                <xsd:element ref="ns3:MediaServiceFastMetadata" minOccurs="0"/>
                <xsd:element ref="ns3:MediaServiceDateTaken" minOccurs="0"/>
                <xsd:element ref="ns3:MediaServiceObjectDetectorVersions" minOccurs="0"/>
                <xsd:element ref="ns3:MediaServiceAutoTags" minOccurs="0"/>
                <xsd:element ref="ns3:MediaServiceOCR" minOccurs="0"/>
                <xsd:element ref="ns3:MediaServiceGenerationTime" minOccurs="0"/>
                <xsd:element ref="ns3:MediaServiceEventHashCode" minOccurs="0"/>
                <xsd:element ref="ns3:MediaServiceSystemTags" minOccurs="0"/>
                <xsd:element ref="ns3:MediaServiceLocation" minOccurs="0"/>
                <xsd:element ref="ns3:MediaLengthInSeconds" minOccurs="0"/>
                <xsd:element ref="ns3:_activity" minOccurs="0"/>
                <xsd:element ref="ns4:SharedWithUsers" minOccurs="0"/>
                <xsd:element ref="ns4:SharedWithDetails" minOccurs="0"/>
                <xsd:element ref="ns4:SharingHintHash"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fb3005a-d88d-4137-b6fc-c3800909cdc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SystemTags" ma:index="16" nillable="true" ma:displayName="MediaServiceSystemTags" ma:hidden="true" ma:internalName="MediaServiceSystemTags" ma:readOnly="true">
      <xsd:simpleType>
        <xsd:restriction base="dms:Note"/>
      </xsd:simpleType>
    </xsd:element>
    <xsd:element name="MediaServiceLocation" ma:index="17" nillable="true" ma:displayName="Location" ma:indexed="true" ma:internalName="MediaServiceLocation"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_activity" ma:index="19" nillable="true" ma:displayName="_activity" ma:hidden="true" ma:internalName="_activity">
      <xsd:simpleType>
        <xsd:restriction base="dms:Note"/>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8be9f96-bcb7-4872-83da-6a2f2af0a875" elementFormDefault="qualified">
    <xsd:import namespace="http://schemas.microsoft.com/office/2006/documentManagement/types"/>
    <xsd:import namespace="http://schemas.microsoft.com/office/infopath/2007/PartnerControls"/>
    <xsd:element name="SharedWithUsers" ma:index="20"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Partagé avec détails" ma:internalName="SharedWithDetails" ma:readOnly="true">
      <xsd:simpleType>
        <xsd:restriction base="dms:Note">
          <xsd:maxLength value="255"/>
        </xsd:restriction>
      </xsd:simpleType>
    </xsd:element>
    <xsd:element name="SharingHintHash" ma:index="22" nillable="true" ma:displayName="Partage du hachage d’indicateur"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3ABCCA5-DD06-4808-AA22-811309AEE380}">
  <ds:schemaRefs>
    <ds:schemaRef ds:uri="http://purl.org/dc/terms/"/>
    <ds:schemaRef ds:uri="http://purl.org/dc/elements/1.1/"/>
    <ds:schemaRef ds:uri="http://www.w3.org/XML/1998/namespace"/>
    <ds:schemaRef ds:uri="ffb3005a-d88d-4137-b6fc-c3800909cdc2"/>
    <ds:schemaRef ds:uri="http://schemas.microsoft.com/office/2006/metadata/properties"/>
    <ds:schemaRef ds:uri="http://schemas.microsoft.com/office/2006/documentManagement/types"/>
    <ds:schemaRef ds:uri="http://purl.org/dc/dcmitype/"/>
    <ds:schemaRef ds:uri="http://schemas.microsoft.com/office/infopath/2007/PartnerControls"/>
    <ds:schemaRef ds:uri="http://schemas.openxmlformats.org/package/2006/metadata/core-properties"/>
    <ds:schemaRef ds:uri="a8be9f96-bcb7-4872-83da-6a2f2af0a875"/>
  </ds:schemaRefs>
</ds:datastoreItem>
</file>

<file path=customXml/itemProps2.xml><?xml version="1.0" encoding="utf-8"?>
<ds:datastoreItem xmlns:ds="http://schemas.openxmlformats.org/officeDocument/2006/customXml" ds:itemID="{3F4E5BCB-9545-4A99-965D-23EB3D6A65CF}">
  <ds:schemaRefs>
    <ds:schemaRef ds:uri="http://schemas.microsoft.com/sharepoint/v3/contenttype/forms"/>
  </ds:schemaRefs>
</ds:datastoreItem>
</file>

<file path=customXml/itemProps3.xml><?xml version="1.0" encoding="utf-8"?>
<ds:datastoreItem xmlns:ds="http://schemas.openxmlformats.org/officeDocument/2006/customXml" ds:itemID="{266C4305-4BEE-44AF-99DF-59C675B453C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fb3005a-d88d-4137-b6fc-c3800909cdc2"/>
    <ds:schemaRef ds:uri="a8be9f96-bcb7-4872-83da-6a2f2af0a87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Feuilles de calcul</vt:lpstr>
      </vt:variant>
      <vt:variant>
        <vt:i4>21</vt:i4>
      </vt:variant>
    </vt:vector>
  </HeadingPairs>
  <TitlesOfParts>
    <vt:vector size="21" baseType="lpstr">
      <vt:lpstr>Données</vt:lpstr>
      <vt:lpstr>Parois</vt:lpstr>
      <vt:lpstr>Entrée (1)</vt:lpstr>
      <vt:lpstr>Distrib et Approv</vt:lpstr>
      <vt:lpstr>Escalier (1)</vt:lpstr>
      <vt:lpstr>Trappe (2)</vt:lpstr>
      <vt:lpstr>Coffre-fort (1)</vt:lpstr>
      <vt:lpstr>Bureau (5)</vt:lpstr>
      <vt:lpstr>Couloir (1)</vt:lpstr>
      <vt:lpstr>Salle d'attente (1)</vt:lpstr>
      <vt:lpstr>SDR (3)</vt:lpstr>
      <vt:lpstr>WC (4)</vt:lpstr>
      <vt:lpstr>Renouvellement d'air</vt:lpstr>
      <vt:lpstr>(Surpuissance de relance)</vt:lpstr>
      <vt:lpstr>Charge therm. total</vt:lpstr>
      <vt:lpstr>TRANS PAROIS OPAQUE</vt:lpstr>
      <vt:lpstr>TRANS PAROI VITREE</vt:lpstr>
      <vt:lpstr>APPORT EXTERNE TOT</vt:lpstr>
      <vt:lpstr>APPORT INTERNE</vt:lpstr>
      <vt:lpstr>TOT APPORT DEPERD</vt:lpstr>
      <vt:lpstr>TOT TOT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Walid Abdelkhalek</cp:lastModifiedBy>
  <cp:revision/>
  <dcterms:created xsi:type="dcterms:W3CDTF">2024-09-19T09:56:39Z</dcterms:created>
  <dcterms:modified xsi:type="dcterms:W3CDTF">2026-09-03T17:26:29Z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0x0101000CAEB511A502B64B83D72C846DEDE29B</vt:lpwstr>
  </property>
</Properties>
</file>