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UEDA\"/>
    </mc:Choice>
  </mc:AlternateContent>
  <bookViews>
    <workbookView xWindow="0" yWindow="0" windowWidth="13584" windowHeight="5772"/>
  </bookViews>
  <sheets>
    <sheet name="RENT+OPERATIO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6" i="1" l="1"/>
  <c r="AA26" i="1" l="1"/>
  <c r="AA14" i="1"/>
  <c r="AA22" i="1"/>
  <c r="Y33" i="1" l="1"/>
  <c r="Y14" i="1"/>
  <c r="AE32" i="1"/>
  <c r="AE31" i="1"/>
  <c r="AE30" i="1"/>
  <c r="AE29" i="1"/>
  <c r="AE28" i="1"/>
  <c r="AE27" i="1"/>
  <c r="AE25" i="1"/>
  <c r="AE24" i="1"/>
  <c r="AE23" i="1"/>
  <c r="AE21" i="1"/>
  <c r="AE20" i="1"/>
  <c r="AE19" i="1"/>
  <c r="AE17" i="1"/>
  <c r="AE15" i="1"/>
  <c r="AE12" i="1"/>
  <c r="AE18" i="1"/>
  <c r="AD18" i="1"/>
  <c r="Y18" i="1"/>
  <c r="Y21" i="1"/>
  <c r="U21" i="1"/>
  <c r="J47" i="1" l="1"/>
  <c r="U38" i="1"/>
  <c r="W33" i="1"/>
  <c r="E33" i="1" l="1"/>
  <c r="E32" i="1"/>
  <c r="K47" i="1"/>
  <c r="F56" i="1"/>
  <c r="F58" i="1"/>
  <c r="D58" i="1"/>
  <c r="E58" i="1"/>
  <c r="W14" i="1"/>
  <c r="W28" i="1"/>
  <c r="W21" i="1"/>
  <c r="W13" i="1"/>
  <c r="P51" i="1"/>
  <c r="O51" i="1"/>
  <c r="K48" i="1"/>
  <c r="J48" i="1"/>
  <c r="M51" i="1"/>
  <c r="I50" i="1"/>
  <c r="D50" i="1"/>
  <c r="J50" i="1"/>
  <c r="M50" i="1"/>
  <c r="I55" i="1" l="1"/>
  <c r="H55" i="1"/>
  <c r="G55" i="1"/>
  <c r="D33" i="1" l="1"/>
  <c r="D32" i="1"/>
  <c r="D31" i="1"/>
  <c r="E31" i="1"/>
  <c r="AD30" i="1"/>
  <c r="AD22" i="1"/>
  <c r="AE22" i="1" s="1"/>
  <c r="U14" i="1" l="1"/>
  <c r="S21" i="1"/>
  <c r="AD21" i="1"/>
  <c r="AD14" i="1"/>
  <c r="AE14" i="1" s="1"/>
  <c r="G37" i="1" l="1"/>
  <c r="M32" i="1"/>
  <c r="K32" i="1"/>
  <c r="K38" i="1"/>
  <c r="M28" i="1"/>
  <c r="O28" i="1"/>
  <c r="S14" i="1"/>
  <c r="Q14" i="1"/>
  <c r="G14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C39" i="1" l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D39" i="1"/>
  <c r="C39" i="1"/>
  <c r="C34" i="1"/>
  <c r="D34" i="1"/>
  <c r="G34" i="1"/>
  <c r="D51" i="1" s="1"/>
  <c r="H34" i="1"/>
  <c r="I34" i="1"/>
  <c r="E51" i="1" s="1"/>
  <c r="J34" i="1"/>
  <c r="K34" i="1"/>
  <c r="F51" i="1" s="1"/>
  <c r="L34" i="1"/>
  <c r="M34" i="1"/>
  <c r="G51" i="1" s="1"/>
  <c r="N34" i="1"/>
  <c r="O34" i="1"/>
  <c r="H51" i="1" s="1"/>
  <c r="P34" i="1"/>
  <c r="Q34" i="1"/>
  <c r="I51" i="1" s="1"/>
  <c r="R34" i="1"/>
  <c r="S34" i="1"/>
  <c r="T34" i="1"/>
  <c r="U34" i="1"/>
  <c r="V34" i="1"/>
  <c r="W34" i="1"/>
  <c r="I52" i="1" s="1"/>
  <c r="J52" i="1" s="1"/>
  <c r="X34" i="1"/>
  <c r="Y34" i="1"/>
  <c r="Z34" i="1"/>
  <c r="AB34" i="1"/>
  <c r="AC34" i="1"/>
  <c r="G38" i="1"/>
  <c r="H50" i="1"/>
  <c r="G50" i="1"/>
  <c r="F50" i="1"/>
  <c r="E50" i="1"/>
  <c r="J51" i="1" l="1"/>
  <c r="L51" i="1" s="1"/>
  <c r="L50" i="1"/>
  <c r="AD33" i="1"/>
  <c r="AE33" i="1" s="1"/>
  <c r="AD38" i="1"/>
  <c r="AD37" i="1"/>
  <c r="AD36" i="1"/>
  <c r="AD32" i="1"/>
  <c r="AD31" i="1"/>
  <c r="AD29" i="1"/>
  <c r="AD28" i="1"/>
  <c r="AD27" i="1"/>
  <c r="AD26" i="1"/>
  <c r="AE26" i="1" s="1"/>
  <c r="AD25" i="1"/>
  <c r="AD24" i="1"/>
  <c r="AD23" i="1"/>
  <c r="AD20" i="1"/>
  <c r="AD19" i="1"/>
  <c r="AD17" i="1"/>
  <c r="AD16" i="1"/>
  <c r="AE16" i="1" s="1"/>
  <c r="AD15" i="1"/>
  <c r="AD13" i="1"/>
  <c r="AE13" i="1" s="1"/>
  <c r="AD12" i="1"/>
  <c r="O14" i="1"/>
  <c r="M14" i="1"/>
  <c r="K14" i="1"/>
  <c r="I14" i="1"/>
  <c r="E12" i="1"/>
  <c r="O21" i="1"/>
  <c r="E38" i="1"/>
  <c r="E37" i="1"/>
  <c r="E36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3" i="1"/>
  <c r="F33" i="1" l="1"/>
  <c r="F34" i="1" s="1"/>
  <c r="E34" i="1"/>
  <c r="AD34" i="1"/>
  <c r="AD39" i="1"/>
  <c r="E39" i="1"/>
  <c r="O13" i="1"/>
  <c r="K21" i="1" l="1"/>
  <c r="F46" i="1" l="1"/>
  <c r="F47" i="1"/>
  <c r="AE38" i="1" l="1"/>
  <c r="AE37" i="1"/>
  <c r="AE36" i="1"/>
  <c r="AE39" i="1" l="1"/>
  <c r="AE34" i="1"/>
  <c r="AF34" i="1" s="1"/>
  <c r="X38" i="1"/>
  <c r="X37" i="1"/>
  <c r="X36" i="1"/>
  <c r="Z38" i="1"/>
  <c r="Z37" i="1"/>
  <c r="Z36" i="1"/>
  <c r="AB38" i="1"/>
  <c r="AB37" i="1"/>
  <c r="AB36" i="1"/>
  <c r="V38" i="1"/>
  <c r="V37" i="1"/>
  <c r="V36" i="1"/>
  <c r="T38" i="1"/>
  <c r="T37" i="1"/>
  <c r="T36" i="1"/>
  <c r="R38" i="1"/>
  <c r="R37" i="1"/>
  <c r="R36" i="1"/>
  <c r="P38" i="1"/>
  <c r="P37" i="1"/>
  <c r="P36" i="1"/>
  <c r="F38" i="1"/>
  <c r="F37" i="1"/>
  <c r="F36" i="1" l="1"/>
  <c r="F32" i="1"/>
  <c r="F31" i="1"/>
  <c r="F30" i="1"/>
  <c r="F29" i="1"/>
  <c r="F28" i="1"/>
  <c r="F27" i="1"/>
  <c r="F23" i="1"/>
  <c r="F22" i="1"/>
  <c r="F21" i="1"/>
  <c r="F20" i="1"/>
  <c r="F19" i="1"/>
  <c r="F18" i="1"/>
  <c r="F17" i="1"/>
  <c r="F16" i="1"/>
  <c r="F15" i="1"/>
  <c r="F14" i="1"/>
  <c r="F13" i="1"/>
</calcChain>
</file>

<file path=xl/comments1.xml><?xml version="1.0" encoding="utf-8"?>
<comments xmlns="http://schemas.openxmlformats.org/spreadsheetml/2006/main">
  <authors>
    <author>Sphamandla Dlamini</author>
  </authors>
  <commentList>
    <comment ref="O21" authorId="0" shapeId="0">
      <text>
        <r>
          <rPr>
            <b/>
            <sz val="9"/>
            <color indexed="81"/>
            <rFont val="Tahoma"/>
            <family val="2"/>
          </rPr>
          <t>Sphamandla Dlamini:</t>
        </r>
        <r>
          <rPr>
            <sz val="9"/>
            <color indexed="81"/>
            <rFont val="Tahoma"/>
            <family val="2"/>
          </rPr>
          <t xml:space="preserve">
Rev. Nduli was paid R2000 extra. Total payment should have been R409 419.16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Sphamandla Dlamini:</t>
        </r>
        <r>
          <rPr>
            <sz val="9"/>
            <color indexed="81"/>
            <rFont val="Tahoma"/>
            <family val="2"/>
          </rPr>
          <t xml:space="preserve">
R841.40 for water cunsumed in June 2020.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</rPr>
          <t>Sphamandla Dlamini:</t>
        </r>
        <r>
          <rPr>
            <sz val="9"/>
            <color indexed="81"/>
            <rFont val="Tahoma"/>
            <family val="2"/>
          </rPr>
          <t xml:space="preserve">
Account on credit!!</t>
        </r>
      </text>
    </comment>
    <comment ref="D50" authorId="0" shapeId="0">
      <text>
        <r>
          <rPr>
            <b/>
            <sz val="9"/>
            <color indexed="81"/>
            <rFont val="Tahoma"/>
            <family val="2"/>
          </rPr>
          <t>Sphamandla Dlamini:</t>
        </r>
        <r>
          <rPr>
            <sz val="9"/>
            <color indexed="81"/>
            <rFont val="Tahoma"/>
            <family val="2"/>
          </rPr>
          <t xml:space="preserve">
Arrears under new lease also had been paid, R252954.28</t>
        </r>
      </text>
    </comment>
    <comment ref="N50" authorId="0" shapeId="0">
      <text>
        <r>
          <rPr>
            <b/>
            <sz val="9"/>
            <color indexed="81"/>
            <rFont val="Tahoma"/>
            <family val="2"/>
          </rPr>
          <t>Sphamandla Dlamini:</t>
        </r>
        <r>
          <rPr>
            <sz val="9"/>
            <color indexed="81"/>
            <rFont val="Tahoma"/>
            <family val="2"/>
          </rPr>
          <t xml:space="preserve">
Paid in July 2020, in full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</rPr>
          <t>Sphamandla Dlamini:</t>
        </r>
        <r>
          <rPr>
            <sz val="9"/>
            <color indexed="81"/>
            <rFont val="Tahoma"/>
            <family val="2"/>
          </rPr>
          <t xml:space="preserve">
Arrears under new lease also had been paid, R252954.28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Sphamandla Dlamini:</t>
        </r>
        <r>
          <rPr>
            <sz val="9"/>
            <color indexed="81"/>
            <rFont val="Tahoma"/>
            <family val="2"/>
          </rPr>
          <t xml:space="preserve">
Arrears under new lease also had been paid, R252954.28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Sphamandla Dlamini:</t>
        </r>
        <r>
          <rPr>
            <sz val="9"/>
            <color indexed="81"/>
            <rFont val="Tahoma"/>
            <family val="2"/>
          </rPr>
          <t xml:space="preserve">
Arrears under new lease also had been paid, R252954.28</t>
        </r>
      </text>
    </comment>
  </commentList>
</comments>
</file>

<file path=xl/sharedStrings.xml><?xml version="1.0" encoding="utf-8"?>
<sst xmlns="http://schemas.openxmlformats.org/spreadsheetml/2006/main" count="149" uniqueCount="106">
  <si>
    <t>LINE ITEM</t>
  </si>
  <si>
    <t>DESCRIPTION</t>
  </si>
  <si>
    <t>Advertising &amp; Marketing</t>
  </si>
  <si>
    <t>Bank charges</t>
  </si>
  <si>
    <t>Banking monthly charges</t>
  </si>
  <si>
    <t>Telephone/Cell phone and Fax</t>
  </si>
  <si>
    <t>Communication and administration expenses</t>
  </si>
  <si>
    <t>Printing and Stationery</t>
  </si>
  <si>
    <t>Depreciation</t>
  </si>
  <si>
    <t>Wear and Tear allowances</t>
  </si>
  <si>
    <t>Repairs &amp; Maintenance</t>
  </si>
  <si>
    <t>Cleaning Material</t>
  </si>
  <si>
    <t>The office cleaning material</t>
  </si>
  <si>
    <t>Vehicle Licencing &amp; Registration</t>
  </si>
  <si>
    <t>DDA to register vehicles and renew registration</t>
  </si>
  <si>
    <t>Board Allowances &amp; Emoluments</t>
  </si>
  <si>
    <t>Board members to be paid fees and allowances</t>
  </si>
  <si>
    <t>Capacity building &amp; Training</t>
  </si>
  <si>
    <t>On-job training of staff is pivotal</t>
  </si>
  <si>
    <t>Subsistence and Travelling expenses</t>
  </si>
  <si>
    <t>Travel-Local &amp; marketing</t>
  </si>
  <si>
    <t>Marketing expenses incurred locally</t>
  </si>
  <si>
    <t>Travel-Intern. &amp; Marketing</t>
  </si>
  <si>
    <t>International travelling for promotional reasons</t>
  </si>
  <si>
    <t>Conferences &amp; Seminars</t>
  </si>
  <si>
    <t>Insurance expenses</t>
  </si>
  <si>
    <t>Assets to be insured, vehicles</t>
  </si>
  <si>
    <t>Consumables</t>
  </si>
  <si>
    <t>Office running facilities</t>
  </si>
  <si>
    <t>Fuel, Oil and other</t>
  </si>
  <si>
    <t>Motor vehicle expenses</t>
  </si>
  <si>
    <t>IT Software-Capex</t>
  </si>
  <si>
    <t>Software packages</t>
  </si>
  <si>
    <t>Computer Hardware-Capex</t>
  </si>
  <si>
    <t>Computers and laptops</t>
  </si>
  <si>
    <t>Office Equipment-Capex</t>
  </si>
  <si>
    <t>DDA to attend  seminars approved by the Board</t>
  </si>
  <si>
    <t>JUL</t>
  </si>
  <si>
    <t>MB</t>
  </si>
  <si>
    <t>MA</t>
  </si>
  <si>
    <t>AUG</t>
  </si>
  <si>
    <t>SEPT</t>
  </si>
  <si>
    <t>OCT</t>
  </si>
  <si>
    <t>NOV</t>
  </si>
  <si>
    <t>DEC</t>
  </si>
  <si>
    <t>JAN</t>
  </si>
  <si>
    <t>FEB</t>
  </si>
  <si>
    <t>MAR</t>
  </si>
  <si>
    <t>APRIL</t>
  </si>
  <si>
    <t>MAY</t>
  </si>
  <si>
    <t>OPERATIONAL GRANT AMOUNT:            R3 000 000.00</t>
  </si>
  <si>
    <t>Monthly office rent + utilities</t>
  </si>
  <si>
    <t>ANNUAL BUDGET</t>
  </si>
  <si>
    <t>UTHUKELA ECONOMIC DEVELOPMENT AGENCY 2020/21</t>
  </si>
  <si>
    <t>Accommodation,Travel and subsistence expenses</t>
  </si>
  <si>
    <t>Audit fees + CIPC Annual return fees</t>
  </si>
  <si>
    <t>External audit and annual filing of returns</t>
  </si>
  <si>
    <t>Building repairs at Mathews Farm and Heron office</t>
  </si>
  <si>
    <t>Office electricity utility</t>
  </si>
  <si>
    <t>Office water utility</t>
  </si>
  <si>
    <t>Water bill</t>
  </si>
  <si>
    <t>Electricity bill</t>
  </si>
  <si>
    <t>NOTE</t>
  </si>
  <si>
    <t>Office stationery &amp; Printing</t>
  </si>
  <si>
    <t>ETD</t>
  </si>
  <si>
    <t>RB</t>
  </si>
  <si>
    <t>Expenditure to date</t>
  </si>
  <si>
    <t>Remaining budget</t>
  </si>
  <si>
    <t>Rental</t>
  </si>
  <si>
    <t>Payment made towards rental arrears (Dec2019-June 2020)</t>
  </si>
  <si>
    <t>July 2020 to September 2020</t>
  </si>
  <si>
    <t>2019/2020 FY</t>
  </si>
  <si>
    <t>Current year</t>
  </si>
  <si>
    <t>Rental lease starts 01 December to 30 November for 24 months</t>
  </si>
  <si>
    <t>VIREMENT</t>
  </si>
  <si>
    <t>REVISED BUDGET</t>
  </si>
  <si>
    <t>Promotion of the DDA and branding</t>
  </si>
  <si>
    <t>Furniture</t>
  </si>
  <si>
    <t>Salaries</t>
  </si>
  <si>
    <t>JUNE</t>
  </si>
  <si>
    <t>MONTH</t>
  </si>
  <si>
    <t>OPER. EXP.</t>
  </si>
  <si>
    <t>TRANSFER</t>
  </si>
  <si>
    <t>UNSPENT</t>
  </si>
  <si>
    <t>RENTA EXP.</t>
  </si>
  <si>
    <t>Rent transfer from UTDM-01 NOV 2019 TO DEC2020</t>
  </si>
  <si>
    <t>REVENUE</t>
  </si>
  <si>
    <t>Subsidies &amp; transfers</t>
  </si>
  <si>
    <t xml:space="preserve">Interest earned </t>
  </si>
  <si>
    <t>Other income</t>
  </si>
  <si>
    <t>OPERATING EXPENDITURE</t>
  </si>
  <si>
    <t>Receipts and revenue</t>
  </si>
  <si>
    <t>Interest on investments and credit balance</t>
  </si>
  <si>
    <t>Other receipts</t>
  </si>
  <si>
    <t>RENTAL GRANT TRANSFER AMOUNT:   R   853 925.28</t>
  </si>
  <si>
    <t xml:space="preserve">JAN </t>
  </si>
  <si>
    <t>APR</t>
  </si>
  <si>
    <t>ELECTRICITY</t>
  </si>
  <si>
    <t xml:space="preserve">WATER </t>
  </si>
  <si>
    <t>ARREARS</t>
  </si>
  <si>
    <t>CURRENT TD</t>
  </si>
  <si>
    <t>CAP</t>
  </si>
  <si>
    <t>OP</t>
  </si>
  <si>
    <t>RENTAL</t>
  </si>
  <si>
    <t>OPERATIONAL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</si>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</sst>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b/>
      <sz val="12"/>
      <color rgb="FF92D050"/>
      <name val="Arial Black"/>
      <family val="2"/>
    </font>
    <font>
      <b/>
      <sz val="12"/>
      <color rgb="FFFFC000"/>
      <name val="Arial Black"/>
      <family val="2"/>
    </font>
    <font>
      <b/>
      <sz val="12"/>
      <color rgb="FF000000"/>
      <name val="Arial Black"/>
      <family val="2"/>
    </font>
    <font>
      <sz val="11"/>
      <color theme="1"/>
      <name val="Arial Blac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Arial Black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theme="5"/>
      <name val="Arial"/>
      <family val="2"/>
    </font>
    <font>
      <b/>
      <sz val="12"/>
      <name val="Arial"/>
      <family val="2"/>
    </font>
    <font>
      <b/>
      <sz val="12"/>
      <name val="Arial Black"/>
      <family val="2"/>
    </font>
    <font>
      <sz val="11"/>
      <name val="Calibri"/>
      <family val="2"/>
      <scheme val="minor"/>
    </font>
    <font>
      <sz val="12"/>
      <color rgb="FF000000"/>
      <name val="Arial Black"/>
      <family val="2"/>
    </font>
    <font>
      <sz val="12"/>
      <name val="Arial"/>
      <family val="2"/>
    </font>
    <font>
      <sz val="12"/>
      <color theme="0"/>
      <name val="Arial Black"/>
      <family val="2"/>
    </font>
    <font>
      <sz val="12"/>
      <color rgb="FFFFC000"/>
      <name val="Arial Black"/>
      <family val="2"/>
    </font>
    <font>
      <sz val="12"/>
      <color rgb="FF92D050"/>
      <name val="Arial Black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6" fillId="0" borderId="0" xfId="0" applyFont="1"/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0" fillId="0" borderId="0" xfId="0" applyBorder="1"/>
    <xf numFmtId="43" fontId="2" fillId="0" borderId="5" xfId="1" applyFont="1" applyBorder="1"/>
    <xf numFmtId="43" fontId="0" fillId="0" borderId="0" xfId="0" applyNumberFormat="1"/>
    <xf numFmtId="43" fontId="3" fillId="0" borderId="3" xfId="1" applyFont="1" applyBorder="1"/>
    <xf numFmtId="0" fontId="5" fillId="0" borderId="3" xfId="0" applyFont="1" applyFill="1" applyBorder="1" applyAlignment="1">
      <alignment vertical="center" wrapText="1"/>
    </xf>
    <xf numFmtId="43" fontId="8" fillId="0" borderId="3" xfId="1" applyFont="1" applyBorder="1"/>
    <xf numFmtId="0" fontId="9" fillId="0" borderId="0" xfId="0" applyFont="1"/>
    <xf numFmtId="0" fontId="7" fillId="0" borderId="7" xfId="0" applyFont="1" applyBorder="1"/>
    <xf numFmtId="43" fontId="3" fillId="0" borderId="3" xfId="0" applyNumberFormat="1" applyFont="1" applyBorder="1"/>
    <xf numFmtId="0" fontId="13" fillId="0" borderId="0" xfId="0" applyFont="1" applyBorder="1"/>
    <xf numFmtId="0" fontId="7" fillId="0" borderId="0" xfId="0" applyFont="1"/>
    <xf numFmtId="0" fontId="2" fillId="0" borderId="3" xfId="0" applyFont="1" applyBorder="1" applyAlignment="1">
      <alignment vertical="center"/>
    </xf>
    <xf numFmtId="0" fontId="7" fillId="0" borderId="0" xfId="0" applyFont="1" applyFill="1" applyBorder="1"/>
    <xf numFmtId="43" fontId="7" fillId="0" borderId="5" xfId="1" applyFont="1" applyBorder="1"/>
    <xf numFmtId="43" fontId="0" fillId="0" borderId="4" xfId="1" applyFont="1" applyBorder="1"/>
    <xf numFmtId="43" fontId="0" fillId="0" borderId="6" xfId="1" applyFont="1" applyBorder="1"/>
    <xf numFmtId="43" fontId="3" fillId="0" borderId="8" xfId="1" applyFont="1" applyFill="1" applyBorder="1"/>
    <xf numFmtId="43" fontId="0" fillId="0" borderId="3" xfId="1" applyFont="1" applyBorder="1"/>
    <xf numFmtId="43" fontId="17" fillId="0" borderId="3" xfId="1" applyFont="1" applyBorder="1"/>
    <xf numFmtId="0" fontId="7" fillId="0" borderId="3" xfId="0" applyFont="1" applyBorder="1"/>
    <xf numFmtId="0" fontId="7" fillId="3" borderId="3" xfId="0" applyFont="1" applyFill="1" applyBorder="1"/>
    <xf numFmtId="43" fontId="0" fillId="0" borderId="0" xfId="1" applyFont="1"/>
    <xf numFmtId="0" fontId="7" fillId="0" borderId="9" xfId="0" applyFont="1" applyBorder="1"/>
    <xf numFmtId="43" fontId="3" fillId="0" borderId="6" xfId="1" applyFont="1" applyBorder="1"/>
    <xf numFmtId="43" fontId="17" fillId="0" borderId="6" xfId="1" applyFont="1" applyBorder="1"/>
    <xf numFmtId="43" fontId="3" fillId="0" borderId="6" xfId="0" applyNumberFormat="1" applyFont="1" applyBorder="1"/>
    <xf numFmtId="43" fontId="2" fillId="0" borderId="11" xfId="1" applyFont="1" applyBorder="1"/>
    <xf numFmtId="43" fontId="18" fillId="0" borderId="11" xfId="1" applyFont="1" applyBorder="1"/>
    <xf numFmtId="43" fontId="19" fillId="0" borderId="11" xfId="1" applyFont="1" applyBorder="1"/>
    <xf numFmtId="0" fontId="0" fillId="0" borderId="0" xfId="0" applyFont="1"/>
    <xf numFmtId="0" fontId="21" fillId="4" borderId="3" xfId="0" applyFont="1" applyFill="1" applyBorder="1" applyAlignment="1">
      <alignment horizontal="center" vertical="center"/>
    </xf>
    <xf numFmtId="0" fontId="22" fillId="4" borderId="0" xfId="0" applyFont="1" applyFill="1"/>
    <xf numFmtId="0" fontId="12" fillId="4" borderId="6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0" fillId="4" borderId="0" xfId="0" applyFill="1"/>
    <xf numFmtId="0" fontId="4" fillId="4" borderId="3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1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vertical="center"/>
    </xf>
    <xf numFmtId="0" fontId="23" fillId="4" borderId="3" xfId="0" applyFont="1" applyFill="1" applyBorder="1" applyAlignment="1">
      <alignment horizontal="center" vertical="center" wrapText="1"/>
    </xf>
    <xf numFmtId="43" fontId="5" fillId="4" borderId="3" xfId="1" applyFont="1" applyFill="1" applyBorder="1" applyAlignment="1">
      <alignment horizontal="center" vertical="center" wrapText="1"/>
    </xf>
    <xf numFmtId="43" fontId="4" fillId="4" borderId="3" xfId="1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43" fontId="12" fillId="4" borderId="11" xfId="1" applyFont="1" applyFill="1" applyBorder="1" applyAlignment="1">
      <alignment horizontal="center" vertical="center" wrapText="1"/>
    </xf>
    <xf numFmtId="43" fontId="16" fillId="4" borderId="11" xfId="1" applyFont="1" applyFill="1" applyBorder="1" applyAlignment="1">
      <alignment horizontal="center" vertical="center" wrapText="1"/>
    </xf>
    <xf numFmtId="43" fontId="12" fillId="4" borderId="11" xfId="1" applyFont="1" applyFill="1" applyBorder="1" applyAlignment="1">
      <alignment horizontal="center" vertical="center"/>
    </xf>
    <xf numFmtId="43" fontId="24" fillId="4" borderId="3" xfId="1" applyFont="1" applyFill="1" applyBorder="1" applyAlignment="1">
      <alignment horizontal="center" vertical="center" wrapText="1"/>
    </xf>
    <xf numFmtId="43" fontId="4" fillId="4" borderId="3" xfId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23" fillId="2" borderId="1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7" fillId="2" borderId="4" xfId="0" applyFont="1" applyFill="1" applyBorder="1" applyAlignment="1">
      <alignment horizontal="center" vertical="center"/>
    </xf>
    <xf numFmtId="43" fontId="5" fillId="4" borderId="3" xfId="1" applyFont="1" applyFill="1" applyBorder="1" applyAlignment="1">
      <alignment horizontal="center" vertical="center"/>
    </xf>
    <xf numFmtId="0" fontId="26" fillId="4" borderId="3" xfId="0" applyFont="1" applyFill="1" applyBorder="1" applyAlignment="1">
      <alignment horizontal="center" vertical="center"/>
    </xf>
    <xf numFmtId="0" fontId="27" fillId="4" borderId="3" xfId="0" applyFont="1" applyFill="1" applyBorder="1" applyAlignment="1">
      <alignment horizontal="center" vertical="center"/>
    </xf>
    <xf numFmtId="0" fontId="0" fillId="4" borderId="0" xfId="0" applyFont="1" applyFill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4"/>
    </xf>
    <xf numFmtId="0" fontId="28" fillId="0" borderId="0" xfId="0" applyFont="1"/>
    <xf numFmtId="0" fontId="7" fillId="0" borderId="0" xfId="0" applyFont="1" applyBorder="1"/>
    <xf numFmtId="43" fontId="24" fillId="0" borderId="3" xfId="1" applyFont="1" applyBorder="1"/>
    <xf numFmtId="0" fontId="5" fillId="5" borderId="3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 wrapText="1"/>
    </xf>
    <xf numFmtId="43" fontId="3" fillId="5" borderId="3" xfId="1" applyFont="1" applyFill="1" applyBorder="1"/>
    <xf numFmtId="43" fontId="17" fillId="5" borderId="3" xfId="1" applyFont="1" applyFill="1" applyBorder="1"/>
    <xf numFmtId="43" fontId="3" fillId="5" borderId="3" xfId="0" applyNumberFormat="1" applyFont="1" applyFill="1" applyBorder="1"/>
    <xf numFmtId="0" fontId="0" fillId="5" borderId="0" xfId="0" applyFill="1"/>
    <xf numFmtId="9" fontId="5" fillId="0" borderId="3" xfId="2" applyFont="1" applyBorder="1" applyAlignment="1">
      <alignment vertical="center" wrapText="1"/>
    </xf>
    <xf numFmtId="43" fontId="2" fillId="0" borderId="8" xfId="1" applyFont="1" applyFill="1" applyBorder="1"/>
    <xf numFmtId="0" fontId="7" fillId="0" borderId="4" xfId="0" applyFont="1" applyBorder="1"/>
    <xf numFmtId="0" fontId="7" fillId="0" borderId="3" xfId="0" applyFont="1" applyFill="1" applyBorder="1"/>
    <xf numFmtId="0" fontId="0" fillId="0" borderId="3" xfId="0" applyBorder="1"/>
    <xf numFmtId="0" fontId="7" fillId="3" borderId="12" xfId="0" applyFont="1" applyFill="1" applyBorder="1"/>
    <xf numFmtId="0" fontId="7" fillId="3" borderId="8" xfId="0" applyFont="1" applyFill="1" applyBorder="1"/>
    <xf numFmtId="43" fontId="0" fillId="5" borderId="0" xfId="0" applyNumberFormat="1" applyFill="1"/>
    <xf numFmtId="43" fontId="7" fillId="0" borderId="0" xfId="0" applyNumberFormat="1" applyFont="1"/>
    <xf numFmtId="43" fontId="7" fillId="6" borderId="0" xfId="0" applyNumberFormat="1" applyFont="1" applyFill="1"/>
    <xf numFmtId="17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13" fillId="0" borderId="9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23" fillId="2" borderId="4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 wrapText="1"/>
    </xf>
    <xf numFmtId="0" fontId="25" fillId="2" borderId="8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59"/>
  <sheetViews>
    <sheetView tabSelected="1" topLeftCell="A7" zoomScale="150" zoomScaleNormal="150" workbookViewId="0">
      <pane xSplit="1" topLeftCell="B1" activePane="topRight" state="frozen"/>
      <selection pane="topRight" activeCell="B7" sqref="B7"/>
    </sheetView>
  </sheetViews>
  <sheetFormatPr defaultRowHeight="14.4" x14ac:dyDescent="0.3"/>
  <cols>
    <col min="1" max="1" width="46.88671875" customWidth="1"/>
    <col min="2" max="2" width="56.6640625" customWidth="1"/>
    <col min="3" max="3" width="24" bestFit="1" customWidth="1"/>
    <col min="4" max="4" width="14.88671875" bestFit="1" customWidth="1"/>
    <col min="5" max="5" width="16.109375" customWidth="1"/>
    <col min="6" max="6" width="14.44140625" bestFit="1" customWidth="1"/>
    <col min="7" max="7" width="13.109375" bestFit="1" customWidth="1"/>
    <col min="8" max="8" width="14.5546875" bestFit="1" customWidth="1"/>
    <col min="9" max="9" width="19.6640625" bestFit="1" customWidth="1"/>
    <col min="10" max="14" width="14.5546875" bestFit="1" customWidth="1"/>
    <col min="15" max="15" width="16.44140625" bestFit="1" customWidth="1"/>
    <col min="16" max="16" width="14.5546875" bestFit="1" customWidth="1"/>
    <col min="17" max="17" width="15.33203125" customWidth="1"/>
    <col min="18" max="18" width="14.5546875" bestFit="1" customWidth="1"/>
    <col min="19" max="19" width="14.33203125" bestFit="1" customWidth="1"/>
    <col min="20" max="20" width="14.5546875" bestFit="1" customWidth="1"/>
    <col min="21" max="21" width="14.33203125" bestFit="1" customWidth="1"/>
    <col min="22" max="22" width="14.5546875" bestFit="1" customWidth="1"/>
    <col min="23" max="23" width="14.33203125" bestFit="1" customWidth="1"/>
    <col min="24" max="24" width="14.5546875" bestFit="1" customWidth="1"/>
    <col min="25" max="25" width="13.77734375" bestFit="1" customWidth="1"/>
    <col min="26" max="26" width="14.5546875" bestFit="1" customWidth="1"/>
    <col min="27" max="27" width="13.77734375" bestFit="1" customWidth="1"/>
    <col min="28" max="28" width="14.5546875" bestFit="1" customWidth="1"/>
    <col min="29" max="29" width="9.33203125" bestFit="1" customWidth="1"/>
    <col min="30" max="31" width="16.44140625" style="7" bestFit="1" customWidth="1"/>
    <col min="33" max="33" width="10.5546875" bestFit="1" customWidth="1"/>
  </cols>
  <sheetData>
    <row r="1" spans="1:31" s="17" customFormat="1" ht="15.6" x14ac:dyDescent="0.3">
      <c r="A1" s="66" t="s">
        <v>53</v>
      </c>
      <c r="B1" s="67"/>
      <c r="C1" s="68"/>
      <c r="D1" s="68"/>
      <c r="E1" s="68"/>
      <c r="AD1" s="69"/>
      <c r="AE1" s="69"/>
    </row>
    <row r="2" spans="1:31" s="17" customFormat="1" ht="15.6" x14ac:dyDescent="0.3">
      <c r="A2" s="66" t="s">
        <v>50</v>
      </c>
      <c r="B2" s="68"/>
      <c r="C2" s="68"/>
      <c r="D2" s="68"/>
      <c r="E2" s="68"/>
      <c r="AD2" s="69"/>
      <c r="AE2" s="69"/>
    </row>
    <row r="3" spans="1:31" s="36" customFormat="1" ht="18" thickBot="1" x14ac:dyDescent="0.5">
      <c r="A3" s="66" t="s">
        <v>94</v>
      </c>
      <c r="B3" s="1"/>
      <c r="C3" s="91" t="s">
        <v>52</v>
      </c>
      <c r="D3" s="93" t="s">
        <v>74</v>
      </c>
      <c r="E3" s="91" t="s">
        <v>75</v>
      </c>
      <c r="F3" s="89" t="s">
        <v>37</v>
      </c>
      <c r="G3" s="90"/>
      <c r="H3" s="90" t="s">
        <v>40</v>
      </c>
      <c r="I3" s="90"/>
      <c r="J3" s="90" t="s">
        <v>41</v>
      </c>
      <c r="K3" s="90"/>
      <c r="L3" s="90" t="s">
        <v>42</v>
      </c>
      <c r="M3" s="90"/>
      <c r="N3" s="90" t="s">
        <v>43</v>
      </c>
      <c r="O3" s="90"/>
      <c r="P3" s="90" t="s">
        <v>44</v>
      </c>
      <c r="Q3" s="90"/>
      <c r="R3" s="90" t="s">
        <v>45</v>
      </c>
      <c r="S3" s="90"/>
      <c r="T3" s="90" t="s">
        <v>46</v>
      </c>
      <c r="U3" s="90"/>
      <c r="V3" s="90" t="s">
        <v>47</v>
      </c>
      <c r="W3" s="90"/>
      <c r="X3" s="90" t="s">
        <v>48</v>
      </c>
      <c r="Y3" s="90"/>
      <c r="Z3" s="90" t="s">
        <v>49</v>
      </c>
      <c r="AA3" s="90"/>
      <c r="AB3" s="90" t="s">
        <v>79</v>
      </c>
      <c r="AC3" s="90"/>
      <c r="AD3" s="16"/>
      <c r="AE3" s="16"/>
    </row>
    <row r="4" spans="1:31" s="36" customFormat="1" ht="18.600000000000001" x14ac:dyDescent="0.3">
      <c r="A4" s="57" t="s">
        <v>0</v>
      </c>
      <c r="B4" s="58" t="s">
        <v>1</v>
      </c>
      <c r="C4" s="92"/>
      <c r="D4" s="94"/>
      <c r="E4" s="92"/>
      <c r="F4" s="59" t="s">
        <v>38</v>
      </c>
      <c r="G4" s="59" t="s">
        <v>39</v>
      </c>
      <c r="H4" s="59" t="s">
        <v>38</v>
      </c>
      <c r="I4" s="59" t="s">
        <v>39</v>
      </c>
      <c r="J4" s="59" t="s">
        <v>38</v>
      </c>
      <c r="K4" s="59" t="s">
        <v>39</v>
      </c>
      <c r="L4" s="59" t="s">
        <v>38</v>
      </c>
      <c r="M4" s="59" t="s">
        <v>39</v>
      </c>
      <c r="N4" s="59" t="s">
        <v>38</v>
      </c>
      <c r="O4" s="59" t="s">
        <v>39</v>
      </c>
      <c r="P4" s="59" t="s">
        <v>38</v>
      </c>
      <c r="Q4" s="59" t="s">
        <v>39</v>
      </c>
      <c r="R4" s="59" t="s">
        <v>38</v>
      </c>
      <c r="S4" s="59" t="s">
        <v>39</v>
      </c>
      <c r="T4" s="59" t="s">
        <v>38</v>
      </c>
      <c r="U4" s="59" t="s">
        <v>39</v>
      </c>
      <c r="V4" s="59" t="s">
        <v>38</v>
      </c>
      <c r="W4" s="59" t="s">
        <v>39</v>
      </c>
      <c r="X4" s="59" t="s">
        <v>38</v>
      </c>
      <c r="Y4" s="59" t="s">
        <v>39</v>
      </c>
      <c r="Z4" s="59" t="s">
        <v>38</v>
      </c>
      <c r="AA4" s="59" t="s">
        <v>39</v>
      </c>
      <c r="AB4" s="59" t="s">
        <v>38</v>
      </c>
      <c r="AC4" s="59" t="s">
        <v>39</v>
      </c>
      <c r="AD4" s="60" t="s">
        <v>64</v>
      </c>
      <c r="AE4" s="61" t="s">
        <v>65</v>
      </c>
    </row>
    <row r="5" spans="1:31" s="65" customFormat="1" ht="18.600000000000001" x14ac:dyDescent="0.3">
      <c r="A5" s="47" t="s">
        <v>86</v>
      </c>
      <c r="B5" s="47"/>
      <c r="C5" s="48"/>
      <c r="D5" s="55"/>
      <c r="E5" s="49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3"/>
      <c r="AE5" s="64"/>
    </row>
    <row r="6" spans="1:31" s="65" customFormat="1" ht="18.600000000000001" x14ac:dyDescent="0.3">
      <c r="A6" s="47" t="s">
        <v>87</v>
      </c>
      <c r="B6" s="47" t="s">
        <v>91</v>
      </c>
      <c r="C6" s="49">
        <v>3853925.28</v>
      </c>
      <c r="D6" s="55">
        <v>0</v>
      </c>
      <c r="E6" s="49"/>
      <c r="F6" s="62"/>
      <c r="G6" s="62"/>
      <c r="H6" s="62"/>
      <c r="I6" s="62">
        <v>3000000</v>
      </c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3"/>
      <c r="AE6" s="64"/>
    </row>
    <row r="7" spans="1:31" s="43" customFormat="1" ht="18.600000000000001" x14ac:dyDescent="0.3">
      <c r="A7" s="47" t="s">
        <v>88</v>
      </c>
      <c r="B7" s="47" t="s">
        <v>92</v>
      </c>
      <c r="C7" s="49">
        <v>60000</v>
      </c>
      <c r="D7" s="55"/>
      <c r="E7" s="50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41"/>
      <c r="AE7" s="42"/>
    </row>
    <row r="8" spans="1:31" s="43" customFormat="1" ht="18.600000000000001" x14ac:dyDescent="0.3">
      <c r="A8" s="47" t="s">
        <v>89</v>
      </c>
      <c r="B8" s="47" t="s">
        <v>93</v>
      </c>
      <c r="C8" s="49">
        <v>0</v>
      </c>
      <c r="D8" s="55"/>
      <c r="E8" s="50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41"/>
      <c r="AE8" s="42"/>
    </row>
    <row r="9" spans="1:31" s="43" customFormat="1" ht="19.2" thickBot="1" x14ac:dyDescent="0.35">
      <c r="A9" s="47"/>
      <c r="B9" s="44"/>
      <c r="C9" s="52">
        <f>SUM(C6:C8)</f>
        <v>3913925.28</v>
      </c>
      <c r="D9" s="53">
        <f t="shared" ref="D9:AC9" si="0">SUM(D6:D8)</f>
        <v>0</v>
      </c>
      <c r="E9" s="52">
        <f t="shared" si="0"/>
        <v>0</v>
      </c>
      <c r="F9" s="54">
        <f t="shared" si="0"/>
        <v>0</v>
      </c>
      <c r="G9" s="54">
        <f t="shared" si="0"/>
        <v>0</v>
      </c>
      <c r="H9" s="54">
        <f t="shared" si="0"/>
        <v>0</v>
      </c>
      <c r="I9" s="54">
        <f t="shared" si="0"/>
        <v>3000000</v>
      </c>
      <c r="J9" s="54">
        <f t="shared" si="0"/>
        <v>0</v>
      </c>
      <c r="K9" s="54">
        <f t="shared" si="0"/>
        <v>0</v>
      </c>
      <c r="L9" s="54">
        <f t="shared" si="0"/>
        <v>0</v>
      </c>
      <c r="M9" s="54">
        <f t="shared" si="0"/>
        <v>0</v>
      </c>
      <c r="N9" s="54">
        <f t="shared" si="0"/>
        <v>0</v>
      </c>
      <c r="O9" s="54">
        <f t="shared" si="0"/>
        <v>0</v>
      </c>
      <c r="P9" s="54">
        <f t="shared" si="0"/>
        <v>0</v>
      </c>
      <c r="Q9" s="54">
        <f t="shared" si="0"/>
        <v>0</v>
      </c>
      <c r="R9" s="54">
        <f t="shared" si="0"/>
        <v>0</v>
      </c>
      <c r="S9" s="54">
        <f t="shared" si="0"/>
        <v>0</v>
      </c>
      <c r="T9" s="54">
        <f t="shared" si="0"/>
        <v>0</v>
      </c>
      <c r="U9" s="54">
        <f t="shared" si="0"/>
        <v>0</v>
      </c>
      <c r="V9" s="54">
        <f t="shared" si="0"/>
        <v>0</v>
      </c>
      <c r="W9" s="54">
        <f t="shared" si="0"/>
        <v>0</v>
      </c>
      <c r="X9" s="54">
        <f t="shared" si="0"/>
        <v>0</v>
      </c>
      <c r="Y9" s="54">
        <f t="shared" si="0"/>
        <v>0</v>
      </c>
      <c r="Z9" s="54">
        <f t="shared" si="0"/>
        <v>0</v>
      </c>
      <c r="AA9" s="54">
        <f t="shared" si="0"/>
        <v>0</v>
      </c>
      <c r="AB9" s="54">
        <f t="shared" si="0"/>
        <v>0</v>
      </c>
      <c r="AC9" s="54">
        <f t="shared" si="0"/>
        <v>0</v>
      </c>
      <c r="AD9" s="41"/>
      <c r="AE9" s="42"/>
    </row>
    <row r="10" spans="1:31" s="43" customFormat="1" ht="19.2" thickTop="1" x14ac:dyDescent="0.3">
      <c r="A10" s="44"/>
      <c r="B10" s="44"/>
      <c r="C10" s="39"/>
      <c r="D10" s="40"/>
      <c r="E10" s="39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41"/>
      <c r="AE10" s="42"/>
    </row>
    <row r="11" spans="1:31" s="38" customFormat="1" ht="18.600000000000001" x14ac:dyDescent="0.3">
      <c r="A11" s="45" t="s">
        <v>90</v>
      </c>
      <c r="B11" s="45"/>
      <c r="C11" s="46"/>
      <c r="D11" s="46"/>
      <c r="E11" s="46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</row>
    <row r="12" spans="1:31" ht="15.6" x14ac:dyDescent="0.3">
      <c r="A12" s="2" t="s">
        <v>55</v>
      </c>
      <c r="B12" s="3" t="s">
        <v>56</v>
      </c>
      <c r="C12" s="10">
        <v>200000</v>
      </c>
      <c r="D12" s="10"/>
      <c r="E12" s="10">
        <f>C12+D12</f>
        <v>200000</v>
      </c>
      <c r="F12" s="10">
        <v>16666.669999999998</v>
      </c>
      <c r="G12" s="10"/>
      <c r="H12" s="10">
        <v>16666.669999999998</v>
      </c>
      <c r="I12" s="10">
        <v>500</v>
      </c>
      <c r="J12" s="10">
        <v>16666.669999999998</v>
      </c>
      <c r="K12" s="10"/>
      <c r="L12" s="10">
        <v>16666.669999999998</v>
      </c>
      <c r="M12" s="10"/>
      <c r="N12" s="10">
        <v>16666.669999999998</v>
      </c>
      <c r="O12" s="10"/>
      <c r="P12" s="10">
        <v>16666.669999999998</v>
      </c>
      <c r="Q12" s="10"/>
      <c r="R12" s="10">
        <v>16666.669999999998</v>
      </c>
      <c r="S12" s="10"/>
      <c r="T12" s="10">
        <v>16666.669999999998</v>
      </c>
      <c r="U12" s="10"/>
      <c r="V12" s="10">
        <v>16666.669999999998</v>
      </c>
      <c r="W12" s="10"/>
      <c r="X12" s="10">
        <v>16666.669999999998</v>
      </c>
      <c r="Y12" s="10">
        <v>80027.56</v>
      </c>
      <c r="Z12" s="10">
        <v>16666.669999999998</v>
      </c>
      <c r="AA12" s="10"/>
      <c r="AB12" s="10">
        <v>16666.669999999998</v>
      </c>
      <c r="AC12" s="10"/>
      <c r="AD12" s="15">
        <f>AC12+AA12+Y12+W12+U12+S12+Q12+O12+M12+K12+K12+I12+G12</f>
        <v>80527.56</v>
      </c>
      <c r="AE12" s="15">
        <f t="shared" ref="AE12:AE17" si="1">E12-AD12</f>
        <v>119472.44</v>
      </c>
    </row>
    <row r="13" spans="1:31" ht="15.6" x14ac:dyDescent="0.3">
      <c r="A13" s="3" t="s">
        <v>2</v>
      </c>
      <c r="B13" s="2" t="s">
        <v>76</v>
      </c>
      <c r="C13" s="10">
        <v>150000</v>
      </c>
      <c r="D13" s="10"/>
      <c r="E13" s="10">
        <f t="shared" ref="E13:E38" si="2">C13+D13</f>
        <v>150000</v>
      </c>
      <c r="F13" s="10">
        <f>C13/12</f>
        <v>12500</v>
      </c>
      <c r="G13" s="10"/>
      <c r="H13" s="10">
        <v>12500</v>
      </c>
      <c r="I13" s="10"/>
      <c r="J13" s="10">
        <v>12500</v>
      </c>
      <c r="K13" s="10"/>
      <c r="L13" s="10">
        <v>12500</v>
      </c>
      <c r="M13" s="10">
        <v>8323.23</v>
      </c>
      <c r="N13" s="10">
        <v>12500</v>
      </c>
      <c r="O13" s="10">
        <f>27636.9+29045.69</f>
        <v>56682.59</v>
      </c>
      <c r="P13" s="10">
        <v>12500</v>
      </c>
      <c r="Q13" s="10"/>
      <c r="R13" s="10">
        <v>12500</v>
      </c>
      <c r="S13" s="10"/>
      <c r="T13" s="10">
        <v>12500</v>
      </c>
      <c r="U13" s="10">
        <v>4758.8999999999996</v>
      </c>
      <c r="V13" s="10">
        <v>12500</v>
      </c>
      <c r="W13" s="10">
        <f>1358.5+1750</f>
        <v>3108.5</v>
      </c>
      <c r="X13" s="10">
        <v>12500</v>
      </c>
      <c r="Y13" s="10"/>
      <c r="Z13" s="10">
        <v>12500</v>
      </c>
      <c r="AA13" s="10">
        <v>24750</v>
      </c>
      <c r="AB13" s="10">
        <v>12500</v>
      </c>
      <c r="AC13" s="10"/>
      <c r="AD13" s="15">
        <f t="shared" ref="AD13:AD38" si="3">AC13+AA13+Y13+W13+U13+S13+Q13+O13+M13+K13+K13+I13+G13</f>
        <v>97623.219999999987</v>
      </c>
      <c r="AE13" s="15">
        <f t="shared" si="1"/>
        <v>52376.780000000013</v>
      </c>
    </row>
    <row r="14" spans="1:31" ht="15.6" x14ac:dyDescent="0.3">
      <c r="A14" s="3" t="s">
        <v>3</v>
      </c>
      <c r="B14" s="2" t="s">
        <v>4</v>
      </c>
      <c r="C14" s="10">
        <v>25000</v>
      </c>
      <c r="E14" s="10">
        <v>25000</v>
      </c>
      <c r="F14" s="10">
        <f t="shared" ref="F14:F38" si="4">C14/12</f>
        <v>2083.3333333333335</v>
      </c>
      <c r="G14" s="10">
        <f>95+10.75</f>
        <v>105.75</v>
      </c>
      <c r="H14" s="10">
        <v>2083.33</v>
      </c>
      <c r="I14" s="10">
        <f>32.25+95</f>
        <v>127.25</v>
      </c>
      <c r="J14" s="10">
        <v>2083.33</v>
      </c>
      <c r="K14" s="10">
        <f>605.36+95</f>
        <v>700.36</v>
      </c>
      <c r="L14" s="10">
        <v>2083.33</v>
      </c>
      <c r="M14" s="10">
        <f>614.08+95</f>
        <v>709.08</v>
      </c>
      <c r="N14" s="10">
        <v>2083.33</v>
      </c>
      <c r="O14" s="10">
        <f>627.2+95</f>
        <v>722.2</v>
      </c>
      <c r="P14" s="10">
        <v>2083.33</v>
      </c>
      <c r="Q14" s="10">
        <f>641.42+95</f>
        <v>736.42</v>
      </c>
      <c r="R14" s="10">
        <v>2083.33</v>
      </c>
      <c r="S14" s="10">
        <f>610.54+95</f>
        <v>705.54</v>
      </c>
      <c r="T14" s="10">
        <v>2083.33</v>
      </c>
      <c r="U14" s="10">
        <f>95+606.53</f>
        <v>701.53</v>
      </c>
      <c r="V14" s="10">
        <v>2083.33</v>
      </c>
      <c r="W14" s="10">
        <f>616.6+95+312</f>
        <v>1023.6</v>
      </c>
      <c r="X14" s="10">
        <v>2083.33</v>
      </c>
      <c r="Y14" s="10">
        <f>612.6+95</f>
        <v>707.6</v>
      </c>
      <c r="Z14" s="10">
        <v>2083.33</v>
      </c>
      <c r="AA14" s="10">
        <f>612.76+95</f>
        <v>707.76</v>
      </c>
      <c r="AB14" s="10">
        <v>2083.33</v>
      </c>
      <c r="AC14" s="10"/>
      <c r="AD14" s="15">
        <f t="shared" si="3"/>
        <v>7647.4499999999989</v>
      </c>
      <c r="AE14" s="15">
        <f t="shared" si="1"/>
        <v>17352.550000000003</v>
      </c>
    </row>
    <row r="15" spans="1:31" s="76" customFormat="1" ht="15.6" x14ac:dyDescent="0.3">
      <c r="A15" s="71" t="s">
        <v>5</v>
      </c>
      <c r="B15" s="72" t="s">
        <v>6</v>
      </c>
      <c r="C15" s="73">
        <v>100000</v>
      </c>
      <c r="D15" s="73"/>
      <c r="E15" s="73">
        <f t="shared" si="2"/>
        <v>100000</v>
      </c>
      <c r="F15" s="73">
        <f t="shared" si="4"/>
        <v>8333.3333333333339</v>
      </c>
      <c r="G15" s="73"/>
      <c r="H15" s="73">
        <v>8333.33</v>
      </c>
      <c r="I15" s="73"/>
      <c r="J15" s="73">
        <v>8333.33</v>
      </c>
      <c r="K15" s="73"/>
      <c r="L15" s="73">
        <v>8333.33</v>
      </c>
      <c r="M15" s="73"/>
      <c r="N15" s="73">
        <v>8333.33</v>
      </c>
      <c r="O15" s="73"/>
      <c r="P15" s="73">
        <v>8333.33</v>
      </c>
      <c r="Q15" s="73"/>
      <c r="R15" s="73">
        <v>8333.33</v>
      </c>
      <c r="S15" s="73"/>
      <c r="T15" s="73">
        <v>8333.33</v>
      </c>
      <c r="U15" s="73">
        <v>17800</v>
      </c>
      <c r="V15" s="73">
        <v>8333.33</v>
      </c>
      <c r="W15" s="73"/>
      <c r="X15" s="73">
        <v>8333.33</v>
      </c>
      <c r="Y15" s="73"/>
      <c r="Z15" s="73">
        <v>8333.33</v>
      </c>
      <c r="AA15" s="73"/>
      <c r="AB15" s="73">
        <v>8333.33</v>
      </c>
      <c r="AC15" s="73"/>
      <c r="AD15" s="75">
        <f t="shared" si="3"/>
        <v>17800</v>
      </c>
      <c r="AE15" s="15">
        <f t="shared" si="1"/>
        <v>82200</v>
      </c>
    </row>
    <row r="16" spans="1:31" ht="15.6" x14ac:dyDescent="0.3">
      <c r="A16" s="3" t="s">
        <v>7</v>
      </c>
      <c r="B16" s="2" t="s">
        <v>63</v>
      </c>
      <c r="C16" s="10">
        <v>67200</v>
      </c>
      <c r="D16" s="10"/>
      <c r="E16" s="10">
        <f t="shared" si="2"/>
        <v>67200</v>
      </c>
      <c r="F16" s="10">
        <f t="shared" si="4"/>
        <v>5600</v>
      </c>
      <c r="G16" s="10"/>
      <c r="H16" s="10">
        <v>5600</v>
      </c>
      <c r="I16" s="10">
        <v>4751.5200000000004</v>
      </c>
      <c r="J16" s="10">
        <v>5600</v>
      </c>
      <c r="K16" s="10"/>
      <c r="L16" s="10">
        <v>5600</v>
      </c>
      <c r="M16" s="10"/>
      <c r="N16" s="10">
        <v>5600</v>
      </c>
      <c r="O16" s="10"/>
      <c r="P16" s="10">
        <v>5600</v>
      </c>
      <c r="Q16" s="10"/>
      <c r="R16" s="10">
        <v>5600</v>
      </c>
      <c r="S16" s="10"/>
      <c r="T16" s="10">
        <v>5600</v>
      </c>
      <c r="U16" s="10"/>
      <c r="V16" s="10">
        <v>5600</v>
      </c>
      <c r="W16" s="10"/>
      <c r="X16" s="10">
        <v>5600</v>
      </c>
      <c r="Y16" s="10"/>
      <c r="Z16" s="10">
        <v>5600</v>
      </c>
      <c r="AA16" s="10">
        <f>22609.57+27718</f>
        <v>50327.57</v>
      </c>
      <c r="AB16" s="10">
        <v>5600</v>
      </c>
      <c r="AC16" s="10"/>
      <c r="AD16" s="15">
        <f t="shared" si="3"/>
        <v>55079.09</v>
      </c>
      <c r="AE16" s="15">
        <f t="shared" si="1"/>
        <v>12120.910000000003</v>
      </c>
    </row>
    <row r="17" spans="1:33" ht="15.6" x14ac:dyDescent="0.3">
      <c r="A17" s="3" t="s">
        <v>8</v>
      </c>
      <c r="B17" s="2" t="s">
        <v>9</v>
      </c>
      <c r="C17" s="10">
        <v>35000</v>
      </c>
      <c r="D17" s="10"/>
      <c r="E17" s="10">
        <f t="shared" si="2"/>
        <v>35000</v>
      </c>
      <c r="F17" s="10">
        <f t="shared" si="4"/>
        <v>2916.6666666666665</v>
      </c>
      <c r="G17" s="10"/>
      <c r="H17" s="10">
        <v>2916.67</v>
      </c>
      <c r="I17" s="10"/>
      <c r="J17" s="10">
        <v>2916.67</v>
      </c>
      <c r="K17" s="10"/>
      <c r="L17" s="10">
        <v>2916.67</v>
      </c>
      <c r="M17" s="10"/>
      <c r="N17" s="10">
        <v>2916.67</v>
      </c>
      <c r="O17" s="10"/>
      <c r="P17" s="10">
        <v>2916.67</v>
      </c>
      <c r="Q17" s="10"/>
      <c r="R17" s="10">
        <v>2916.67</v>
      </c>
      <c r="S17" s="10"/>
      <c r="T17" s="10">
        <v>2916.67</v>
      </c>
      <c r="U17" s="10"/>
      <c r="V17" s="10">
        <v>2916.67</v>
      </c>
      <c r="W17" s="10"/>
      <c r="X17" s="10">
        <v>2916.67</v>
      </c>
      <c r="Y17" s="10"/>
      <c r="Z17" s="10">
        <v>2916.67</v>
      </c>
      <c r="AA17" s="10"/>
      <c r="AB17" s="10">
        <v>2916.67</v>
      </c>
      <c r="AC17" s="10"/>
      <c r="AD17" s="15">
        <f t="shared" si="3"/>
        <v>0</v>
      </c>
      <c r="AE17" s="15">
        <f t="shared" si="1"/>
        <v>35000</v>
      </c>
    </row>
    <row r="18" spans="1:33" ht="15.6" x14ac:dyDescent="0.3">
      <c r="A18" s="3" t="s">
        <v>10</v>
      </c>
      <c r="B18" s="2" t="s">
        <v>57</v>
      </c>
      <c r="C18" s="10">
        <v>135000</v>
      </c>
      <c r="D18" s="10">
        <v>100000</v>
      </c>
      <c r="E18" s="10">
        <f t="shared" si="2"/>
        <v>235000</v>
      </c>
      <c r="F18" s="10">
        <f t="shared" si="4"/>
        <v>11250</v>
      </c>
      <c r="G18" s="10"/>
      <c r="H18" s="10">
        <v>11250</v>
      </c>
      <c r="I18" s="10"/>
      <c r="J18" s="10">
        <v>11250</v>
      </c>
      <c r="K18" s="10"/>
      <c r="L18" s="10">
        <v>11250</v>
      </c>
      <c r="M18" s="10"/>
      <c r="N18" s="10">
        <v>11250</v>
      </c>
      <c r="O18" s="10"/>
      <c r="P18" s="10">
        <v>11250</v>
      </c>
      <c r="Q18" s="10"/>
      <c r="R18" s="10">
        <v>11250</v>
      </c>
      <c r="S18" s="10">
        <v>105000</v>
      </c>
      <c r="T18" s="10">
        <v>11250</v>
      </c>
      <c r="U18" s="10"/>
      <c r="V18" s="10">
        <v>11250</v>
      </c>
      <c r="W18" s="25"/>
      <c r="X18" s="10">
        <v>11250</v>
      </c>
      <c r="Y18" s="10">
        <f>18180+93494</f>
        <v>111674</v>
      </c>
      <c r="Z18" s="10">
        <v>11250</v>
      </c>
      <c r="AA18" s="10"/>
      <c r="AB18" s="10">
        <v>11250</v>
      </c>
      <c r="AC18" s="10"/>
      <c r="AD18" s="15">
        <f>AC18+AA18+Y18+W18+U18+S18+Q18+O18+M18+K18+K18+I18+G18</f>
        <v>216674</v>
      </c>
      <c r="AE18" s="15">
        <f>E18-AD18</f>
        <v>18326</v>
      </c>
    </row>
    <row r="19" spans="1:33" ht="15.6" x14ac:dyDescent="0.3">
      <c r="A19" s="3" t="s">
        <v>11</v>
      </c>
      <c r="B19" s="2" t="s">
        <v>12</v>
      </c>
      <c r="C19" s="10">
        <v>65000</v>
      </c>
      <c r="D19" s="10"/>
      <c r="E19" s="10">
        <f t="shared" si="2"/>
        <v>65000</v>
      </c>
      <c r="F19" s="10">
        <f t="shared" si="4"/>
        <v>5416.666666666667</v>
      </c>
      <c r="G19" s="10"/>
      <c r="H19" s="10">
        <v>5416.67</v>
      </c>
      <c r="I19" s="10"/>
      <c r="J19" s="10">
        <v>5416.67</v>
      </c>
      <c r="K19" s="10"/>
      <c r="L19" s="10">
        <v>5416.67</v>
      </c>
      <c r="M19" s="10"/>
      <c r="N19" s="10">
        <v>5416.67</v>
      </c>
      <c r="O19" s="10"/>
      <c r="P19" s="10">
        <v>5416.67</v>
      </c>
      <c r="Q19" s="10"/>
      <c r="R19" s="10">
        <v>5416.67</v>
      </c>
      <c r="S19" s="10"/>
      <c r="T19" s="10">
        <v>5416.67</v>
      </c>
      <c r="U19" s="10"/>
      <c r="V19" s="10">
        <v>5416.67</v>
      </c>
      <c r="W19" s="10"/>
      <c r="X19" s="10">
        <v>5416.67</v>
      </c>
      <c r="Y19" s="10"/>
      <c r="Z19" s="10">
        <v>5416.67</v>
      </c>
      <c r="AA19" s="10"/>
      <c r="AB19" s="10">
        <v>5416.67</v>
      </c>
      <c r="AC19" s="10"/>
      <c r="AD19" s="15">
        <f t="shared" si="3"/>
        <v>0</v>
      </c>
      <c r="AE19" s="15">
        <f t="shared" ref="AE19:AE33" si="5">E19-AD19</f>
        <v>65000</v>
      </c>
    </row>
    <row r="20" spans="1:33" ht="15.6" x14ac:dyDescent="0.3">
      <c r="A20" s="3" t="s">
        <v>13</v>
      </c>
      <c r="B20" s="2" t="s">
        <v>14</v>
      </c>
      <c r="C20" s="10">
        <v>50000</v>
      </c>
      <c r="D20" s="10"/>
      <c r="E20" s="10">
        <f t="shared" si="2"/>
        <v>50000</v>
      </c>
      <c r="F20" s="10">
        <f t="shared" si="4"/>
        <v>4166.666666666667</v>
      </c>
      <c r="G20" s="10"/>
      <c r="H20" s="10">
        <v>4166.67</v>
      </c>
      <c r="I20" s="10"/>
      <c r="J20" s="10">
        <v>4166.67</v>
      </c>
      <c r="K20" s="10"/>
      <c r="L20" s="10">
        <v>4166.67</v>
      </c>
      <c r="M20" s="10"/>
      <c r="N20" s="10">
        <v>4166.67</v>
      </c>
      <c r="O20" s="10"/>
      <c r="P20" s="10">
        <v>4166.67</v>
      </c>
      <c r="Q20" s="10"/>
      <c r="R20" s="10">
        <v>4166.67</v>
      </c>
      <c r="S20" s="10"/>
      <c r="T20" s="10">
        <v>4166.67</v>
      </c>
      <c r="U20" s="10"/>
      <c r="V20" s="10">
        <v>4166.67</v>
      </c>
      <c r="W20" s="10"/>
      <c r="X20" s="10">
        <v>4166.67</v>
      </c>
      <c r="Y20" s="10"/>
      <c r="Z20" s="10">
        <v>4166.67</v>
      </c>
      <c r="AA20" s="10"/>
      <c r="AB20" s="10">
        <v>4166.67</v>
      </c>
      <c r="AC20" s="10"/>
      <c r="AD20" s="15">
        <f t="shared" si="3"/>
        <v>0</v>
      </c>
      <c r="AE20" s="15">
        <f t="shared" si="5"/>
        <v>50000</v>
      </c>
    </row>
    <row r="21" spans="1:33" ht="15.6" x14ac:dyDescent="0.3">
      <c r="A21" s="3" t="s">
        <v>15</v>
      </c>
      <c r="B21" s="2" t="s">
        <v>16</v>
      </c>
      <c r="C21" s="10">
        <v>520951</v>
      </c>
      <c r="D21" s="10">
        <v>200000</v>
      </c>
      <c r="E21" s="10">
        <f t="shared" si="2"/>
        <v>720951</v>
      </c>
      <c r="F21" s="10">
        <f t="shared" si="4"/>
        <v>43412.583333333336</v>
      </c>
      <c r="G21" s="10"/>
      <c r="H21" s="10">
        <v>43412.58</v>
      </c>
      <c r="I21" s="10"/>
      <c r="J21" s="10">
        <v>43412.58</v>
      </c>
      <c r="K21" s="10">
        <f>5476+22052+4764</f>
        <v>32292</v>
      </c>
      <c r="L21" s="10">
        <v>43412.58</v>
      </c>
      <c r="N21" s="10">
        <v>43412.58</v>
      </c>
      <c r="O21" s="10">
        <f>69746.51+94949.93+62812.18+58296.18+62678.18+62936.18+7792+5476+4764+4764+4764+4764.2764+4764</f>
        <v>448507.43639999995</v>
      </c>
      <c r="P21" s="10">
        <v>43412.58</v>
      </c>
      <c r="Q21" s="10"/>
      <c r="R21" s="10">
        <v>43412.58</v>
      </c>
      <c r="S21" s="10">
        <f>4764+4764+4764+7792+4764+5476</f>
        <v>32324</v>
      </c>
      <c r="T21" s="10">
        <v>43412.58</v>
      </c>
      <c r="U21" s="10">
        <f>4764+4764+4764+7792+4764+5476</f>
        <v>32324</v>
      </c>
      <c r="V21" s="10">
        <v>43412.58</v>
      </c>
      <c r="W21" s="10">
        <f>4764*4+7792+5476</f>
        <v>32324</v>
      </c>
      <c r="X21" s="10">
        <v>43412.58</v>
      </c>
      <c r="Y21" s="10">
        <f>4764*3+7792+5476</f>
        <v>27560</v>
      </c>
      <c r="Z21" s="10">
        <v>43412.58</v>
      </c>
      <c r="AA21" s="10"/>
      <c r="AB21" s="10">
        <v>43412.58</v>
      </c>
      <c r="AC21" s="10"/>
      <c r="AD21" s="15">
        <f t="shared" si="3"/>
        <v>637623.43640000001</v>
      </c>
      <c r="AE21" s="15">
        <f t="shared" si="5"/>
        <v>83327.563599999994</v>
      </c>
    </row>
    <row r="22" spans="1:33" ht="15.6" x14ac:dyDescent="0.3">
      <c r="A22" s="3" t="s">
        <v>17</v>
      </c>
      <c r="B22" s="77" t="s">
        <v>18</v>
      </c>
      <c r="C22" s="10">
        <v>150000</v>
      </c>
      <c r="D22" s="10">
        <v>100000</v>
      </c>
      <c r="E22" s="10">
        <f t="shared" si="2"/>
        <v>250000</v>
      </c>
      <c r="F22" s="10">
        <f t="shared" si="4"/>
        <v>12500</v>
      </c>
      <c r="G22" s="10"/>
      <c r="H22" s="10">
        <v>12500</v>
      </c>
      <c r="I22" s="10"/>
      <c r="J22" s="10">
        <v>12500</v>
      </c>
      <c r="K22" s="10"/>
      <c r="L22" s="10">
        <v>12500</v>
      </c>
      <c r="M22" s="10"/>
      <c r="N22" s="10">
        <v>12500</v>
      </c>
      <c r="O22" s="10"/>
      <c r="P22" s="10">
        <v>12500</v>
      </c>
      <c r="Q22" s="10"/>
      <c r="R22" s="10">
        <v>12500</v>
      </c>
      <c r="S22" s="10"/>
      <c r="T22" s="10">
        <v>12500</v>
      </c>
      <c r="U22" s="10">
        <v>75000</v>
      </c>
      <c r="V22" s="10">
        <v>12500</v>
      </c>
      <c r="W22" s="10"/>
      <c r="X22" s="10">
        <v>12500</v>
      </c>
      <c r="Y22" s="10"/>
      <c r="Z22" s="10">
        <v>12500</v>
      </c>
      <c r="AA22" s="10">
        <f>24580+73710+15580+73710+9000</f>
        <v>196580</v>
      </c>
      <c r="AB22" s="10">
        <v>12500</v>
      </c>
      <c r="AC22" s="10"/>
      <c r="AD22" s="15">
        <f>AC22+AA22+Y22+W22+U22+S22+Q22+O22+M22+K22+K22+I22+G22</f>
        <v>271580</v>
      </c>
      <c r="AE22" s="15">
        <f t="shared" si="5"/>
        <v>-21580</v>
      </c>
    </row>
    <row r="23" spans="1:33" ht="15.6" x14ac:dyDescent="0.3">
      <c r="A23" s="3" t="s">
        <v>19</v>
      </c>
      <c r="B23" s="3" t="s">
        <v>54</v>
      </c>
      <c r="C23" s="10">
        <v>150000</v>
      </c>
      <c r="D23" s="25">
        <v>-100000</v>
      </c>
      <c r="E23" s="10">
        <f t="shared" si="2"/>
        <v>50000</v>
      </c>
      <c r="F23" s="10">
        <f t="shared" si="4"/>
        <v>12500</v>
      </c>
      <c r="G23" s="10"/>
      <c r="H23" s="10">
        <v>12500</v>
      </c>
      <c r="I23" s="10">
        <v>18950</v>
      </c>
      <c r="J23" s="10">
        <v>12500</v>
      </c>
      <c r="K23" s="10"/>
      <c r="L23" s="10">
        <v>12500</v>
      </c>
      <c r="M23" s="10"/>
      <c r="N23" s="10">
        <v>12500</v>
      </c>
      <c r="O23" s="10"/>
      <c r="P23" s="10">
        <v>12500</v>
      </c>
      <c r="Q23" s="10"/>
      <c r="R23" s="10">
        <v>12500</v>
      </c>
      <c r="S23" s="10"/>
      <c r="T23" s="10">
        <v>12500</v>
      </c>
      <c r="U23" s="10"/>
      <c r="V23" s="10">
        <v>12500</v>
      </c>
      <c r="W23" s="10"/>
      <c r="X23" s="10">
        <v>12500</v>
      </c>
      <c r="Y23" s="10"/>
      <c r="Z23" s="10">
        <v>12500</v>
      </c>
      <c r="AA23" s="10"/>
      <c r="AB23" s="10">
        <v>12500</v>
      </c>
      <c r="AC23" s="10"/>
      <c r="AD23" s="15">
        <f t="shared" si="3"/>
        <v>18950</v>
      </c>
      <c r="AE23" s="15">
        <f t="shared" si="5"/>
        <v>31050</v>
      </c>
    </row>
    <row r="24" spans="1:33" ht="15.6" x14ac:dyDescent="0.3">
      <c r="A24" s="3" t="s">
        <v>20</v>
      </c>
      <c r="B24" s="2" t="s">
        <v>21</v>
      </c>
      <c r="C24" s="10">
        <v>75000</v>
      </c>
      <c r="D24" s="10">
        <v>-75000</v>
      </c>
      <c r="E24" s="10">
        <f t="shared" si="2"/>
        <v>0</v>
      </c>
      <c r="F24" s="10">
        <v>0</v>
      </c>
      <c r="G24" s="10"/>
      <c r="H24" s="10">
        <v>6250</v>
      </c>
      <c r="I24" s="10"/>
      <c r="J24" s="10">
        <v>6250</v>
      </c>
      <c r="K24" s="10"/>
      <c r="L24" s="10">
        <v>6250</v>
      </c>
      <c r="M24" s="10"/>
      <c r="N24" s="10">
        <v>6250</v>
      </c>
      <c r="O24" s="10"/>
      <c r="P24" s="10">
        <v>6250</v>
      </c>
      <c r="Q24" s="10"/>
      <c r="R24" s="10">
        <v>6250</v>
      </c>
      <c r="S24" s="10"/>
      <c r="T24" s="10">
        <v>6250</v>
      </c>
      <c r="U24" s="10"/>
      <c r="V24" s="10">
        <v>6250</v>
      </c>
      <c r="W24" s="10"/>
      <c r="X24" s="10">
        <v>6250</v>
      </c>
      <c r="Y24" s="10"/>
      <c r="Z24" s="10">
        <v>6250</v>
      </c>
      <c r="AA24" s="10"/>
      <c r="AB24" s="10">
        <v>6250</v>
      </c>
      <c r="AC24" s="10"/>
      <c r="AD24" s="15">
        <f t="shared" si="3"/>
        <v>0</v>
      </c>
      <c r="AE24" s="15">
        <f t="shared" si="5"/>
        <v>0</v>
      </c>
    </row>
    <row r="25" spans="1:33" ht="15.6" x14ac:dyDescent="0.3">
      <c r="A25" s="5" t="s">
        <v>22</v>
      </c>
      <c r="B25" s="4" t="s">
        <v>23</v>
      </c>
      <c r="C25" s="10">
        <v>100000</v>
      </c>
      <c r="D25" s="10">
        <v>-100000</v>
      </c>
      <c r="E25" s="10">
        <f t="shared" si="2"/>
        <v>0</v>
      </c>
      <c r="F25" s="10">
        <v>0</v>
      </c>
      <c r="G25" s="10"/>
      <c r="H25" s="10">
        <v>8333.33</v>
      </c>
      <c r="I25" s="10"/>
      <c r="J25" s="10">
        <v>8333.33</v>
      </c>
      <c r="K25" s="10"/>
      <c r="L25" s="10">
        <v>8333.33</v>
      </c>
      <c r="M25" s="10"/>
      <c r="N25" s="10">
        <v>8333.33</v>
      </c>
      <c r="O25" s="10"/>
      <c r="P25" s="10">
        <v>8333.33</v>
      </c>
      <c r="Q25" s="10"/>
      <c r="R25" s="10">
        <v>8333.33</v>
      </c>
      <c r="S25" s="10"/>
      <c r="T25" s="10">
        <v>8333.33</v>
      </c>
      <c r="U25" s="10"/>
      <c r="V25" s="10">
        <v>8333.33</v>
      </c>
      <c r="W25" s="10"/>
      <c r="X25" s="10">
        <v>8333.33</v>
      </c>
      <c r="Y25" s="10"/>
      <c r="Z25" s="10">
        <v>8333.33</v>
      </c>
      <c r="AA25" s="10"/>
      <c r="AB25" s="10">
        <v>8333.33</v>
      </c>
      <c r="AC25" s="10"/>
      <c r="AD25" s="15">
        <f t="shared" si="3"/>
        <v>0</v>
      </c>
      <c r="AE25" s="15">
        <f t="shared" si="5"/>
        <v>0</v>
      </c>
    </row>
    <row r="26" spans="1:33" ht="15.6" x14ac:dyDescent="0.3">
      <c r="A26" s="3" t="s">
        <v>24</v>
      </c>
      <c r="B26" s="2" t="s">
        <v>36</v>
      </c>
      <c r="C26" s="10">
        <v>300000</v>
      </c>
      <c r="D26" s="10">
        <v>-300000</v>
      </c>
      <c r="E26" s="10">
        <f t="shared" si="2"/>
        <v>0</v>
      </c>
      <c r="F26" s="10">
        <v>0</v>
      </c>
      <c r="G26" s="10"/>
      <c r="H26" s="10">
        <v>25000</v>
      </c>
      <c r="I26" s="10"/>
      <c r="J26" s="10">
        <v>25000</v>
      </c>
      <c r="K26" s="10"/>
      <c r="L26" s="10">
        <v>25000</v>
      </c>
      <c r="M26" s="10"/>
      <c r="N26" s="10">
        <v>25000</v>
      </c>
      <c r="O26" s="10"/>
      <c r="P26" s="10">
        <v>25000</v>
      </c>
      <c r="Q26" s="10"/>
      <c r="R26" s="10">
        <v>25000</v>
      </c>
      <c r="S26" s="10"/>
      <c r="T26" s="10">
        <v>25000</v>
      </c>
      <c r="U26" s="10"/>
      <c r="V26" s="10">
        <v>25000</v>
      </c>
      <c r="W26" s="10"/>
      <c r="X26" s="10">
        <v>25000</v>
      </c>
      <c r="Y26" s="10"/>
      <c r="Z26" s="10">
        <v>25000</v>
      </c>
      <c r="AA26" s="10">
        <f>21000</f>
        <v>21000</v>
      </c>
      <c r="AB26" s="10">
        <v>25000</v>
      </c>
      <c r="AC26" s="10"/>
      <c r="AD26" s="15">
        <f t="shared" si="3"/>
        <v>21000</v>
      </c>
      <c r="AE26" s="15">
        <f t="shared" si="5"/>
        <v>-21000</v>
      </c>
    </row>
    <row r="27" spans="1:33" ht="15.6" x14ac:dyDescent="0.3">
      <c r="A27" s="3" t="s">
        <v>25</v>
      </c>
      <c r="B27" s="2" t="s">
        <v>26</v>
      </c>
      <c r="C27" s="10">
        <v>125000</v>
      </c>
      <c r="D27" s="25">
        <v>-100000</v>
      </c>
      <c r="E27" s="10">
        <f t="shared" si="2"/>
        <v>25000</v>
      </c>
      <c r="F27" s="10">
        <f t="shared" si="4"/>
        <v>10416.666666666666</v>
      </c>
      <c r="G27" s="10"/>
      <c r="H27" s="10">
        <v>10416.67</v>
      </c>
      <c r="I27" s="10"/>
      <c r="J27" s="10">
        <v>10416.67</v>
      </c>
      <c r="K27" s="10"/>
      <c r="L27" s="10">
        <v>10416.67</v>
      </c>
      <c r="M27" s="10"/>
      <c r="N27" s="10">
        <v>10416.67</v>
      </c>
      <c r="O27" s="10"/>
      <c r="P27" s="10">
        <v>10416.67</v>
      </c>
      <c r="Q27" s="10"/>
      <c r="R27" s="10">
        <v>10416.67</v>
      </c>
      <c r="S27" s="10"/>
      <c r="T27" s="10">
        <v>10416.67</v>
      </c>
      <c r="U27" s="10"/>
      <c r="V27" s="10">
        <v>10416.67</v>
      </c>
      <c r="W27" s="10"/>
      <c r="X27" s="10">
        <v>10416.67</v>
      </c>
      <c r="Y27" s="10"/>
      <c r="Z27" s="10">
        <v>10416.67</v>
      </c>
      <c r="AA27" s="10"/>
      <c r="AB27" s="10">
        <v>10416.67</v>
      </c>
      <c r="AC27" s="10"/>
      <c r="AD27" s="15">
        <f t="shared" si="3"/>
        <v>0</v>
      </c>
      <c r="AE27" s="15">
        <f t="shared" si="5"/>
        <v>25000</v>
      </c>
    </row>
    <row r="28" spans="1:33" ht="15.6" x14ac:dyDescent="0.3">
      <c r="A28" s="3" t="s">
        <v>27</v>
      </c>
      <c r="B28" s="2" t="s">
        <v>28</v>
      </c>
      <c r="C28" s="10">
        <v>150000</v>
      </c>
      <c r="D28" s="10"/>
      <c r="E28" s="10">
        <f t="shared" si="2"/>
        <v>150000</v>
      </c>
      <c r="F28" s="10">
        <f t="shared" si="4"/>
        <v>12500</v>
      </c>
      <c r="G28" s="10"/>
      <c r="H28" s="10">
        <v>12500</v>
      </c>
      <c r="I28" s="10"/>
      <c r="J28" s="10">
        <v>12500</v>
      </c>
      <c r="K28" s="10"/>
      <c r="L28" s="10">
        <v>12500</v>
      </c>
      <c r="M28" s="10">
        <f>5377+12664</f>
        <v>18041</v>
      </c>
      <c r="N28" s="10">
        <v>12500</v>
      </c>
      <c r="O28" s="10">
        <f>6772.18+3233.15+1690</f>
        <v>11695.33</v>
      </c>
      <c r="P28" s="10">
        <v>12500</v>
      </c>
      <c r="Q28" s="10">
        <v>8600</v>
      </c>
      <c r="R28" s="10">
        <v>12500</v>
      </c>
      <c r="S28" s="10"/>
      <c r="T28" s="10">
        <v>12500</v>
      </c>
      <c r="U28" s="10"/>
      <c r="V28" s="10">
        <v>12500</v>
      </c>
      <c r="W28" s="10">
        <f>28600+7627.4</f>
        <v>36227.4</v>
      </c>
      <c r="X28" s="10">
        <v>12500</v>
      </c>
      <c r="Y28" s="10"/>
      <c r="Z28" s="10">
        <v>12500</v>
      </c>
      <c r="AA28" s="10"/>
      <c r="AB28" s="10">
        <v>12500</v>
      </c>
      <c r="AC28" s="10"/>
      <c r="AD28" s="15">
        <f t="shared" si="3"/>
        <v>74563.73000000001</v>
      </c>
      <c r="AE28" s="15">
        <f t="shared" si="5"/>
        <v>75436.26999999999</v>
      </c>
      <c r="AG28" s="9"/>
    </row>
    <row r="29" spans="1:33" ht="15.6" x14ac:dyDescent="0.3">
      <c r="A29" s="3" t="s">
        <v>29</v>
      </c>
      <c r="B29" s="2" t="s">
        <v>30</v>
      </c>
      <c r="C29" s="73">
        <v>381849</v>
      </c>
      <c r="D29" s="25">
        <v>-331849</v>
      </c>
      <c r="E29" s="10">
        <f t="shared" si="2"/>
        <v>50000</v>
      </c>
      <c r="F29" s="10">
        <f t="shared" si="4"/>
        <v>31820.75</v>
      </c>
      <c r="G29" s="10"/>
      <c r="H29" s="10">
        <v>31820.75</v>
      </c>
      <c r="I29" s="10"/>
      <c r="J29" s="10">
        <v>31820.75</v>
      </c>
      <c r="K29" s="10"/>
      <c r="L29" s="10">
        <v>31820.75</v>
      </c>
      <c r="M29" s="10">
        <v>1290.49</v>
      </c>
      <c r="N29" s="10">
        <v>31820.75</v>
      </c>
      <c r="O29" s="10"/>
      <c r="P29" s="10">
        <v>31820.75</v>
      </c>
      <c r="Q29" s="10"/>
      <c r="R29" s="10">
        <v>31820.75</v>
      </c>
      <c r="S29" s="10"/>
      <c r="T29" s="10">
        <v>31820.75</v>
      </c>
      <c r="U29" s="10"/>
      <c r="V29" s="10">
        <v>31820.75</v>
      </c>
      <c r="W29" s="10"/>
      <c r="X29" s="10">
        <v>31820.75</v>
      </c>
      <c r="Y29" s="10"/>
      <c r="Z29" s="10">
        <v>31820.75</v>
      </c>
      <c r="AA29" s="10"/>
      <c r="AB29" s="10">
        <v>31820.75</v>
      </c>
      <c r="AC29" s="10"/>
      <c r="AD29" s="15">
        <f t="shared" si="3"/>
        <v>1290.49</v>
      </c>
      <c r="AE29" s="15">
        <f t="shared" si="5"/>
        <v>48709.51</v>
      </c>
    </row>
    <row r="30" spans="1:33" ht="15.6" x14ac:dyDescent="0.3">
      <c r="A30" s="3" t="s">
        <v>31</v>
      </c>
      <c r="B30" s="2" t="s">
        <v>32</v>
      </c>
      <c r="C30" s="73">
        <v>100000</v>
      </c>
      <c r="D30" s="25">
        <v>-75000</v>
      </c>
      <c r="E30" s="10">
        <f t="shared" si="2"/>
        <v>25000</v>
      </c>
      <c r="F30" s="10">
        <f t="shared" si="4"/>
        <v>8333.3333333333339</v>
      </c>
      <c r="G30" s="10"/>
      <c r="H30" s="10">
        <v>8333.33</v>
      </c>
      <c r="I30" s="10"/>
      <c r="J30" s="10">
        <v>8333.33</v>
      </c>
      <c r="K30" s="10"/>
      <c r="L30" s="10">
        <v>8333.33</v>
      </c>
      <c r="M30" s="10"/>
      <c r="N30" s="10">
        <v>8333.33</v>
      </c>
      <c r="O30" s="10"/>
      <c r="P30" s="10">
        <v>8333.33</v>
      </c>
      <c r="Q30" s="10"/>
      <c r="R30" s="10">
        <v>8333.33</v>
      </c>
      <c r="S30" s="10"/>
      <c r="T30" s="10">
        <v>8333.33</v>
      </c>
      <c r="U30" s="10"/>
      <c r="V30" s="10">
        <v>8333.33</v>
      </c>
      <c r="W30" s="10"/>
      <c r="X30" s="10">
        <v>8333.33</v>
      </c>
      <c r="Y30" s="10"/>
      <c r="Z30" s="10">
        <v>8333.33</v>
      </c>
      <c r="AA30" s="10"/>
      <c r="AB30" s="10">
        <v>8333.33</v>
      </c>
      <c r="AC30" s="10"/>
      <c r="AD30" s="15">
        <f>AC30+AA30+Y30+W30+U30+S30+Q30+O30+M30+K30+K30+I30+G30</f>
        <v>0</v>
      </c>
      <c r="AE30" s="15">
        <f t="shared" si="5"/>
        <v>25000</v>
      </c>
    </row>
    <row r="31" spans="1:33" s="76" customFormat="1" ht="15.6" x14ac:dyDescent="0.3">
      <c r="A31" s="71" t="s">
        <v>33</v>
      </c>
      <c r="B31" s="72" t="s">
        <v>34</v>
      </c>
      <c r="C31" s="73">
        <v>70000</v>
      </c>
      <c r="D31" s="73">
        <f>80000</f>
        <v>80000</v>
      </c>
      <c r="E31" s="74">
        <f>C31+D31</f>
        <v>150000</v>
      </c>
      <c r="F31" s="73">
        <f t="shared" si="4"/>
        <v>5833.333333333333</v>
      </c>
      <c r="G31" s="73"/>
      <c r="H31" s="73">
        <v>5833.33</v>
      </c>
      <c r="I31" s="73"/>
      <c r="J31" s="73">
        <v>5833.33</v>
      </c>
      <c r="K31" s="73"/>
      <c r="L31" s="73">
        <v>5833.33</v>
      </c>
      <c r="M31" s="73">
        <v>81150</v>
      </c>
      <c r="N31" s="73">
        <v>5833.33</v>
      </c>
      <c r="O31" s="73"/>
      <c r="P31" s="73">
        <v>5833.33</v>
      </c>
      <c r="Q31" s="73"/>
      <c r="R31" s="73">
        <v>5833.33</v>
      </c>
      <c r="S31" s="73"/>
      <c r="T31" s="73">
        <v>5833.33</v>
      </c>
      <c r="U31" s="73"/>
      <c r="V31" s="73">
        <v>5833.33</v>
      </c>
      <c r="W31" s="73"/>
      <c r="X31" s="73">
        <v>5833.33</v>
      </c>
      <c r="Y31" s="73"/>
      <c r="Z31" s="73">
        <v>5833.33</v>
      </c>
      <c r="AA31" s="73"/>
      <c r="AB31" s="73">
        <v>5833.33</v>
      </c>
      <c r="AC31" s="73"/>
      <c r="AD31" s="75">
        <f t="shared" si="3"/>
        <v>81150</v>
      </c>
      <c r="AE31" s="15">
        <f t="shared" si="5"/>
        <v>68850</v>
      </c>
    </row>
    <row r="32" spans="1:33" ht="15.6" x14ac:dyDescent="0.3">
      <c r="A32" s="3" t="s">
        <v>35</v>
      </c>
      <c r="B32" s="2" t="s">
        <v>77</v>
      </c>
      <c r="C32" s="10">
        <v>50000</v>
      </c>
      <c r="D32" s="10">
        <f>175000</f>
        <v>175000</v>
      </c>
      <c r="E32" s="25">
        <f>C32+D32</f>
        <v>225000</v>
      </c>
      <c r="F32" s="10">
        <f t="shared" si="4"/>
        <v>4166.666666666667</v>
      </c>
      <c r="G32" s="10"/>
      <c r="H32" s="10">
        <v>4166.67</v>
      </c>
      <c r="I32" s="10">
        <v>0</v>
      </c>
      <c r="J32" s="10">
        <v>4166.67</v>
      </c>
      <c r="K32" s="10">
        <f>18600</f>
        <v>18600</v>
      </c>
      <c r="L32" s="10">
        <v>4166.67</v>
      </c>
      <c r="M32" s="10">
        <f>20000+19391.3</f>
        <v>39391.300000000003</v>
      </c>
      <c r="N32" s="10">
        <v>4166.67</v>
      </c>
      <c r="O32" s="10"/>
      <c r="P32" s="10">
        <v>4166.67</v>
      </c>
      <c r="Q32" s="10">
        <v>3000</v>
      </c>
      <c r="R32" s="10">
        <v>4166.67</v>
      </c>
      <c r="S32" s="10"/>
      <c r="T32" s="10">
        <v>4166.67</v>
      </c>
      <c r="U32" s="10"/>
      <c r="V32" s="10">
        <v>4166.67</v>
      </c>
      <c r="W32" s="10"/>
      <c r="X32" s="10">
        <v>4166.67</v>
      </c>
      <c r="Y32" s="10"/>
      <c r="Z32" s="10">
        <v>4166.67</v>
      </c>
      <c r="AA32" s="10"/>
      <c r="AB32" s="10">
        <v>4166.67</v>
      </c>
      <c r="AC32" s="10"/>
      <c r="AD32" s="15">
        <f t="shared" si="3"/>
        <v>79591.3</v>
      </c>
      <c r="AE32" s="15">
        <f t="shared" si="5"/>
        <v>145408.70000000001</v>
      </c>
    </row>
    <row r="33" spans="1:32" ht="15.6" x14ac:dyDescent="0.3">
      <c r="A33" s="3" t="s">
        <v>78</v>
      </c>
      <c r="B33" s="2" t="s">
        <v>105</v>
      </c>
      <c r="C33" s="10">
        <v>0</v>
      </c>
      <c r="D33" s="10">
        <f>220000+206849</f>
        <v>426849</v>
      </c>
      <c r="E33" s="25">
        <f>C33+D33</f>
        <v>426849</v>
      </c>
      <c r="F33" s="10">
        <f>E33/12</f>
        <v>35570.75</v>
      </c>
      <c r="G33" s="10"/>
      <c r="H33" s="10">
        <v>18333.330000000002</v>
      </c>
      <c r="I33" s="10"/>
      <c r="J33" s="10">
        <v>18333.330000000002</v>
      </c>
      <c r="K33" s="10"/>
      <c r="L33" s="10">
        <v>18333.330000000002</v>
      </c>
      <c r="M33" s="10"/>
      <c r="N33" s="10">
        <v>18333.330000000002</v>
      </c>
      <c r="O33" s="10">
        <v>15168</v>
      </c>
      <c r="P33" s="10">
        <v>18333.330000000002</v>
      </c>
      <c r="Q33" s="10">
        <v>15168.8</v>
      </c>
      <c r="R33" s="10">
        <v>18333.330000000002</v>
      </c>
      <c r="S33" s="10"/>
      <c r="T33" s="10">
        <v>18333.330000000002</v>
      </c>
      <c r="U33" s="10">
        <v>15168.8</v>
      </c>
      <c r="V33" s="10">
        <v>18333.330000000002</v>
      </c>
      <c r="W33" s="10">
        <f>15168.8+5227.2+5227.2+5227.2</f>
        <v>30850.400000000001</v>
      </c>
      <c r="X33" s="10">
        <v>18333.330000000002</v>
      </c>
      <c r="Y33" s="10">
        <f>15168.8+5122.66+5122.66+5122.66</f>
        <v>30536.78</v>
      </c>
      <c r="Z33" s="10">
        <v>18333.330000000002</v>
      </c>
      <c r="AA33" s="10"/>
      <c r="AB33" s="10">
        <v>18333.330000000002</v>
      </c>
      <c r="AC33" s="10"/>
      <c r="AD33" s="15">
        <f>G33+I33+K33+M33+O33+Q33+S33+U33+W33+Y33+AA33+AC33</f>
        <v>106892.78</v>
      </c>
      <c r="AE33" s="15">
        <f t="shared" si="5"/>
        <v>319956.21999999997</v>
      </c>
    </row>
    <row r="34" spans="1:32" ht="16.2" thickBot="1" x14ac:dyDescent="0.35">
      <c r="A34" s="3"/>
      <c r="B34" s="2"/>
      <c r="C34" s="33">
        <f t="shared" ref="C34:AE34" si="6">SUM(C12:C33)</f>
        <v>3000000</v>
      </c>
      <c r="D34" s="33">
        <f t="shared" si="6"/>
        <v>0</v>
      </c>
      <c r="E34" s="34">
        <f t="shared" si="6"/>
        <v>3000000</v>
      </c>
      <c r="F34" s="33">
        <f t="shared" si="6"/>
        <v>245987.41999999998</v>
      </c>
      <c r="G34" s="33">
        <f t="shared" si="6"/>
        <v>105.75</v>
      </c>
      <c r="H34" s="33">
        <f t="shared" si="6"/>
        <v>268333.32999999996</v>
      </c>
      <c r="I34" s="35">
        <f t="shared" si="6"/>
        <v>24328.77</v>
      </c>
      <c r="J34" s="33">
        <f t="shared" si="6"/>
        <v>268333.32999999996</v>
      </c>
      <c r="K34" s="35">
        <f t="shared" si="6"/>
        <v>51592.36</v>
      </c>
      <c r="L34" s="33">
        <f t="shared" si="6"/>
        <v>268333.32999999996</v>
      </c>
      <c r="M34" s="35">
        <f t="shared" si="6"/>
        <v>148905.1</v>
      </c>
      <c r="N34" s="33">
        <f t="shared" si="6"/>
        <v>268333.32999999996</v>
      </c>
      <c r="O34" s="35">
        <f t="shared" si="6"/>
        <v>532775.55639999988</v>
      </c>
      <c r="P34" s="33">
        <f t="shared" si="6"/>
        <v>268333.32999999996</v>
      </c>
      <c r="Q34" s="35">
        <f t="shared" si="6"/>
        <v>27505.22</v>
      </c>
      <c r="R34" s="33">
        <f t="shared" si="6"/>
        <v>268333.32999999996</v>
      </c>
      <c r="S34" s="35">
        <f t="shared" si="6"/>
        <v>138029.53999999998</v>
      </c>
      <c r="T34" s="33">
        <f t="shared" si="6"/>
        <v>268333.32999999996</v>
      </c>
      <c r="U34" s="35">
        <f t="shared" si="6"/>
        <v>145753.22999999998</v>
      </c>
      <c r="V34" s="33">
        <f t="shared" si="6"/>
        <v>268333.32999999996</v>
      </c>
      <c r="W34" s="35">
        <f t="shared" si="6"/>
        <v>103533.9</v>
      </c>
      <c r="X34" s="33">
        <f t="shared" si="6"/>
        <v>268333.32999999996</v>
      </c>
      <c r="Y34" s="33">
        <f t="shared" si="6"/>
        <v>250505.94</v>
      </c>
      <c r="Z34" s="33">
        <f t="shared" si="6"/>
        <v>268333.32999999996</v>
      </c>
      <c r="AA34" s="35">
        <v>4</v>
      </c>
      <c r="AB34" s="33">
        <f t="shared" si="6"/>
        <v>268333.32999999996</v>
      </c>
      <c r="AC34" s="33">
        <f t="shared" si="6"/>
        <v>0</v>
      </c>
      <c r="AD34" s="33">
        <f t="shared" si="6"/>
        <v>1767993.0563999999</v>
      </c>
      <c r="AE34" s="33">
        <f t="shared" si="6"/>
        <v>1232006.9436000001</v>
      </c>
      <c r="AF34" s="78">
        <f>AE34/E34</f>
        <v>0.41066898120000006</v>
      </c>
    </row>
    <row r="35" spans="1:32" ht="16.2" thickTop="1" x14ac:dyDescent="0.3">
      <c r="A35" s="3"/>
      <c r="B35" s="2"/>
      <c r="C35" s="30"/>
      <c r="D35" s="30"/>
      <c r="E35" s="31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2"/>
      <c r="AE35" s="32"/>
    </row>
    <row r="36" spans="1:32" ht="15.6" x14ac:dyDescent="0.3">
      <c r="A36" s="18" t="s">
        <v>85</v>
      </c>
      <c r="B36" s="6" t="s">
        <v>51</v>
      </c>
      <c r="C36" s="10">
        <v>379431</v>
      </c>
      <c r="D36" s="10">
        <v>0</v>
      </c>
      <c r="E36" s="10">
        <f t="shared" si="2"/>
        <v>379431</v>
      </c>
      <c r="F36" s="10">
        <f t="shared" si="4"/>
        <v>31619.25</v>
      </c>
      <c r="G36" s="10">
        <v>31619.25</v>
      </c>
      <c r="H36" s="10">
        <v>31619.25</v>
      </c>
      <c r="I36" s="10">
        <v>31619.25</v>
      </c>
      <c r="J36" s="10">
        <v>31619.25</v>
      </c>
      <c r="K36" s="10">
        <v>31619.25</v>
      </c>
      <c r="L36" s="10">
        <v>31619.25</v>
      </c>
      <c r="M36" s="10">
        <v>31619.25</v>
      </c>
      <c r="N36" s="10">
        <v>31619.25</v>
      </c>
      <c r="O36" s="10">
        <v>31619.25</v>
      </c>
      <c r="P36" s="12">
        <f>31619.25*1.08</f>
        <v>34148.79</v>
      </c>
      <c r="Q36" s="10">
        <v>34148.79</v>
      </c>
      <c r="R36" s="12">
        <f>31619.25*1.08</f>
        <v>34148.79</v>
      </c>
      <c r="S36" s="10">
        <v>34148.79</v>
      </c>
      <c r="T36" s="12">
        <f>31619.25*1.08</f>
        <v>34148.79</v>
      </c>
      <c r="U36" s="70">
        <v>35974.449999999997</v>
      </c>
      <c r="V36" s="12">
        <f>31619.25*1.08</f>
        <v>34148.79</v>
      </c>
      <c r="W36" s="12">
        <v>34148.79</v>
      </c>
      <c r="X36" s="12">
        <f>31619.25*1.08</f>
        <v>34148.79</v>
      </c>
      <c r="Y36" s="12"/>
      <c r="Z36" s="12">
        <f>31619.25*1.08</f>
        <v>34148.79</v>
      </c>
      <c r="AA36" s="12">
        <v>34148.79</v>
      </c>
      <c r="AB36" s="12">
        <f>31619.25*1.08</f>
        <v>34148.79</v>
      </c>
      <c r="AC36" s="12"/>
      <c r="AD36" s="15">
        <f t="shared" si="3"/>
        <v>362285.11</v>
      </c>
      <c r="AE36" s="15">
        <f>C36-AD36</f>
        <v>17145.890000000014</v>
      </c>
    </row>
    <row r="37" spans="1:32" ht="15.6" x14ac:dyDescent="0.3">
      <c r="A37" s="6" t="s">
        <v>59</v>
      </c>
      <c r="B37" s="6" t="s">
        <v>60</v>
      </c>
      <c r="C37" s="10">
        <v>10741.2</v>
      </c>
      <c r="D37" s="10">
        <v>0</v>
      </c>
      <c r="E37" s="10">
        <f t="shared" si="2"/>
        <v>10741.2</v>
      </c>
      <c r="F37" s="10">
        <f t="shared" si="4"/>
        <v>895.1</v>
      </c>
      <c r="G37" s="10">
        <f>470.98</f>
        <v>470.98</v>
      </c>
      <c r="H37" s="10">
        <v>895.1</v>
      </c>
      <c r="I37" s="10">
        <v>410.21</v>
      </c>
      <c r="J37" s="10">
        <v>895.1</v>
      </c>
      <c r="K37" s="24">
        <v>0</v>
      </c>
      <c r="L37" s="10">
        <v>895.1</v>
      </c>
      <c r="M37" s="10">
        <v>184.97</v>
      </c>
      <c r="N37" s="10">
        <v>895.1</v>
      </c>
      <c r="O37" s="10">
        <v>0</v>
      </c>
      <c r="P37" s="12">
        <f>895.1*1.08</f>
        <v>966.70800000000008</v>
      </c>
      <c r="Q37" s="12">
        <v>458.36</v>
      </c>
      <c r="R37" s="12">
        <f>895.1*1.08</f>
        <v>966.70800000000008</v>
      </c>
      <c r="S37" s="12">
        <v>458.36</v>
      </c>
      <c r="T37" s="12">
        <f>895.1*1.08</f>
        <v>966.70800000000008</v>
      </c>
      <c r="U37" s="12"/>
      <c r="V37" s="12">
        <f>895.1*1.08</f>
        <v>966.70800000000008</v>
      </c>
      <c r="W37" s="12">
        <v>695.18</v>
      </c>
      <c r="X37" s="12">
        <f>895.1*1.08</f>
        <v>966.70800000000008</v>
      </c>
      <c r="Y37" s="12"/>
      <c r="Z37" s="12">
        <f>895.1*1.08</f>
        <v>966.70800000000008</v>
      </c>
      <c r="AA37" s="12">
        <v>293.99</v>
      </c>
      <c r="AB37" s="12">
        <f>895.1*1.08</f>
        <v>966.70800000000008</v>
      </c>
      <c r="AC37" s="12"/>
      <c r="AD37" s="15">
        <f t="shared" si="3"/>
        <v>2972.0499999999997</v>
      </c>
      <c r="AE37" s="15">
        <f>C37-AD37</f>
        <v>7769.1500000000015</v>
      </c>
    </row>
    <row r="38" spans="1:32" ht="15.6" x14ac:dyDescent="0.3">
      <c r="A38" s="6" t="s">
        <v>58</v>
      </c>
      <c r="B38" s="11" t="s">
        <v>61</v>
      </c>
      <c r="C38" s="10">
        <v>20368.8</v>
      </c>
      <c r="D38" s="10">
        <v>0</v>
      </c>
      <c r="E38" s="10">
        <f t="shared" si="2"/>
        <v>20368.8</v>
      </c>
      <c r="F38" s="10">
        <f t="shared" si="4"/>
        <v>1697.3999999999999</v>
      </c>
      <c r="G38" s="10">
        <f>370.42+8196.33</f>
        <v>8566.75</v>
      </c>
      <c r="H38" s="10">
        <v>1697.4</v>
      </c>
      <c r="I38" s="10">
        <v>1198.04</v>
      </c>
      <c r="J38" s="10">
        <v>1697.4</v>
      </c>
      <c r="K38" s="23">
        <f>1063.09+1608.25</f>
        <v>2671.34</v>
      </c>
      <c r="L38" s="10">
        <v>1697.4</v>
      </c>
      <c r="M38" s="10">
        <v>0</v>
      </c>
      <c r="N38" s="10">
        <v>1697.4</v>
      </c>
      <c r="O38" s="10">
        <v>0</v>
      </c>
      <c r="P38" s="12">
        <f>1697.4*1.08</f>
        <v>1833.1920000000002</v>
      </c>
      <c r="Q38" s="12"/>
      <c r="R38" s="12">
        <f>1697.4*1.08</f>
        <v>1833.1920000000002</v>
      </c>
      <c r="S38" s="12"/>
      <c r="T38" s="12">
        <f>1697.4*1.08</f>
        <v>1833.1920000000002</v>
      </c>
      <c r="U38" s="70">
        <f>1310.48+1825</f>
        <v>3135.48</v>
      </c>
      <c r="V38" s="12">
        <f>1697.4*1.08</f>
        <v>1833.1920000000002</v>
      </c>
      <c r="W38" s="12"/>
      <c r="X38" s="12">
        <f>1697.4*1.08</f>
        <v>1833.1920000000002</v>
      </c>
      <c r="Y38" s="12"/>
      <c r="Z38" s="12">
        <f>1697.4*1.08</f>
        <v>1833.1920000000002</v>
      </c>
      <c r="AA38" s="12">
        <v>695.18</v>
      </c>
      <c r="AB38" s="12">
        <f>1697.4*1.08</f>
        <v>1833.1920000000002</v>
      </c>
      <c r="AC38" s="12"/>
      <c r="AD38" s="15">
        <f t="shared" si="3"/>
        <v>18938.13</v>
      </c>
      <c r="AE38" s="15">
        <f>C38-AD38</f>
        <v>1430.6699999999983</v>
      </c>
    </row>
    <row r="39" spans="1:32" ht="16.2" thickBot="1" x14ac:dyDescent="0.35">
      <c r="C39" s="8">
        <f t="shared" ref="C39:AD39" si="7">SUM(C36:C38)</f>
        <v>410541</v>
      </c>
      <c r="D39" s="8">
        <f t="shared" si="7"/>
        <v>0</v>
      </c>
      <c r="E39" s="8">
        <f t="shared" si="7"/>
        <v>410541</v>
      </c>
      <c r="F39" s="8">
        <f t="shared" si="7"/>
        <v>34211.75</v>
      </c>
      <c r="G39" s="8">
        <f t="shared" si="7"/>
        <v>40656.979999999996</v>
      </c>
      <c r="H39" s="8">
        <f t="shared" si="7"/>
        <v>34211.75</v>
      </c>
      <c r="I39" s="8">
        <f t="shared" si="7"/>
        <v>33227.5</v>
      </c>
      <c r="J39" s="8">
        <f t="shared" si="7"/>
        <v>34211.75</v>
      </c>
      <c r="K39" s="8">
        <f t="shared" si="7"/>
        <v>34290.589999999997</v>
      </c>
      <c r="L39" s="8">
        <f t="shared" si="7"/>
        <v>34211.75</v>
      </c>
      <c r="M39" s="8">
        <f t="shared" si="7"/>
        <v>31804.22</v>
      </c>
      <c r="N39" s="8">
        <f t="shared" si="7"/>
        <v>34211.75</v>
      </c>
      <c r="O39" s="8">
        <f t="shared" si="7"/>
        <v>31619.25</v>
      </c>
      <c r="P39" s="8">
        <f t="shared" si="7"/>
        <v>36948.69</v>
      </c>
      <c r="Q39" s="8">
        <f t="shared" si="7"/>
        <v>34607.15</v>
      </c>
      <c r="R39" s="8">
        <f t="shared" si="7"/>
        <v>36948.69</v>
      </c>
      <c r="S39" s="8">
        <f t="shared" si="7"/>
        <v>34607.15</v>
      </c>
      <c r="T39" s="8">
        <f t="shared" si="7"/>
        <v>36948.69</v>
      </c>
      <c r="U39" s="8">
        <f t="shared" si="7"/>
        <v>39109.93</v>
      </c>
      <c r="V39" s="8">
        <f t="shared" si="7"/>
        <v>36948.69</v>
      </c>
      <c r="W39" s="8">
        <f t="shared" si="7"/>
        <v>34843.97</v>
      </c>
      <c r="X39" s="8">
        <f t="shared" si="7"/>
        <v>36948.69</v>
      </c>
      <c r="Y39" s="8">
        <f t="shared" si="7"/>
        <v>0</v>
      </c>
      <c r="Z39" s="8">
        <f t="shared" si="7"/>
        <v>36948.69</v>
      </c>
      <c r="AA39" s="8">
        <f t="shared" si="7"/>
        <v>35137.96</v>
      </c>
      <c r="AB39" s="8">
        <f t="shared" si="7"/>
        <v>36948.69</v>
      </c>
      <c r="AC39" s="8">
        <f t="shared" si="7"/>
        <v>0</v>
      </c>
      <c r="AD39" s="8">
        <f t="shared" si="7"/>
        <v>384195.29</v>
      </c>
      <c r="AE39" s="8">
        <f>SUM(AE36:AE38)</f>
        <v>26345.710000000014</v>
      </c>
    </row>
    <row r="40" spans="1:32" ht="15.6" thickTop="1" thickBot="1" x14ac:dyDescent="0.35">
      <c r="B40" s="9"/>
    </row>
    <row r="41" spans="1:32" ht="15" thickBot="1" x14ac:dyDescent="0.35">
      <c r="A41" s="14" t="s">
        <v>62</v>
      </c>
      <c r="B41" s="13" t="s">
        <v>73</v>
      </c>
      <c r="U41" s="9"/>
      <c r="W41" s="9"/>
      <c r="AA41" s="9"/>
    </row>
    <row r="42" spans="1:32" x14ac:dyDescent="0.3">
      <c r="A42" s="17" t="s">
        <v>64</v>
      </c>
      <c r="B42" t="s">
        <v>66</v>
      </c>
    </row>
    <row r="43" spans="1:32" x14ac:dyDescent="0.3">
      <c r="A43" s="17" t="s">
        <v>65</v>
      </c>
      <c r="B43" t="s">
        <v>67</v>
      </c>
      <c r="S43" s="9"/>
    </row>
    <row r="45" spans="1:32" x14ac:dyDescent="0.3">
      <c r="A45" s="19" t="s">
        <v>68</v>
      </c>
      <c r="B45" t="s">
        <v>69</v>
      </c>
      <c r="C45" t="s">
        <v>71</v>
      </c>
      <c r="F45" s="21">
        <v>221334.75</v>
      </c>
    </row>
    <row r="46" spans="1:32" x14ac:dyDescent="0.3">
      <c r="B46" t="s">
        <v>70</v>
      </c>
      <c r="C46" t="s">
        <v>72</v>
      </c>
      <c r="F46" s="22">
        <f>31919.25*3</f>
        <v>95757.75</v>
      </c>
    </row>
    <row r="47" spans="1:32" ht="15" thickBot="1" x14ac:dyDescent="0.35">
      <c r="F47" s="20">
        <f>SUM(F45:F46)</f>
        <v>317092.5</v>
      </c>
      <c r="I47" t="s">
        <v>103</v>
      </c>
      <c r="J47" s="9">
        <f>M50+N50+D59</f>
        <v>459168.97</v>
      </c>
      <c r="K47" s="9">
        <f>J50-J47</f>
        <v>-9</v>
      </c>
    </row>
    <row r="48" spans="1:32" ht="15" thickTop="1" x14ac:dyDescent="0.3">
      <c r="I48" t="s">
        <v>104</v>
      </c>
      <c r="J48" s="9">
        <f>M51</f>
        <v>785212.75639999984</v>
      </c>
      <c r="K48" s="9">
        <f>M51-J48</f>
        <v>0</v>
      </c>
      <c r="M48" s="87">
        <v>44166</v>
      </c>
      <c r="N48" s="88"/>
      <c r="O48" t="s">
        <v>101</v>
      </c>
      <c r="P48" t="s">
        <v>102</v>
      </c>
    </row>
    <row r="49" spans="3:16" x14ac:dyDescent="0.3">
      <c r="C49" s="26" t="s">
        <v>80</v>
      </c>
      <c r="D49" s="29" t="s">
        <v>37</v>
      </c>
      <c r="E49" s="26" t="s">
        <v>40</v>
      </c>
      <c r="F49" s="26" t="s">
        <v>41</v>
      </c>
      <c r="G49" s="26" t="s">
        <v>42</v>
      </c>
      <c r="H49" s="26" t="s">
        <v>43</v>
      </c>
      <c r="I49" s="26" t="s">
        <v>44</v>
      </c>
      <c r="J49" s="27" t="s">
        <v>64</v>
      </c>
      <c r="K49" s="27" t="s">
        <v>82</v>
      </c>
      <c r="L49" s="27" t="s">
        <v>83</v>
      </c>
      <c r="M49" s="83" t="s">
        <v>100</v>
      </c>
      <c r="N49" s="82" t="s">
        <v>99</v>
      </c>
    </row>
    <row r="50" spans="3:16" x14ac:dyDescent="0.3">
      <c r="C50" s="26" t="s">
        <v>84</v>
      </c>
      <c r="D50" s="24">
        <f>G39+252954.28</f>
        <v>293611.26</v>
      </c>
      <c r="E50" s="24">
        <f>I36+I37+I38</f>
        <v>33227.5</v>
      </c>
      <c r="F50" s="24">
        <f>K36+K38</f>
        <v>34290.589999999997</v>
      </c>
      <c r="G50" s="24">
        <f>M36+M37</f>
        <v>31804.22</v>
      </c>
      <c r="H50" s="24">
        <f>O36</f>
        <v>31619.25</v>
      </c>
      <c r="I50" s="24">
        <f>Q39</f>
        <v>34607.15</v>
      </c>
      <c r="J50" s="24">
        <f>SUM(D50:I50)</f>
        <v>459159.97</v>
      </c>
      <c r="K50" s="28">
        <v>853925.28</v>
      </c>
      <c r="L50" s="24">
        <f>K50-J50</f>
        <v>394765.31000000006</v>
      </c>
      <c r="M50" s="9">
        <f>G39+I39+K39+M39+O39+Q39</f>
        <v>206205.68999999997</v>
      </c>
      <c r="N50" s="28">
        <v>252954.28</v>
      </c>
    </row>
    <row r="51" spans="3:16" x14ac:dyDescent="0.3">
      <c r="C51" s="26" t="s">
        <v>81</v>
      </c>
      <c r="D51" s="24">
        <f>G34</f>
        <v>105.75</v>
      </c>
      <c r="E51" s="24">
        <f>I34</f>
        <v>24328.77</v>
      </c>
      <c r="F51" s="24">
        <f>K34</f>
        <v>51592.36</v>
      </c>
      <c r="G51" s="24">
        <f>M34</f>
        <v>148905.1</v>
      </c>
      <c r="H51" s="24">
        <f>O34</f>
        <v>532775.55639999988</v>
      </c>
      <c r="I51" s="24">
        <f>Q34</f>
        <v>27505.22</v>
      </c>
      <c r="J51" s="24">
        <f>SUM(D51:I51)</f>
        <v>785212.75639999984</v>
      </c>
      <c r="K51" s="24">
        <v>3000000</v>
      </c>
      <c r="L51" s="24">
        <f>K51-J51</f>
        <v>2214787.2436000002</v>
      </c>
      <c r="M51" s="84">
        <f>G34+I34+K34+M34+O34+Q34</f>
        <v>785212.75639999984</v>
      </c>
      <c r="N51" s="28">
        <v>0</v>
      </c>
      <c r="O51">
        <f>81150+3000+18600+39391.3</f>
        <v>142141.29999999999</v>
      </c>
      <c r="P51" s="9">
        <f>M51-O51</f>
        <v>643071.45639999979</v>
      </c>
    </row>
    <row r="52" spans="3:16" x14ac:dyDescent="0.3">
      <c r="I52" s="9">
        <f>S34+U34+W34</f>
        <v>387316.66999999993</v>
      </c>
      <c r="J52" s="86">
        <f>I52+J48</f>
        <v>1172529.4263999998</v>
      </c>
    </row>
    <row r="54" spans="3:16" x14ac:dyDescent="0.3">
      <c r="C54" s="26" t="s">
        <v>80</v>
      </c>
      <c r="D54" s="29" t="s">
        <v>45</v>
      </c>
      <c r="E54" s="26" t="s">
        <v>46</v>
      </c>
      <c r="F54" s="26" t="s">
        <v>39</v>
      </c>
      <c r="G54" s="26" t="s">
        <v>42</v>
      </c>
      <c r="H54" s="26" t="s">
        <v>43</v>
      </c>
      <c r="I54" s="26" t="s">
        <v>44</v>
      </c>
      <c r="J54" s="80" t="s">
        <v>95</v>
      </c>
      <c r="K54" s="80" t="s">
        <v>46</v>
      </c>
      <c r="L54" s="80" t="s">
        <v>47</v>
      </c>
      <c r="M54" s="80" t="s">
        <v>96</v>
      </c>
      <c r="N54" s="80" t="s">
        <v>49</v>
      </c>
      <c r="O54" s="80" t="s">
        <v>79</v>
      </c>
    </row>
    <row r="55" spans="3:16" x14ac:dyDescent="0.3">
      <c r="C55" s="79" t="s">
        <v>84</v>
      </c>
      <c r="D55" s="21">
        <v>34148.79</v>
      </c>
      <c r="E55" s="21">
        <v>34148.79</v>
      </c>
      <c r="F55" s="21">
        <v>34148.79</v>
      </c>
      <c r="G55" s="24">
        <f>M41+M42</f>
        <v>0</v>
      </c>
      <c r="H55" s="24">
        <f>O41</f>
        <v>0</v>
      </c>
      <c r="I55" s="24">
        <f>Q41</f>
        <v>0</v>
      </c>
      <c r="J55" s="81"/>
      <c r="K55" s="81"/>
      <c r="L55" s="81"/>
      <c r="M55" s="81"/>
      <c r="N55" s="81"/>
      <c r="O55" s="81"/>
    </row>
    <row r="56" spans="3:16" x14ac:dyDescent="0.3">
      <c r="C56" s="80" t="s">
        <v>97</v>
      </c>
      <c r="D56" s="81"/>
      <c r="E56" s="81"/>
      <c r="F56" s="81">
        <f>1310.48+1825.66</f>
        <v>3136.1400000000003</v>
      </c>
      <c r="G56" s="81"/>
      <c r="H56" s="81"/>
      <c r="I56" s="81"/>
      <c r="J56" s="81"/>
      <c r="K56" s="81"/>
      <c r="L56" s="81"/>
      <c r="M56" s="81"/>
      <c r="N56" s="81"/>
      <c r="O56" s="81"/>
    </row>
    <row r="57" spans="3:16" x14ac:dyDescent="0.3">
      <c r="C57" s="80" t="s">
        <v>98</v>
      </c>
      <c r="D57" s="81">
        <v>458.36</v>
      </c>
      <c r="E57" s="81">
        <v>458.36</v>
      </c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3:16" x14ac:dyDescent="0.3">
      <c r="D58" s="85">
        <f>D57+D56+D55</f>
        <v>34607.15</v>
      </c>
      <c r="E58" s="85">
        <f>E57+E56+E55</f>
        <v>34607.15</v>
      </c>
      <c r="F58" s="85">
        <f>F57+F56+F55</f>
        <v>37284.93</v>
      </c>
    </row>
    <row r="59" spans="3:16" x14ac:dyDescent="0.3">
      <c r="D59" s="86">
        <v>9</v>
      </c>
    </row>
  </sheetData>
  <mergeCells count="16">
    <mergeCell ref="X3:Y3"/>
    <mergeCell ref="D3:D4"/>
    <mergeCell ref="E3:E4"/>
    <mergeCell ref="Z3:AA3"/>
    <mergeCell ref="AB3:AC3"/>
    <mergeCell ref="L3:M3"/>
    <mergeCell ref="N3:O3"/>
    <mergeCell ref="P3:Q3"/>
    <mergeCell ref="R3:S3"/>
    <mergeCell ref="T3:U3"/>
    <mergeCell ref="V3:W3"/>
    <mergeCell ref="M48:N48"/>
    <mergeCell ref="F3:G3"/>
    <mergeCell ref="H3:I3"/>
    <mergeCell ref="J3:K3"/>
    <mergeCell ref="C3:C4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RENT+OPERATIONAL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Sphamandla Dlamini</dc:creator>
  <cp:lastModifiedBy>hp</cp:lastModifiedBy>
  <dcterms:created xsi:type="dcterms:W3CDTF">2020-08-30T19:14:38Z</dcterms:created>
  <dcterms:modified xsi:type="dcterms:W3CDTF">2021-05-19T07:40:03Z</dcterms:modified>
</cp:coreProperties>
</file>