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wnloads\"/>
    </mc:Choice>
  </mc:AlternateContent>
  <xr:revisionPtr revIDLastSave="0" documentId="13_ncr:1_{BB761AA3-E871-498B-898A-DF8018072967}" xr6:coauthVersionLast="47" xr6:coauthVersionMax="47" xr10:uidLastSave="{00000000-0000-0000-0000-000000000000}"/>
  <bookViews>
    <workbookView xWindow="-120" yWindow="-120" windowWidth="20640" windowHeight="11160" activeTab="1" xr2:uid="{AD06308B-F1C7-44D0-A668-DE16281AAA3D}"/>
  </bookViews>
  <sheets>
    <sheet name="XmR cumulative" sheetId="1" r:id="rId1"/>
    <sheet name="X-bar R cumulative" sheetId="2" r:id="rId2"/>
    <sheet name="lock limits feature" sheetId="8" r:id="rId3"/>
    <sheet name="ANOM" sheetId="9" r:id="rId4"/>
    <sheet name="Sheet2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1" l="1"/>
  <c r="V4" i="2"/>
  <c r="V9" i="2"/>
  <c r="V10" i="2"/>
  <c r="V8" i="2"/>
  <c r="V6" i="2"/>
  <c r="U13" i="1"/>
  <c r="U6" i="1"/>
  <c r="U5" i="1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T15" i="10" s="1"/>
  <c r="F15" i="10"/>
  <c r="G12" i="9"/>
  <c r="F4" i="9"/>
  <c r="F5" i="9"/>
  <c r="F6" i="9"/>
  <c r="F7" i="9"/>
  <c r="F8" i="9"/>
  <c r="F9" i="9"/>
  <c r="F10" i="9"/>
  <c r="F11" i="9"/>
  <c r="F12" i="9"/>
  <c r="F3" i="9"/>
  <c r="G4" i="9"/>
  <c r="G5" i="9"/>
  <c r="G6" i="9"/>
  <c r="G7" i="9"/>
  <c r="G8" i="9"/>
  <c r="G9" i="9"/>
  <c r="G10" i="9"/>
  <c r="G11" i="9"/>
  <c r="G3" i="9"/>
  <c r="V13" i="9" s="1"/>
  <c r="V7" i="2"/>
  <c r="V5" i="2"/>
  <c r="V12" i="2"/>
  <c r="V11" i="2"/>
  <c r="U18" i="1"/>
  <c r="U16" i="1"/>
  <c r="U11" i="1"/>
  <c r="U7" i="1"/>
  <c r="U8" i="1"/>
  <c r="U9" i="1"/>
  <c r="U10" i="1"/>
  <c r="U12" i="1"/>
  <c r="U14" i="1"/>
  <c r="U15" i="1"/>
  <c r="U17" i="1"/>
  <c r="C4" i="2"/>
  <c r="AM16" i="2" s="1"/>
  <c r="C5" i="1"/>
  <c r="P12" i="2"/>
  <c r="P11" i="2"/>
  <c r="P10" i="2"/>
  <c r="P9" i="2"/>
  <c r="P8" i="2"/>
  <c r="P7" i="2"/>
  <c r="P6" i="2"/>
  <c r="P5" i="2"/>
  <c r="P4" i="2"/>
  <c r="S4" i="2" s="1"/>
  <c r="G5" i="1"/>
  <c r="I7" i="1"/>
  <c r="M7" i="1" s="1"/>
  <c r="I6" i="1"/>
  <c r="I5" i="1"/>
  <c r="I4" i="1"/>
  <c r="I11" i="1"/>
  <c r="V11" i="1" s="1"/>
  <c r="I10" i="1"/>
  <c r="M10" i="1" s="1"/>
  <c r="I9" i="1"/>
  <c r="M9" i="1" s="1"/>
  <c r="I8" i="1"/>
  <c r="M8" i="1" s="1"/>
  <c r="V8" i="1" l="1"/>
  <c r="AG4" i="2"/>
  <c r="V6" i="1"/>
  <c r="V10" i="1"/>
  <c r="X10" i="1" s="1"/>
  <c r="W10" i="1"/>
  <c r="V5" i="1"/>
  <c r="W5" i="1"/>
  <c r="X5" i="1" s="1"/>
  <c r="W6" i="1"/>
  <c r="P17" i="10"/>
  <c r="M24" i="10"/>
  <c r="R15" i="10"/>
  <c r="T17" i="10"/>
  <c r="M15" i="10"/>
  <c r="K16" i="10"/>
  <c r="R24" i="10"/>
  <c r="T22" i="10"/>
  <c r="P22" i="10"/>
  <c r="Q21" i="10"/>
  <c r="R20" i="10"/>
  <c r="T18" i="10"/>
  <c r="P18" i="10"/>
  <c r="Q17" i="10"/>
  <c r="R16" i="10"/>
  <c r="Q24" i="10"/>
  <c r="R23" i="10"/>
  <c r="T21" i="10"/>
  <c r="P21" i="10"/>
  <c r="Q20" i="10"/>
  <c r="T24" i="10"/>
  <c r="P24" i="10"/>
  <c r="Q23" i="10"/>
  <c r="R22" i="10"/>
  <c r="T20" i="10"/>
  <c r="P20" i="10"/>
  <c r="Q19" i="10"/>
  <c r="R18" i="10"/>
  <c r="T16" i="10"/>
  <c r="P16" i="10"/>
  <c r="Q15" i="10"/>
  <c r="T23" i="10"/>
  <c r="P23" i="10"/>
  <c r="Q22" i="10"/>
  <c r="R21" i="10"/>
  <c r="T19" i="10"/>
  <c r="P19" i="10"/>
  <c r="Q18" i="10"/>
  <c r="R17" i="10"/>
  <c r="P15" i="10"/>
  <c r="R19" i="10"/>
  <c r="I23" i="10"/>
  <c r="J22" i="10"/>
  <c r="K21" i="10"/>
  <c r="M20" i="10"/>
  <c r="N19" i="10"/>
  <c r="I19" i="10"/>
  <c r="J18" i="10"/>
  <c r="K17" i="10"/>
  <c r="M16" i="10"/>
  <c r="N15" i="10"/>
  <c r="I15" i="10"/>
  <c r="K24" i="10"/>
  <c r="M23" i="10"/>
  <c r="N22" i="10"/>
  <c r="I22" i="10"/>
  <c r="J21" i="10"/>
  <c r="N24" i="10"/>
  <c r="I24" i="10"/>
  <c r="J23" i="10"/>
  <c r="K22" i="10"/>
  <c r="M21" i="10"/>
  <c r="N20" i="10"/>
  <c r="I20" i="10"/>
  <c r="J19" i="10"/>
  <c r="K18" i="10"/>
  <c r="M17" i="10"/>
  <c r="N16" i="10"/>
  <c r="I16" i="10"/>
  <c r="J15" i="10"/>
  <c r="K20" i="10"/>
  <c r="M19" i="10"/>
  <c r="N18" i="10"/>
  <c r="I18" i="10"/>
  <c r="Q16" i="10"/>
  <c r="J17" i="10"/>
  <c r="K15" i="10"/>
  <c r="J16" i="10"/>
  <c r="I17" i="10"/>
  <c r="N17" i="10"/>
  <c r="M18" i="10"/>
  <c r="K19" i="10"/>
  <c r="J20" i="10"/>
  <c r="I21" i="10"/>
  <c r="N21" i="10"/>
  <c r="M22" i="10"/>
  <c r="K23" i="10"/>
  <c r="J24" i="10"/>
  <c r="N23" i="10"/>
  <c r="V6" i="9"/>
  <c r="O7" i="9"/>
  <c r="P12" i="9"/>
  <c r="P8" i="9"/>
  <c r="P4" i="9"/>
  <c r="S10" i="9"/>
  <c r="S6" i="9"/>
  <c r="S3" i="9"/>
  <c r="U9" i="9"/>
  <c r="U5" i="9"/>
  <c r="T11" i="9"/>
  <c r="T7" i="9"/>
  <c r="T12" i="9"/>
  <c r="V10" i="9"/>
  <c r="O10" i="9"/>
  <c r="P11" i="9"/>
  <c r="P7" i="9"/>
  <c r="S9" i="9"/>
  <c r="S5" i="9"/>
  <c r="U12" i="9"/>
  <c r="U8" i="9"/>
  <c r="U4" i="9"/>
  <c r="T10" i="9"/>
  <c r="T6" i="9"/>
  <c r="V3" i="9"/>
  <c r="V9" i="9"/>
  <c r="V5" i="9"/>
  <c r="O4" i="9"/>
  <c r="P10" i="9"/>
  <c r="P6" i="9"/>
  <c r="S12" i="9"/>
  <c r="S8" i="9"/>
  <c r="S4" i="9"/>
  <c r="U11" i="9"/>
  <c r="U7" i="9"/>
  <c r="U3" i="9"/>
  <c r="T9" i="9"/>
  <c r="T5" i="9"/>
  <c r="V12" i="9"/>
  <c r="V8" i="9"/>
  <c r="V4" i="9"/>
  <c r="P9" i="9"/>
  <c r="P5" i="9"/>
  <c r="S11" i="9"/>
  <c r="S7" i="9"/>
  <c r="Q3" i="9"/>
  <c r="U10" i="9"/>
  <c r="U6" i="9"/>
  <c r="T3" i="9"/>
  <c r="T8" i="9"/>
  <c r="T4" i="9"/>
  <c r="V11" i="9"/>
  <c r="V7" i="9"/>
  <c r="N3" i="9"/>
  <c r="K7" i="9"/>
  <c r="L8" i="9"/>
  <c r="M9" i="9"/>
  <c r="N10" i="9"/>
  <c r="O11" i="9"/>
  <c r="O3" i="9"/>
  <c r="K6" i="9"/>
  <c r="L7" i="9"/>
  <c r="M8" i="9"/>
  <c r="N9" i="9"/>
  <c r="O6" i="9"/>
  <c r="L3" i="9"/>
  <c r="P3" i="9"/>
  <c r="K9" i="9"/>
  <c r="K5" i="9"/>
  <c r="L10" i="9"/>
  <c r="L6" i="9"/>
  <c r="M11" i="9"/>
  <c r="M7" i="9"/>
  <c r="N12" i="9"/>
  <c r="N8" i="9"/>
  <c r="N4" i="9"/>
  <c r="O9" i="9"/>
  <c r="O5" i="9"/>
  <c r="K11" i="9"/>
  <c r="L12" i="9"/>
  <c r="L4" i="9"/>
  <c r="M5" i="9"/>
  <c r="N6" i="9"/>
  <c r="K3" i="9"/>
  <c r="K10" i="9"/>
  <c r="L11" i="9"/>
  <c r="M12" i="9"/>
  <c r="M4" i="9"/>
  <c r="N5" i="9"/>
  <c r="M3" i="9"/>
  <c r="K12" i="9"/>
  <c r="K8" i="9"/>
  <c r="K4" i="9"/>
  <c r="L9" i="9"/>
  <c r="L5" i="9"/>
  <c r="M10" i="9"/>
  <c r="M6" i="9"/>
  <c r="N11" i="9"/>
  <c r="N7" i="9"/>
  <c r="O12" i="9"/>
  <c r="O8" i="9"/>
  <c r="H3" i="9"/>
  <c r="Q6" i="9"/>
  <c r="J4" i="9"/>
  <c r="J5" i="9"/>
  <c r="H6" i="9"/>
  <c r="J8" i="9"/>
  <c r="R10" i="9"/>
  <c r="Q5" i="9"/>
  <c r="H9" i="9"/>
  <c r="J7" i="9"/>
  <c r="R5" i="9"/>
  <c r="H12" i="9"/>
  <c r="H8" i="9"/>
  <c r="H4" i="9"/>
  <c r="J10" i="9"/>
  <c r="J6" i="9"/>
  <c r="R3" i="9"/>
  <c r="R8" i="9"/>
  <c r="R4" i="9"/>
  <c r="Q11" i="9"/>
  <c r="Q7" i="9"/>
  <c r="R12" i="9"/>
  <c r="H10" i="9"/>
  <c r="J12" i="9"/>
  <c r="R6" i="9"/>
  <c r="Q9" i="9"/>
  <c r="H5" i="9"/>
  <c r="J11" i="9"/>
  <c r="J3" i="9"/>
  <c r="R9" i="9"/>
  <c r="Q12" i="9"/>
  <c r="Q8" i="9"/>
  <c r="Q4" i="9"/>
  <c r="H11" i="9"/>
  <c r="H7" i="9"/>
  <c r="J9" i="9"/>
  <c r="R11" i="9"/>
  <c r="R7" i="9"/>
  <c r="Q10" i="9"/>
  <c r="I10" i="9"/>
  <c r="I6" i="9"/>
  <c r="I3" i="9"/>
  <c r="I9" i="9"/>
  <c r="I5" i="9"/>
  <c r="I12" i="9"/>
  <c r="I8" i="9"/>
  <c r="I4" i="9"/>
  <c r="I11" i="9"/>
  <c r="I7" i="9"/>
  <c r="AG6" i="2"/>
  <c r="AH4" i="2"/>
  <c r="AI4" i="2" s="1"/>
  <c r="X4" i="2"/>
  <c r="S8" i="2"/>
  <c r="X8" i="2" s="1"/>
  <c r="W11" i="1"/>
  <c r="X11" i="1" s="1"/>
  <c r="W7" i="1"/>
  <c r="V7" i="1"/>
  <c r="W9" i="1"/>
  <c r="V9" i="1"/>
  <c r="W8" i="1"/>
  <c r="X8" i="1" s="1"/>
  <c r="M5" i="1"/>
  <c r="M6" i="1"/>
  <c r="S5" i="2"/>
  <c r="AG5" i="2" s="1"/>
  <c r="S7" i="2"/>
  <c r="S6" i="2"/>
  <c r="AH6" i="2" s="1"/>
  <c r="AM18" i="2"/>
  <c r="AM17" i="2"/>
  <c r="AM15" i="2"/>
  <c r="J5" i="1"/>
  <c r="K5" i="1" s="1"/>
  <c r="Q5" i="1" s="1"/>
  <c r="Q12" i="2"/>
  <c r="Q4" i="2"/>
  <c r="T4" i="2" s="1"/>
  <c r="U4" i="2" s="1"/>
  <c r="AC4" i="2" s="1"/>
  <c r="Q11" i="2"/>
  <c r="Q10" i="2"/>
  <c r="Q9" i="2"/>
  <c r="I13" i="1"/>
  <c r="I12" i="1"/>
  <c r="G8" i="1"/>
  <c r="G7" i="1"/>
  <c r="G6" i="1"/>
  <c r="X9" i="1" l="1"/>
  <c r="Z4" i="2"/>
  <c r="AD4" i="2"/>
  <c r="AB4" i="2"/>
  <c r="W4" i="2"/>
  <c r="X6" i="1"/>
  <c r="L5" i="1"/>
  <c r="AH5" i="2"/>
  <c r="AI5" i="2" s="1"/>
  <c r="AI6" i="2"/>
  <c r="AG7" i="2"/>
  <c r="AH7" i="2"/>
  <c r="AI7" i="2" s="1"/>
  <c r="AH8" i="2"/>
  <c r="AG8" i="2"/>
  <c r="X7" i="1"/>
  <c r="W12" i="1"/>
  <c r="V12" i="1"/>
  <c r="V13" i="1"/>
  <c r="W13" i="1"/>
  <c r="R5" i="1"/>
  <c r="P5" i="1"/>
  <c r="O5" i="1"/>
  <c r="X7" i="2"/>
  <c r="X5" i="2"/>
  <c r="J7" i="1"/>
  <c r="N5" i="1"/>
  <c r="J6" i="1"/>
  <c r="J8" i="1"/>
  <c r="K8" i="1" s="1"/>
  <c r="X6" i="2"/>
  <c r="M11" i="1"/>
  <c r="I14" i="1"/>
  <c r="I15" i="1"/>
  <c r="I16" i="1"/>
  <c r="I17" i="1"/>
  <c r="I18" i="1"/>
  <c r="Q8" i="2"/>
  <c r="Q5" i="2"/>
  <c r="Q6" i="2"/>
  <c r="Q7" i="2"/>
  <c r="AI8" i="2" l="1"/>
  <c r="V17" i="1"/>
  <c r="W17" i="1"/>
  <c r="X13" i="1"/>
  <c r="W16" i="1"/>
  <c r="V16" i="1"/>
  <c r="V15" i="1"/>
  <c r="W15" i="1"/>
  <c r="V18" i="1"/>
  <c r="W18" i="1"/>
  <c r="V14" i="1"/>
  <c r="W14" i="1"/>
  <c r="X12" i="1"/>
  <c r="M18" i="1"/>
  <c r="L6" i="1"/>
  <c r="K6" i="1"/>
  <c r="Q6" i="1" s="1"/>
  <c r="O6" i="1"/>
  <c r="K7" i="1"/>
  <c r="Q7" i="1" s="1"/>
  <c r="O7" i="1"/>
  <c r="P7" i="1"/>
  <c r="L7" i="1"/>
  <c r="N7" i="1"/>
  <c r="AA4" i="2"/>
  <c r="Y4" i="2"/>
  <c r="N6" i="1"/>
  <c r="M17" i="1"/>
  <c r="P8" i="1"/>
  <c r="N8" i="1"/>
  <c r="L8" i="1"/>
  <c r="T6" i="2"/>
  <c r="U6" i="2" s="1"/>
  <c r="T5" i="2"/>
  <c r="T12" i="2"/>
  <c r="T11" i="2"/>
  <c r="Z11" i="2" s="1"/>
  <c r="S12" i="2"/>
  <c r="T7" i="2"/>
  <c r="U7" i="2" s="1"/>
  <c r="S11" i="2"/>
  <c r="S10" i="2"/>
  <c r="S9" i="2"/>
  <c r="T10" i="2"/>
  <c r="T8" i="2"/>
  <c r="T9" i="2"/>
  <c r="AB9" i="2" s="1"/>
  <c r="M12" i="1"/>
  <c r="G9" i="1"/>
  <c r="G10" i="1"/>
  <c r="G11" i="1"/>
  <c r="G12" i="1"/>
  <c r="G13" i="1"/>
  <c r="G14" i="1"/>
  <c r="G15" i="1"/>
  <c r="G16" i="1"/>
  <c r="G17" i="1"/>
  <c r="G18" i="1"/>
  <c r="R7" i="1" l="1"/>
  <c r="S7" i="1" s="1"/>
  <c r="X18" i="1"/>
  <c r="AG9" i="2"/>
  <c r="AH9" i="2"/>
  <c r="AH12" i="2"/>
  <c r="AG12" i="2"/>
  <c r="AH11" i="2"/>
  <c r="AG11" i="2"/>
  <c r="AG10" i="2"/>
  <c r="AH10" i="2"/>
  <c r="W10" i="2"/>
  <c r="X14" i="1"/>
  <c r="X15" i="1"/>
  <c r="X16" i="1"/>
  <c r="X17" i="1"/>
  <c r="S5" i="1"/>
  <c r="U8" i="2"/>
  <c r="AC8" i="2" s="1"/>
  <c r="AA8" i="2"/>
  <c r="Y6" i="2"/>
  <c r="W6" i="2"/>
  <c r="U12" i="2"/>
  <c r="C7" i="2" s="1"/>
  <c r="AA12" i="2"/>
  <c r="AB12" i="2"/>
  <c r="W7" i="2"/>
  <c r="Z7" i="2"/>
  <c r="AB6" i="2"/>
  <c r="Z6" i="2"/>
  <c r="AA6" i="2"/>
  <c r="R8" i="1"/>
  <c r="Q8" i="1"/>
  <c r="R6" i="1"/>
  <c r="S6" i="1" s="1"/>
  <c r="J12" i="1"/>
  <c r="K12" i="1" s="1"/>
  <c r="J11" i="1"/>
  <c r="K11" i="1" s="1"/>
  <c r="J10" i="1"/>
  <c r="K10" i="1" s="1"/>
  <c r="Q10" i="1" s="1"/>
  <c r="J13" i="1"/>
  <c r="K13" i="1" s="1"/>
  <c r="J9" i="1"/>
  <c r="K9" i="1" s="1"/>
  <c r="Z8" i="2"/>
  <c r="AA11" i="2"/>
  <c r="U11" i="2"/>
  <c r="AC11" i="2" s="1"/>
  <c r="U10" i="2"/>
  <c r="AC10" i="2" s="1"/>
  <c r="AA10" i="2"/>
  <c r="Z10" i="2"/>
  <c r="Z12" i="2"/>
  <c r="X9" i="2"/>
  <c r="AA7" i="2"/>
  <c r="AB7" i="2"/>
  <c r="X10" i="2"/>
  <c r="X11" i="2"/>
  <c r="U5" i="2"/>
  <c r="AC5" i="2" s="1"/>
  <c r="AA5" i="2"/>
  <c r="AB5" i="2"/>
  <c r="W5" i="2"/>
  <c r="Y5" i="2"/>
  <c r="Z5" i="2"/>
  <c r="U9" i="2"/>
  <c r="AC9" i="2" s="1"/>
  <c r="AA9" i="2"/>
  <c r="Z9" i="2"/>
  <c r="X12" i="2"/>
  <c r="AD6" i="2"/>
  <c r="AC6" i="2"/>
  <c r="AB8" i="2"/>
  <c r="AB11" i="2"/>
  <c r="AB10" i="2"/>
  <c r="W11" i="2"/>
  <c r="Y11" i="2"/>
  <c r="Y10" i="2"/>
  <c r="Y7" i="2"/>
  <c r="W8" i="2"/>
  <c r="Y8" i="2"/>
  <c r="W12" i="2"/>
  <c r="Y12" i="2"/>
  <c r="W9" i="2"/>
  <c r="Y9" i="2"/>
  <c r="O8" i="1"/>
  <c r="M16" i="1"/>
  <c r="J17" i="1"/>
  <c r="J16" i="1"/>
  <c r="M15" i="1"/>
  <c r="J18" i="1"/>
  <c r="M14" i="1"/>
  <c r="J15" i="1"/>
  <c r="M13" i="1"/>
  <c r="J14" i="1"/>
  <c r="AI10" i="2" l="1"/>
  <c r="AI11" i="2"/>
  <c r="AI9" i="2"/>
  <c r="AJ11" i="2" s="1"/>
  <c r="AI12" i="2"/>
  <c r="AJ6" i="2" s="1"/>
  <c r="AJ10" i="2"/>
  <c r="AC12" i="2"/>
  <c r="C6" i="2"/>
  <c r="C8" i="2" s="1"/>
  <c r="AD11" i="2"/>
  <c r="AE11" i="2" s="1"/>
  <c r="AD12" i="2"/>
  <c r="Y15" i="1"/>
  <c r="Y18" i="1"/>
  <c r="Y10" i="1"/>
  <c r="Y11" i="1"/>
  <c r="Y7" i="1"/>
  <c r="Y14" i="1"/>
  <c r="Y5" i="1"/>
  <c r="Y8" i="1"/>
  <c r="Y9" i="1"/>
  <c r="Y13" i="1"/>
  <c r="Y6" i="1"/>
  <c r="Y17" i="1"/>
  <c r="Y16" i="1"/>
  <c r="Y12" i="1"/>
  <c r="AE4" i="2"/>
  <c r="S8" i="1"/>
  <c r="O11" i="1"/>
  <c r="R13" i="1"/>
  <c r="Q13" i="1"/>
  <c r="Q11" i="1"/>
  <c r="R11" i="1"/>
  <c r="N10" i="1"/>
  <c r="L10" i="1"/>
  <c r="K16" i="1"/>
  <c r="N16" i="1"/>
  <c r="L16" i="1"/>
  <c r="L14" i="1"/>
  <c r="N14" i="1"/>
  <c r="K17" i="1"/>
  <c r="N17" i="1"/>
  <c r="L17" i="1"/>
  <c r="N9" i="1"/>
  <c r="L9" i="1"/>
  <c r="L12" i="1"/>
  <c r="N12" i="1"/>
  <c r="K15" i="1"/>
  <c r="R15" i="1" s="1"/>
  <c r="L15" i="1"/>
  <c r="N15" i="1"/>
  <c r="N11" i="1"/>
  <c r="L11" i="1"/>
  <c r="K18" i="1"/>
  <c r="N18" i="1"/>
  <c r="L18" i="1"/>
  <c r="N13" i="1"/>
  <c r="L13" i="1"/>
  <c r="AD8" i="2"/>
  <c r="AE8" i="2" s="1"/>
  <c r="AC7" i="2"/>
  <c r="AD7" i="2"/>
  <c r="AD10" i="2"/>
  <c r="AE10" i="2" s="1"/>
  <c r="AD9" i="2"/>
  <c r="AE9" i="2" s="1"/>
  <c r="AD5" i="2"/>
  <c r="AE6" i="2"/>
  <c r="P11" i="1"/>
  <c r="O18" i="1"/>
  <c r="P18" i="1"/>
  <c r="O14" i="1"/>
  <c r="P14" i="1"/>
  <c r="P9" i="1"/>
  <c r="O9" i="1"/>
  <c r="O17" i="1"/>
  <c r="P17" i="1"/>
  <c r="P15" i="1"/>
  <c r="O15" i="1"/>
  <c r="O16" i="1"/>
  <c r="P16" i="1"/>
  <c r="O13" i="1"/>
  <c r="P13" i="1"/>
  <c r="K14" i="1"/>
  <c r="Q14" i="1" s="1"/>
  <c r="O12" i="1"/>
  <c r="P12" i="1"/>
  <c r="P10" i="1"/>
  <c r="O10" i="1"/>
  <c r="AJ5" i="2" l="1"/>
  <c r="AJ12" i="2"/>
  <c r="AJ4" i="2"/>
  <c r="AJ7" i="2"/>
  <c r="AE12" i="2"/>
  <c r="AJ9" i="2"/>
  <c r="AJ8" i="2"/>
  <c r="R18" i="1"/>
  <c r="Q18" i="1"/>
  <c r="C8" i="1"/>
  <c r="C7" i="1"/>
  <c r="S13" i="1"/>
  <c r="R17" i="1"/>
  <c r="Q17" i="1"/>
  <c r="R14" i="1"/>
  <c r="Q15" i="1"/>
  <c r="S15" i="1" s="1"/>
  <c r="R16" i="1"/>
  <c r="Q16" i="1"/>
  <c r="Q12" i="1"/>
  <c r="R12" i="1"/>
  <c r="R10" i="1"/>
  <c r="Q9" i="1"/>
  <c r="R9" i="1"/>
  <c r="AE5" i="2"/>
  <c r="AE7" i="2"/>
  <c r="S11" i="1"/>
  <c r="S18" i="1" l="1"/>
  <c r="C9" i="1"/>
  <c r="AF4" i="2"/>
  <c r="AF10" i="2"/>
  <c r="S16" i="1"/>
  <c r="S14" i="1"/>
  <c r="S17" i="1"/>
  <c r="S10" i="1"/>
  <c r="S12" i="1"/>
  <c r="AF6" i="2"/>
  <c r="AF11" i="2"/>
  <c r="AF7" i="2"/>
  <c r="AF5" i="2"/>
  <c r="AF12" i="2"/>
  <c r="AF9" i="2"/>
  <c r="AF8" i="2"/>
  <c r="S9" i="1"/>
  <c r="T5" i="1" l="1"/>
  <c r="T18" i="1"/>
  <c r="T10" i="1"/>
  <c r="T15" i="1"/>
  <c r="T7" i="1"/>
  <c r="T14" i="1"/>
  <c r="T8" i="1"/>
  <c r="T11" i="1"/>
  <c r="T9" i="1"/>
  <c r="T16" i="1"/>
  <c r="T17" i="1"/>
  <c r="T6" i="1"/>
  <c r="T12" i="1"/>
  <c r="T13" i="1"/>
</calcChain>
</file>

<file path=xl/sharedStrings.xml><?xml version="1.0" encoding="utf-8"?>
<sst xmlns="http://schemas.openxmlformats.org/spreadsheetml/2006/main" count="152" uniqueCount="85">
  <si>
    <t>Avg</t>
  </si>
  <si>
    <t>mR</t>
  </si>
  <si>
    <t>Cpl</t>
  </si>
  <si>
    <t>Cpu</t>
  </si>
  <si>
    <t>Cpk</t>
  </si>
  <si>
    <t>Avg Cpk (overall)</t>
  </si>
  <si>
    <t>x1</t>
  </si>
  <si>
    <t>x2</t>
  </si>
  <si>
    <t>Range</t>
  </si>
  <si>
    <t>x UCL</t>
  </si>
  <si>
    <t>x LCL</t>
  </si>
  <si>
    <t>mR UCL</t>
  </si>
  <si>
    <t>x CL</t>
  </si>
  <si>
    <t>mR CL</t>
  </si>
  <si>
    <t>UCL</t>
  </si>
  <si>
    <t>LCL</t>
  </si>
  <si>
    <t>Value</t>
  </si>
  <si>
    <t xml:space="preserve"> </t>
  </si>
  <si>
    <t>Lock Limits</t>
  </si>
  <si>
    <t>New feature:  "Lock Limits" column with ability to add a checkmark to lock in Control Limits:</t>
  </si>
  <si>
    <t>Cumul. Avg mR</t>
  </si>
  <si>
    <t>Cumul. Avg</t>
  </si>
  <si>
    <t>Cumul. Est SD</t>
  </si>
  <si>
    <t>Cumul. Grand Avg</t>
  </si>
  <si>
    <t>Cumul. Avg range</t>
  </si>
  <si>
    <t>Cumul Est SD</t>
  </si>
  <si>
    <t>Avg Cpk</t>
  </si>
  <si>
    <t>Avg UCL</t>
  </si>
  <si>
    <t>Avg CL</t>
  </si>
  <si>
    <t>Avg LCL</t>
  </si>
  <si>
    <t>R UCL</t>
  </si>
  <si>
    <t>R CL</t>
  </si>
  <si>
    <t>R LCL</t>
  </si>
  <si>
    <t>x3</t>
  </si>
  <si>
    <t>x4</t>
  </si>
  <si>
    <t>x5</t>
  </si>
  <si>
    <t>x6</t>
  </si>
  <si>
    <t>x7</t>
  </si>
  <si>
    <t>x8</t>
  </si>
  <si>
    <t>x9</t>
  </si>
  <si>
    <t>x10</t>
  </si>
  <si>
    <t>A2</t>
  </si>
  <si>
    <t>d2</t>
  </si>
  <si>
    <t>D3</t>
  </si>
  <si>
    <t>D4</t>
  </si>
  <si>
    <t>Line plot values (based on selected "lock limits" row)</t>
  </si>
  <si>
    <t>Visible to user</t>
  </si>
  <si>
    <t>Constants:</t>
  </si>
  <si>
    <t>X UCL</t>
  </si>
  <si>
    <t>X CL</t>
  </si>
  <si>
    <t>X LCL</t>
  </si>
  <si>
    <t>Cpu (overall)</t>
  </si>
  <si>
    <t>Cpl (overall)</t>
  </si>
  <si>
    <t>Cpk (overall)</t>
  </si>
  <si>
    <t>USL (optional)</t>
  </si>
  <si>
    <t>LSL (optional)</t>
  </si>
  <si>
    <t>Count:</t>
  </si>
  <si>
    <t>Subgroup size</t>
  </si>
  <si>
    <t>Background cumulative values (keeping visible until after beta testing)</t>
  </si>
  <si>
    <t>Sample Std dev</t>
  </si>
  <si>
    <t>Ppl</t>
  </si>
  <si>
    <t>Ppu</t>
  </si>
  <si>
    <t>Ppk</t>
  </si>
  <si>
    <t>Avg Ppk (overall)</t>
  </si>
  <si>
    <t>Avg Ppk</t>
  </si>
  <si>
    <t>ANOM UDL (α=0.05)</t>
  </si>
  <si>
    <t>ANOM UDL (α=0.01)</t>
  </si>
  <si>
    <t>ANOM UDL (α=0.10)</t>
  </si>
  <si>
    <t>ANOM LDL (α=0.01)</t>
  </si>
  <si>
    <t>ANOM LDL (α=0.05)</t>
  </si>
  <si>
    <t>ANOM LDL (α=0.10)</t>
  </si>
  <si>
    <t>ANOR UDL (α=0.10)</t>
  </si>
  <si>
    <t>ANOR UDL (α=0.05)</t>
  </si>
  <si>
    <t>ANOR UDL (α=0.01)</t>
  </si>
  <si>
    <t>Factor 1, Level 1</t>
  </si>
  <si>
    <t>Factor 1, Level 2</t>
  </si>
  <si>
    <t>Factor 1, Level 3</t>
  </si>
  <si>
    <t>Factor 1, Level 4</t>
  </si>
  <si>
    <t>Factor 1, Level 5</t>
  </si>
  <si>
    <t>Factor 2, Level 1</t>
  </si>
  <si>
    <t>Factor 2, Level 2</t>
  </si>
  <si>
    <t>Factor 2, Level 3</t>
  </si>
  <si>
    <t>Factor 2, Level 4</t>
  </si>
  <si>
    <t>Factor 2, Level 5</t>
  </si>
  <si>
    <t>Factor and Level: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</si>
</sst>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2" fontId="0" fillId="0" borderId="0" xfId="0" applyNumberFormat="1" applyFill="1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2" fontId="0" fillId="3" borderId="0" xfId="0" applyNumberFormat="1" applyFont="1" applyFill="1" applyAlignment="1">
      <alignment horizontal="left"/>
    </xf>
    <xf numFmtId="2" fontId="3" fillId="3" borderId="0" xfId="0" applyNumberFormat="1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2" fontId="6" fillId="0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0" fontId="6" fillId="0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2" fontId="7" fillId="0" borderId="9" xfId="0" applyNumberFormat="1" applyFont="1" applyBorder="1" applyAlignment="1">
      <alignment horizontal="left"/>
    </xf>
    <xf numFmtId="0" fontId="7" fillId="0" borderId="9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left"/>
    </xf>
    <xf numFmtId="0" fontId="8" fillId="0" borderId="0" xfId="0" applyFont="1" applyFill="1" applyAlignment="1">
      <alignment horizontal="left"/>
    </xf>
    <xf numFmtId="0" fontId="9" fillId="4" borderId="0" xfId="0" applyFont="1" applyFill="1" applyBorder="1" applyAlignment="1">
      <alignment horizontal="left"/>
    </xf>
    <xf numFmtId="2" fontId="9" fillId="4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18" xfId="0" applyFont="1" applyFill="1" applyBorder="1" applyAlignment="1">
      <alignment horizontal="left"/>
    </xf>
    <xf numFmtId="0" fontId="9" fillId="0" borderId="24" xfId="0" applyFont="1" applyFill="1" applyBorder="1" applyAlignment="1">
      <alignment horizontal="left"/>
    </xf>
    <xf numFmtId="0" fontId="9" fillId="0" borderId="19" xfId="0" applyFont="1" applyFill="1" applyBorder="1" applyAlignment="1">
      <alignment horizontal="left"/>
    </xf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0" fontId="9" fillId="0" borderId="10" xfId="0" applyFont="1" applyFill="1" applyBorder="1" applyAlignment="1">
      <alignment horizontal="left"/>
    </xf>
    <xf numFmtId="0" fontId="9" fillId="0" borderId="15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8" fillId="4" borderId="0" xfId="0" applyFont="1" applyFill="1" applyBorder="1" applyAlignment="1">
      <alignment horizontal="left"/>
    </xf>
    <xf numFmtId="2" fontId="8" fillId="4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20" xfId="0" applyFont="1" applyBorder="1" applyAlignment="1">
      <alignment horizontal="left"/>
    </xf>
    <xf numFmtId="2" fontId="8" fillId="0" borderId="0" xfId="0" applyNumberFormat="1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6" xfId="0" applyFont="1" applyFill="1" applyBorder="1" applyAlignment="1">
      <alignment horizontal="left"/>
    </xf>
    <xf numFmtId="0" fontId="8" fillId="0" borderId="22" xfId="0" applyFont="1" applyBorder="1" applyAlignment="1">
      <alignment horizontal="left"/>
    </xf>
    <xf numFmtId="2" fontId="8" fillId="0" borderId="25" xfId="0" applyNumberFormat="1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5" xfId="0" applyFont="1" applyFill="1" applyBorder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5" borderId="0" xfId="0" applyFill="1" applyAlignment="1">
      <alignment horizontal="left"/>
    </xf>
    <xf numFmtId="2" fontId="0" fillId="5" borderId="0" xfId="0" applyNumberFormat="1" applyFont="1" applyFill="1" applyAlignment="1">
      <alignment horizontal="left"/>
    </xf>
    <xf numFmtId="2" fontId="4" fillId="5" borderId="0" xfId="0" applyNumberFormat="1" applyFont="1" applyFill="1" applyAlignment="1">
      <alignment horizontal="center"/>
    </xf>
    <xf numFmtId="2" fontId="0" fillId="6" borderId="0" xfId="0" applyNumberFormat="1" applyFont="1" applyFill="1" applyAlignment="1">
      <alignment horizontal="left"/>
    </xf>
    <xf numFmtId="2" fontId="0" fillId="6" borderId="0" xfId="0" applyNumberFormat="1" applyFill="1"/>
    <xf numFmtId="0" fontId="3" fillId="5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left"/>
    </xf>
    <xf numFmtId="2" fontId="4" fillId="5" borderId="0" xfId="0" applyNumberFormat="1" applyFont="1" applyFill="1" applyAlignment="1">
      <alignment horizontal="left"/>
    </xf>
    <xf numFmtId="0" fontId="0" fillId="7" borderId="0" xfId="0" applyFont="1" applyFill="1" applyAlignment="1">
      <alignment horizontal="center"/>
    </xf>
    <xf numFmtId="0" fontId="0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'XmR cumulative'!$F$3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'XmR cumulative'!$F$4:$F$18</c:f>
              <c:numCache>
                <c:formatCode>General</c:formatCode>
                <c:ptCount val="15"/>
                <c:pt idx="0">
                  <c:v>35</c:v>
                </c:pt>
                <c:pt idx="1">
                  <c:v>37</c:v>
                </c:pt>
                <c:pt idx="2">
                  <c:v>34</c:v>
                </c:pt>
                <c:pt idx="3">
                  <c:v>35</c:v>
                </c:pt>
                <c:pt idx="4">
                  <c:v>32</c:v>
                </c:pt>
                <c:pt idx="5">
                  <c:v>34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35</c:v>
                </c:pt>
                <c:pt idx="10">
                  <c:v>33</c:v>
                </c:pt>
                <c:pt idx="11">
                  <c:v>34</c:v>
                </c:pt>
                <c:pt idx="12">
                  <c:v>32</c:v>
                </c:pt>
                <c:pt idx="13">
                  <c:v>35</c:v>
                </c:pt>
                <c:pt idx="1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3-45CC-BE7C-4EC2E28851AB}"/>
            </c:ext>
          </c:extLst>
        </c:ser>
        <c:ser>
          <c:idx val="1"/>
          <c:order val="1"/>
          <c:tx>
            <c:strRef>
              <c:f>'XmR cumulative'!$AA$3</c:f>
              <c:strCache>
                <c:ptCount val="1"/>
                <c:pt idx="0">
                  <c:v>X 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'XmR cumulative'!$AA$4:$AA$18</c:f>
              <c:numCache>
                <c:formatCode>General</c:formatCode>
                <c:ptCount val="15"/>
                <c:pt idx="0">
                  <c:v>39.69</c:v>
                </c:pt>
                <c:pt idx="1">
                  <c:v>39.69</c:v>
                </c:pt>
                <c:pt idx="2">
                  <c:v>39.69</c:v>
                </c:pt>
                <c:pt idx="3">
                  <c:v>39.69</c:v>
                </c:pt>
                <c:pt idx="4">
                  <c:v>39.69</c:v>
                </c:pt>
                <c:pt idx="5">
                  <c:v>39.69</c:v>
                </c:pt>
                <c:pt idx="6">
                  <c:v>39.69</c:v>
                </c:pt>
                <c:pt idx="7">
                  <c:v>39.69</c:v>
                </c:pt>
                <c:pt idx="8">
                  <c:v>39.69</c:v>
                </c:pt>
                <c:pt idx="9">
                  <c:v>39.69</c:v>
                </c:pt>
                <c:pt idx="10">
                  <c:v>39.69</c:v>
                </c:pt>
                <c:pt idx="11">
                  <c:v>39.69</c:v>
                </c:pt>
                <c:pt idx="12">
                  <c:v>39.69</c:v>
                </c:pt>
                <c:pt idx="13">
                  <c:v>39.69</c:v>
                </c:pt>
                <c:pt idx="14">
                  <c:v>39.69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3-45CC-BE7C-4EC2E28851AB}"/>
            </c:ext>
          </c:extLst>
        </c:ser>
        <c:ser>
          <c:idx val="2"/>
          <c:order val="2"/>
          <c:tx>
            <c:strRef>
              <c:f>'XmR cumulative'!$AB$3</c:f>
              <c:strCache>
                <c:ptCount val="1"/>
                <c:pt idx="0">
                  <c:v>X 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'XmR cumulative'!$AB$4:$AB$18</c:f>
              <c:numCache>
                <c:formatCode>General</c:formatCode>
                <c:ptCount val="15"/>
                <c:pt idx="0">
                  <c:v>34.380000000000003</c:v>
                </c:pt>
                <c:pt idx="1">
                  <c:v>34.380000000000003</c:v>
                </c:pt>
                <c:pt idx="2">
                  <c:v>34.380000000000003</c:v>
                </c:pt>
                <c:pt idx="3">
                  <c:v>34.380000000000003</c:v>
                </c:pt>
                <c:pt idx="4">
                  <c:v>34.380000000000003</c:v>
                </c:pt>
                <c:pt idx="5">
                  <c:v>34.380000000000003</c:v>
                </c:pt>
                <c:pt idx="6">
                  <c:v>34.380000000000003</c:v>
                </c:pt>
                <c:pt idx="7">
                  <c:v>34.380000000000003</c:v>
                </c:pt>
                <c:pt idx="8">
                  <c:v>34.380000000000003</c:v>
                </c:pt>
                <c:pt idx="9">
                  <c:v>34.380000000000003</c:v>
                </c:pt>
                <c:pt idx="10">
                  <c:v>34.380000000000003</c:v>
                </c:pt>
                <c:pt idx="11">
                  <c:v>34.380000000000003</c:v>
                </c:pt>
                <c:pt idx="12">
                  <c:v>34.380000000000003</c:v>
                </c:pt>
                <c:pt idx="13">
                  <c:v>34.380000000000003</c:v>
                </c:pt>
                <c:pt idx="14">
                  <c:v>34.380000000000003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3-45CC-BE7C-4EC2E28851AB}"/>
            </c:ext>
          </c:extLst>
        </c:ser>
        <c:ser>
          <c:idx val="3"/>
          <c:order val="3"/>
          <c:tx>
            <c:strRef>
              <c:f>'XmR cumulative'!$AC$3</c:f>
              <c:strCache>
                <c:ptCount val="1"/>
                <c:pt idx="0">
                  <c:v>X 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'XmR cumulative'!$AC$4:$AC$18</c:f>
              <c:numCache>
                <c:formatCode>General</c:formatCode>
                <c:ptCount val="15"/>
                <c:pt idx="0">
                  <c:v>29.06</c:v>
                </c:pt>
                <c:pt idx="1">
                  <c:v>29.06</c:v>
                </c:pt>
                <c:pt idx="2">
                  <c:v>29.06</c:v>
                </c:pt>
                <c:pt idx="3">
                  <c:v>29.06</c:v>
                </c:pt>
                <c:pt idx="4">
                  <c:v>29.06</c:v>
                </c:pt>
                <c:pt idx="5">
                  <c:v>29.06</c:v>
                </c:pt>
                <c:pt idx="6">
                  <c:v>29.06</c:v>
                </c:pt>
                <c:pt idx="7">
                  <c:v>29.06</c:v>
                </c:pt>
                <c:pt idx="8">
                  <c:v>29.06</c:v>
                </c:pt>
                <c:pt idx="9">
                  <c:v>29.06</c:v>
                </c:pt>
                <c:pt idx="10">
                  <c:v>29.06</c:v>
                </c:pt>
                <c:pt idx="11">
                  <c:v>29.06</c:v>
                </c:pt>
                <c:pt idx="12">
                  <c:v>29.06</c:v>
                </c:pt>
                <c:pt idx="13">
                  <c:v>29.06</c:v>
                </c:pt>
                <c:pt idx="14">
                  <c:v>29.06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33-45CC-BE7C-4EC2E2885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053472"/>
        <c:axId val="399047240"/>
      </c:lineChart>
      <c:catAx>
        <c:axId val="39905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47240"/>
        <c:crosses val="autoZero"/>
        <c:auto val="1"/>
        <c:lblAlgn val="ctr"/>
        <c:lblOffset val="100"/>
        <c:noMultiLvlLbl val="0"/>
      </c:catAx>
      <c:valAx>
        <c:axId val="3990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'XmR cumulative'!$G$3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'XmR cumulative'!$G$4:$G$18</c:f>
              <c:numCache>
                <c:formatCode>General</c:formatCode>
                <c:ptCount val="15"/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1-4A37-9CB3-1D77415107F6}"/>
            </c:ext>
          </c:extLst>
        </c:ser>
        <c:ser>
          <c:idx val="1"/>
          <c:order val="1"/>
          <c:tx>
            <c:strRef>
              <c:f>'XmR cumulative'!$AD$3</c:f>
              <c:strCache>
                <c:ptCount val="1"/>
                <c:pt idx="0">
                  <c:v>mR 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'XmR cumulative'!$AD$4:$AD$18</c:f>
              <c:numCache>
                <c:formatCode>General</c:formatCode>
                <c:ptCount val="15"/>
                <c:pt idx="0">
                  <c:v>6.54</c:v>
                </c:pt>
                <c:pt idx="1">
                  <c:v>6.54</c:v>
                </c:pt>
                <c:pt idx="2">
                  <c:v>6.54</c:v>
                </c:pt>
                <c:pt idx="3">
                  <c:v>6.54</c:v>
                </c:pt>
                <c:pt idx="4">
                  <c:v>6.54</c:v>
                </c:pt>
                <c:pt idx="5">
                  <c:v>6.54</c:v>
                </c:pt>
                <c:pt idx="6">
                  <c:v>6.54</c:v>
                </c:pt>
                <c:pt idx="7">
                  <c:v>6.54</c:v>
                </c:pt>
                <c:pt idx="8">
                  <c:v>6.54</c:v>
                </c:pt>
                <c:pt idx="9">
                  <c:v>6.54</c:v>
                </c:pt>
                <c:pt idx="10">
                  <c:v>6.54</c:v>
                </c:pt>
                <c:pt idx="11">
                  <c:v>6.54</c:v>
                </c:pt>
                <c:pt idx="12">
                  <c:v>6.54</c:v>
                </c:pt>
                <c:pt idx="13">
                  <c:v>6.54</c:v>
                </c:pt>
                <c:pt idx="14">
                  <c:v>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1-4A37-9CB3-1D77415107F6}"/>
            </c:ext>
          </c:extLst>
        </c:ser>
        <c:ser>
          <c:idx val="2"/>
          <c:order val="2"/>
          <c:tx>
            <c:strRef>
              <c:f>'XmR cumulative'!$AE$3</c:f>
              <c:strCache>
                <c:ptCount val="1"/>
                <c:pt idx="0">
                  <c:v>mR 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'XmR cumulative'!$AE$4:$AE$18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1-4A37-9CB3-1D774151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088576"/>
        <c:axId val="471084640"/>
      </c:lineChart>
      <c:catAx>
        <c:axId val="47108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84640"/>
        <c:crosses val="autoZero"/>
        <c:auto val="1"/>
        <c:lblAlgn val="ctr"/>
        <c:lblOffset val="100"/>
        <c:noMultiLvlLbl val="0"/>
      </c:catAx>
      <c:valAx>
        <c:axId val="4710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Capability</a:t>
            </a:r>
            <a:r>
              <a:rPr lang="en-US" baseline="0"/>
              <a:t> ratios (cumulative)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'XmR cumulative'!$S$3</c:f>
              <c:strCache>
                <c:ptCount val="1"/>
                <c:pt idx="0">
                  <c:v>Cpk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'XmR cumulative'!$S$4:$S$18</c:f>
              <c:numCache>
                <c:formatCode>General</c:formatCode>
                <c:ptCount val="15"/>
                <c:pt idx="1">
                  <c:v>1.6919999999999997</c:v>
                </c:pt>
                <c:pt idx="2">
                  <c:v>1.4538666666666664</c:v>
                </c:pt>
                <c:pt idx="3">
                  <c:v>1.8329999999999997</c:v>
                </c:pt>
                <c:pt idx="4">
                  <c:v>1.6042666666666665</c:v>
                </c:pt>
                <c:pt idx="5">
                  <c:v>1.6236363636363635</c:v>
                </c:pt>
                <c:pt idx="6">
                  <c:v>1.7457142857142853</c:v>
                </c:pt>
                <c:pt idx="7">
                  <c:v>1.7624999999999997</c:v>
                </c:pt>
                <c:pt idx="8">
                  <c:v>1.8173333333333326</c:v>
                </c:pt>
                <c:pt idx="9">
                  <c:v>1.8236000000000003</c:v>
                </c:pt>
                <c:pt idx="10">
                  <c:v>1.7945454545454544</c:v>
                </c:pt>
                <c:pt idx="11">
                  <c:v>1.8710476190476188</c:v>
                </c:pt>
                <c:pt idx="12">
                  <c:v>1.825926421404682</c:v>
                </c:pt>
                <c:pt idx="13">
                  <c:v>1.7591428571428562</c:v>
                </c:pt>
                <c:pt idx="14">
                  <c:v>1.792266666666666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9-42EB-BF9E-69EF5BCE0AE0}"/>
            </c:ext>
          </c:extLst>
        </c:ser>
        <c:ser>
          <c:idx val="1"/>
          <c:order val="1"/>
          <c:tx>
            <c:strRef>
              <c:f>'XmR cumulative'!$X$3</c:f>
              <c:strCache>
                <c:ptCount val="1"/>
                <c:pt idx="0">
                  <c:v>Ppk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'XmR cumulative'!$X$4:$X$18</c:f>
              <c:numCache>
                <c:formatCode>General</c:formatCode>
                <c:ptCount val="15"/>
                <c:pt idx="1">
                  <c:v>2.1213203435596424</c:v>
                </c:pt>
                <c:pt idx="2">
                  <c:v>2.1094396056145928</c:v>
                </c:pt>
                <c:pt idx="3">
                  <c:v>2.5828380962768356</c:v>
                </c:pt>
                <c:pt idx="4">
                  <c:v>1.7615420242021771</c:v>
                </c:pt>
                <c:pt idx="5">
                  <c:v>1.9271719615922511</c:v>
                </c:pt>
                <c:pt idx="6">
                  <c:v>1.9302200804786207</c:v>
                </c:pt>
                <c:pt idx="7">
                  <c:v>2.075115023849214</c:v>
                </c:pt>
                <c:pt idx="8">
                  <c:v>1.9430731095011429</c:v>
                </c:pt>
                <c:pt idx="9">
                  <c:v>2.0633628045858581</c:v>
                </c:pt>
                <c:pt idx="10">
                  <c:v>2.0234256440251013</c:v>
                </c:pt>
                <c:pt idx="11">
                  <c:v>2.1005290338917528</c:v>
                </c:pt>
                <c:pt idx="12">
                  <c:v>1.937550661041554</c:v>
                </c:pt>
                <c:pt idx="13">
                  <c:v>2.0128758102877495</c:v>
                </c:pt>
                <c:pt idx="14">
                  <c:v>1.9356416367710809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9-42EB-BF9E-69EF5BCE0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99528"/>
        <c:axId val="95197560"/>
      </c:lineChart>
      <c:catAx>
        <c:axId val="95199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7560"/>
        <c:crosses val="autoZero"/>
        <c:auto val="1"/>
        <c:lblAlgn val="ctr"/>
        <c:lblOffset val="100"/>
        <c:noMultiLvlLbl val="0"/>
      </c:catAx>
      <c:valAx>
        <c:axId val="9519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'X-bar R cumulative'!$P$3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pattFill prst="pct5">
                <a:fgClr>
                  <a:schemeClr val="tx1"/>
                </a:fgClr>
                <a:bgClr>
                  <a:schemeClr val="bg1"/>
                </a:bgClr>
              </a:patt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'X-bar R cumulative'!$P$4:$P$12</c:f>
              <c:numCache>
                <c:formatCode>General</c:formatCode>
                <c:ptCount val="9"/>
                <c:pt idx="0">
                  <c:v>3.5</c:v>
                </c:pt>
                <c:pt idx="1">
                  <c:v>3.85</c:v>
                </c:pt>
                <c:pt idx="2">
                  <c:v>3.4000000000000004</c:v>
                </c:pt>
                <c:pt idx="3">
                  <c:v>5.55</c:v>
                </c:pt>
                <c:pt idx="4">
                  <c:v>3.3499999999999996</c:v>
                </c:pt>
                <c:pt idx="5">
                  <c:v>3.8</c:v>
                </c:pt>
                <c:pt idx="6">
                  <c:v>5.45</c:v>
                </c:pt>
                <c:pt idx="7">
                  <c:v>3.45</c:v>
                </c:pt>
                <c:pt idx="8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C-45C8-9615-6941E2B90157}"/>
            </c:ext>
          </c:extLst>
        </c:ser>
        <c:ser>
          <c:idx val="1"/>
          <c:order val="1"/>
          <c:tx>
            <c:strRef>
              <c:f>'X-bar R cumulative'!$AL$3</c:f>
              <c:strCache>
                <c:ptCount val="1"/>
                <c:pt idx="0">
                  <c:v>Avg UCL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'X-bar R cumulative'!$AL$4:$AL$12</c:f>
              <c:numCache>
                <c:formatCode>General</c:formatCode>
                <c:ptCount val="9"/>
                <c:pt idx="0">
                  <c:v>5.98</c:v>
                </c:pt>
                <c:pt idx="1">
                  <c:v>5.98</c:v>
                </c:pt>
                <c:pt idx="2">
                  <c:v>5.98</c:v>
                </c:pt>
                <c:pt idx="3">
                  <c:v>5.98</c:v>
                </c:pt>
                <c:pt idx="4">
                  <c:v>5.98</c:v>
                </c:pt>
                <c:pt idx="5">
                  <c:v>5.98</c:v>
                </c:pt>
                <c:pt idx="6">
                  <c:v>5.98</c:v>
                </c:pt>
                <c:pt idx="7">
                  <c:v>5.98</c:v>
                </c:pt>
                <c:pt idx="8">
                  <c:v>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C-45C8-9615-6941E2B90157}"/>
            </c:ext>
          </c:extLst>
        </c:ser>
        <c:ser>
          <c:idx val="2"/>
          <c:order val="2"/>
          <c:tx>
            <c:strRef>
              <c:f>'X-bar R cumulative'!$AM$3</c:f>
              <c:strCache>
                <c:ptCount val="1"/>
                <c:pt idx="0">
                  <c:v>Avg 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'X-bar R cumulative'!$AM$4:$AM$12</c:f>
              <c:numCache>
                <c:formatCode>General</c:formatCode>
                <c:ptCount val="9"/>
                <c:pt idx="0">
                  <c:v>3.92</c:v>
                </c:pt>
                <c:pt idx="1">
                  <c:v>3.92</c:v>
                </c:pt>
                <c:pt idx="2">
                  <c:v>3.92</c:v>
                </c:pt>
                <c:pt idx="3">
                  <c:v>3.92</c:v>
                </c:pt>
                <c:pt idx="4">
                  <c:v>3.92</c:v>
                </c:pt>
                <c:pt idx="5">
                  <c:v>3.92</c:v>
                </c:pt>
                <c:pt idx="6">
                  <c:v>3.92</c:v>
                </c:pt>
                <c:pt idx="7">
                  <c:v>3.92</c:v>
                </c:pt>
                <c:pt idx="8">
                  <c:v>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C-45C8-9615-6941E2B90157}"/>
            </c:ext>
          </c:extLst>
        </c:ser>
        <c:ser>
          <c:idx val="3"/>
          <c:order val="3"/>
          <c:tx>
            <c:strRef>
              <c:f>'X-bar R cumulative'!$AN$3</c:f>
              <c:strCache>
                <c:ptCount val="1"/>
                <c:pt idx="0">
                  <c:v>Avg LCL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'X-bar R cumulative'!$AN$4:$AN$12</c:f>
              <c:numCache>
                <c:formatCode>General</c:formatCode>
                <c:ptCount val="9"/>
                <c:pt idx="0">
                  <c:v>1.85</c:v>
                </c:pt>
                <c:pt idx="1">
                  <c:v>1.85</c:v>
                </c:pt>
                <c:pt idx="2">
                  <c:v>1.85</c:v>
                </c:pt>
                <c:pt idx="3">
                  <c:v>1.85</c:v>
                </c:pt>
                <c:pt idx="4">
                  <c:v>1.85</c:v>
                </c:pt>
                <c:pt idx="5">
                  <c:v>1.85</c:v>
                </c:pt>
                <c:pt idx="6">
                  <c:v>1.85</c:v>
                </c:pt>
                <c:pt idx="7">
                  <c:v>1.85</c:v>
                </c:pt>
                <c:pt idx="8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C-45C8-9615-6941E2B90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007336"/>
        <c:axId val="572055240"/>
      </c:lineChart>
      <c:catAx>
        <c:axId val="465007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55240"/>
        <c:crosses val="autoZero"/>
        <c:auto val="1"/>
        <c:lblAlgn val="ctr"/>
        <c:lblOffset val="100"/>
        <c:noMultiLvlLbl val="0"/>
      </c:catAx>
      <c:valAx>
        <c:axId val="57205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0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'X-bar R cumulative'!$Q$3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pattFill prst="pct5">
                <a:fgClr>
                  <a:schemeClr val="tx1"/>
                </a:fgClr>
                <a:bgClr>
                  <a:schemeClr val="bg1"/>
                </a:bgClr>
              </a:patt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'X-bar R cumulative'!$Q$4:$Q$12</c:f>
              <c:numCache>
                <c:formatCode>General</c:formatCode>
                <c:ptCount val="9"/>
                <c:pt idx="0">
                  <c:v>0.79999999999999982</c:v>
                </c:pt>
                <c:pt idx="1">
                  <c:v>3.7</c:v>
                </c:pt>
                <c:pt idx="2">
                  <c:v>1.6</c:v>
                </c:pt>
                <c:pt idx="3">
                  <c:v>2.9000000000000004</c:v>
                </c:pt>
                <c:pt idx="4">
                  <c:v>0.89999999999999991</c:v>
                </c:pt>
                <c:pt idx="5">
                  <c:v>0.19999999999999973</c:v>
                </c:pt>
                <c:pt idx="6">
                  <c:v>5.0999999999999996</c:v>
                </c:pt>
                <c:pt idx="7">
                  <c:v>0.69999999999999973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1-4718-8028-BB7EDA7EC13A}"/>
            </c:ext>
          </c:extLst>
        </c:ser>
        <c:ser>
          <c:idx val="1"/>
          <c:order val="1"/>
          <c:tx>
            <c:strRef>
              <c:f>'X-bar R cumulative'!$AO$3</c:f>
              <c:strCache>
                <c:ptCount val="1"/>
                <c:pt idx="0">
                  <c:v>R UCL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'X-bar R cumulative'!$AO$4:$AO$12</c:f>
              <c:numCache>
                <c:formatCode>General</c:formatCode>
                <c:ptCount val="9"/>
                <c:pt idx="0">
                  <c:v>3.59</c:v>
                </c:pt>
                <c:pt idx="1">
                  <c:v>3.59</c:v>
                </c:pt>
                <c:pt idx="2">
                  <c:v>3.59</c:v>
                </c:pt>
                <c:pt idx="3">
                  <c:v>3.59</c:v>
                </c:pt>
                <c:pt idx="4">
                  <c:v>3.59</c:v>
                </c:pt>
                <c:pt idx="5">
                  <c:v>3.59</c:v>
                </c:pt>
                <c:pt idx="6">
                  <c:v>3.59</c:v>
                </c:pt>
                <c:pt idx="7">
                  <c:v>3.59</c:v>
                </c:pt>
                <c:pt idx="8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1-4718-8028-BB7EDA7EC13A}"/>
            </c:ext>
          </c:extLst>
        </c:ser>
        <c:ser>
          <c:idx val="2"/>
          <c:order val="2"/>
          <c:tx>
            <c:strRef>
              <c:f>'X-bar R cumulative'!$AP$3</c:f>
              <c:strCache>
                <c:ptCount val="1"/>
                <c:pt idx="0">
                  <c:v>R 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'X-bar R cumulative'!$AP$4:$AP$12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1-4718-8028-BB7EDA7EC13A}"/>
            </c:ext>
          </c:extLst>
        </c:ser>
        <c:ser>
          <c:idx val="3"/>
          <c:order val="3"/>
          <c:tx>
            <c:strRef>
              <c:f>'X-bar R cumulative'!$AQ$3</c:f>
              <c:strCache>
                <c:ptCount val="1"/>
                <c:pt idx="0">
                  <c:v>R LCL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'X-bar R cumulative'!$AQ$4:$AQ$12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A1-4718-8028-BB7EDA7EC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383880"/>
        <c:axId val="462385192"/>
      </c:lineChart>
      <c:catAx>
        <c:axId val="462383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85192"/>
        <c:crosses val="autoZero"/>
        <c:auto val="1"/>
        <c:lblAlgn val="ctr"/>
        <c:lblOffset val="100"/>
        <c:noMultiLvlLbl val="0"/>
      </c:catAx>
      <c:valAx>
        <c:axId val="46238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8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Capability</a:t>
            </a:r>
            <a:r>
              <a:rPr lang="en-US" baseline="0"/>
              <a:t> ratios (cumulative)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'X-bar R cumulative'!$AE$3</c:f>
              <c:strCache>
                <c:ptCount val="1"/>
                <c:pt idx="0">
                  <c:v>Cpk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'X-bar R cumulative'!$AE$4:$AE$12</c:f>
              <c:numCache>
                <c:formatCode>0.00</c:formatCode>
                <c:ptCount val="9"/>
                <c:pt idx="0">
                  <c:v>1.175</c:v>
                </c:pt>
                <c:pt idx="1">
                  <c:v>0.4470222222222221</c:v>
                </c:pt>
                <c:pt idx="2">
                  <c:v>0.47770491803278697</c:v>
                </c:pt>
                <c:pt idx="3">
                  <c:v>0.51386666666666658</c:v>
                </c:pt>
                <c:pt idx="4">
                  <c:v>0.55640404040404023</c:v>
                </c:pt>
                <c:pt idx="5">
                  <c:v>0.64962376237623753</c:v>
                </c:pt>
                <c:pt idx="6">
                  <c:v>0.54173684210526307</c:v>
                </c:pt>
                <c:pt idx="7">
                  <c:v>0.57582389937106915</c:v>
                </c:pt>
                <c:pt idx="8">
                  <c:v>0.51426455026455031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5-4B25-B804-5614A66A6988}"/>
            </c:ext>
          </c:extLst>
        </c:ser>
        <c:ser>
          <c:idx val="1"/>
          <c:order val="1"/>
          <c:tx>
            <c:strRef>
              <c:f>'X-bar R cumulative'!$AF$3</c:f>
              <c:strCache>
                <c:ptCount val="1"/>
                <c:pt idx="0">
                  <c:v>Avg Cpk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'X-bar R cumulative'!$AF$4:$AF$12</c:f>
              <c:numCache>
                <c:formatCode>0.00</c:formatCode>
                <c:ptCount val="9"/>
                <c:pt idx="0">
                  <c:v>0.60571632238253725</c:v>
                </c:pt>
                <c:pt idx="1">
                  <c:v>0.60571632238253725</c:v>
                </c:pt>
                <c:pt idx="2">
                  <c:v>0.60571632238253725</c:v>
                </c:pt>
                <c:pt idx="3">
                  <c:v>0.60571632238253725</c:v>
                </c:pt>
                <c:pt idx="4">
                  <c:v>0.60571632238253725</c:v>
                </c:pt>
                <c:pt idx="5">
                  <c:v>0.60571632238253725</c:v>
                </c:pt>
                <c:pt idx="6">
                  <c:v>0.60571632238253725</c:v>
                </c:pt>
                <c:pt idx="7">
                  <c:v>0.60571632238253725</c:v>
                </c:pt>
                <c:pt idx="8">
                  <c:v>0.60571632238253725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5-4B25-B804-5614A66A6988}"/>
            </c:ext>
          </c:extLst>
        </c:ser>
        <c:ser>
          <c:idx val="2"/>
          <c:order val="2"/>
          <c:tx>
            <c:strRef>
              <c:f>'X-bar R cumulative'!$AI$3</c:f>
              <c:strCache>
                <c:ptCount val="1"/>
                <c:pt idx="0">
                  <c:v>Ppk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'X-bar R cumulative'!$AI$4:$AI$12</c:f>
              <c:numCache>
                <c:formatCode>0.00</c:formatCode>
                <c:ptCount val="9"/>
                <c:pt idx="0">
                  <c:v>1.4731391274719734</c:v>
                </c:pt>
                <c:pt idx="1">
                  <c:v>0.64893550564724267</c:v>
                </c:pt>
                <c:pt idx="2">
                  <c:v>0.70828490165266522</c:v>
                </c:pt>
                <c:pt idx="3">
                  <c:v>0.65618900965609217</c:v>
                </c:pt>
                <c:pt idx="4">
                  <c:v>0.68134845100525832</c:v>
                </c:pt>
                <c:pt idx="5">
                  <c:v>0.74040960423782864</c:v>
                </c:pt>
                <c:pt idx="6">
                  <c:v>0.63269065312700168</c:v>
                </c:pt>
                <c:pt idx="7">
                  <c:v>0.65037353861300728</c:v>
                </c:pt>
                <c:pt idx="8">
                  <c:v>0.58998238170943229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5-4B25-B804-5614A66A6988}"/>
            </c:ext>
          </c:extLst>
        </c:ser>
        <c:ser>
          <c:idx val="3"/>
          <c:order val="3"/>
          <c:tx>
            <c:strRef>
              <c:f>'X-bar R cumulative'!$AJ$3</c:f>
              <c:strCache>
                <c:ptCount val="1"/>
                <c:pt idx="0">
                  <c:v>Avg Ppk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'X-bar R cumulative'!$AJ$4:$AJ$12</c:f>
              <c:numCache>
                <c:formatCode>0.00</c:formatCode>
                <c:ptCount val="9"/>
                <c:pt idx="0">
                  <c:v>0.75348368590227788</c:v>
                </c:pt>
                <c:pt idx="1">
                  <c:v>0.75348368590227788</c:v>
                </c:pt>
                <c:pt idx="2">
                  <c:v>0.75348368590227788</c:v>
                </c:pt>
                <c:pt idx="3">
                  <c:v>0.75348368590227788</c:v>
                </c:pt>
                <c:pt idx="4">
                  <c:v>0.75348368590227788</c:v>
                </c:pt>
                <c:pt idx="5">
                  <c:v>0.75348368590227788</c:v>
                </c:pt>
                <c:pt idx="6">
                  <c:v>0.75348368590227788</c:v>
                </c:pt>
                <c:pt idx="7">
                  <c:v>0.75348368590227788</c:v>
                </c:pt>
                <c:pt idx="8">
                  <c:v>0.75348368590227788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45-4B25-B804-5614A66A6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886232"/>
        <c:axId val="469883608"/>
      </c:lineChart>
      <c:catAx>
        <c:axId val="469886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83608"/>
        <c:crosses val="autoZero"/>
        <c:auto val="1"/>
        <c:lblAlgn val="ctr"/>
        <c:lblOffset val="100"/>
        <c:noMultiLvlLbl val="0"/>
      </c:catAx>
      <c:valAx>
        <c:axId val="46988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8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Sheet2!$F$15:$F$24</c:f>
              <c:numCache>
                <c:formatCode>0.00</c:formatCode>
                <c:ptCount val="10"/>
                <c:pt idx="0">
                  <c:v>36.666666666666664</c:v>
                </c:pt>
                <c:pt idx="1">
                  <c:v>34.666666666666664</c:v>
                </c:pt>
                <c:pt idx="2">
                  <c:v>31.333333333333332</c:v>
                </c:pt>
                <c:pt idx="3">
                  <c:v>23.666666666666668</c:v>
                </c:pt>
                <c:pt idx="4">
                  <c:v>19.666666666666668</c:v>
                </c:pt>
                <c:pt idx="5">
                  <c:v>41.666666666666664</c:v>
                </c:pt>
                <c:pt idx="6">
                  <c:v>39.666666666666664</c:v>
                </c:pt>
                <c:pt idx="7">
                  <c:v>36.333333333333336</c:v>
                </c:pt>
                <c:pt idx="8">
                  <c:v>40.666666666666664</c:v>
                </c:pt>
                <c:pt idx="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F-489C-B2D3-682A7B6AC9FC}"/>
            </c:ext>
          </c:extLst>
        </c:ser>
        <c:ser>
          <c:idx val="1"/>
          <c:order val="1"/>
          <c:tx>
            <c:strRef>
              <c:f>Sheet2!$I$14</c:f>
              <c:strCache>
                <c:ptCount val="1"/>
                <c:pt idx="0">
                  <c:v>Avg 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Sheet2!$I$15:$I$24</c:f>
              <c:numCache>
                <c:formatCode>General</c:formatCode>
                <c:ptCount val="10"/>
                <c:pt idx="0">
                  <c:v>40.689733333333336</c:v>
                </c:pt>
                <c:pt idx="1">
                  <c:v>40.689733333333336</c:v>
                </c:pt>
                <c:pt idx="2">
                  <c:v>40.689733333333336</c:v>
                </c:pt>
                <c:pt idx="3">
                  <c:v>40.689733333333336</c:v>
                </c:pt>
                <c:pt idx="4">
                  <c:v>40.689733333333336</c:v>
                </c:pt>
                <c:pt idx="5">
                  <c:v>40.689733333333336</c:v>
                </c:pt>
                <c:pt idx="6">
                  <c:v>40.689733333333336</c:v>
                </c:pt>
                <c:pt idx="7">
                  <c:v>40.689733333333336</c:v>
                </c:pt>
                <c:pt idx="8">
                  <c:v>40.689733333333336</c:v>
                </c:pt>
                <c:pt idx="9">
                  <c:v>40.689733333333336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F-489C-B2D3-682A7B6AC9FC}"/>
            </c:ext>
          </c:extLst>
        </c:ser>
        <c:ser>
          <c:idx val="2"/>
          <c:order val="2"/>
          <c:tx>
            <c:strRef>
              <c:f>Sheet2!$J$14</c:f>
              <c:strCache>
                <c:ptCount val="1"/>
                <c:pt idx="0">
                  <c:v>Avg 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Sheet2!$J$15:$J$24</c:f>
              <c:numCache>
                <c:formatCode>0.00</c:formatCode>
                <c:ptCount val="10"/>
                <c:pt idx="0">
                  <c:v>33.733333333333334</c:v>
                </c:pt>
                <c:pt idx="1">
                  <c:v>33.733333333333334</c:v>
                </c:pt>
                <c:pt idx="2">
                  <c:v>33.733333333333334</c:v>
                </c:pt>
                <c:pt idx="3">
                  <c:v>33.733333333333334</c:v>
                </c:pt>
                <c:pt idx="4">
                  <c:v>33.733333333333334</c:v>
                </c:pt>
                <c:pt idx="5">
                  <c:v>33.733333333333334</c:v>
                </c:pt>
                <c:pt idx="6">
                  <c:v>33.733333333333334</c:v>
                </c:pt>
                <c:pt idx="7">
                  <c:v>33.733333333333334</c:v>
                </c:pt>
                <c:pt idx="8">
                  <c:v>33.733333333333334</c:v>
                </c:pt>
                <c:pt idx="9">
                  <c:v>33.733333333333334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F-489C-B2D3-682A7B6AC9FC}"/>
            </c:ext>
          </c:extLst>
        </c:ser>
        <c:ser>
          <c:idx val="3"/>
          <c:order val="3"/>
          <c:tx>
            <c:strRef>
              <c:f>Sheet2!$K$14</c:f>
              <c:strCache>
                <c:ptCount val="1"/>
                <c:pt idx="0">
                  <c:v>Avg 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Sheet2!$K$15:$K$24</c:f>
              <c:numCache>
                <c:formatCode>General</c:formatCode>
                <c:ptCount val="10"/>
                <c:pt idx="0">
                  <c:v>26.776933333333336</c:v>
                </c:pt>
                <c:pt idx="1">
                  <c:v>26.776933333333336</c:v>
                </c:pt>
                <c:pt idx="2">
                  <c:v>26.776933333333336</c:v>
                </c:pt>
                <c:pt idx="3">
                  <c:v>26.776933333333336</c:v>
                </c:pt>
                <c:pt idx="4">
                  <c:v>26.776933333333336</c:v>
                </c:pt>
                <c:pt idx="5">
                  <c:v>26.776933333333336</c:v>
                </c:pt>
                <c:pt idx="6">
                  <c:v>26.776933333333336</c:v>
                </c:pt>
                <c:pt idx="7">
                  <c:v>26.776933333333336</c:v>
                </c:pt>
                <c:pt idx="8">
                  <c:v>26.776933333333336</c:v>
                </c:pt>
                <c:pt idx="9">
                  <c:v>26.776933333333336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CF-489C-B2D3-682A7B6AC9FC}"/>
            </c:ext>
          </c:extLst>
        </c:ser>
        <c:ser>
          <c:idx val="4"/>
          <c:order val="4"/>
          <c:tx>
            <c:strRef>
              <c:f>Sheet2!$M$14</c:f>
              <c:strCache>
                <c:ptCount val="1"/>
                <c:pt idx="0">
                  <c:v>ANOM UDL (α=0.10)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Sheet2!$M$15:$M$24</c:f>
              <c:numCache>
                <c:formatCode>General</c:formatCode>
                <c:ptCount val="10"/>
                <c:pt idx="0">
                  <c:v>39.805733333333336</c:v>
                </c:pt>
                <c:pt idx="1">
                  <c:v>39.805733333333336</c:v>
                </c:pt>
                <c:pt idx="2">
                  <c:v>39.805733333333336</c:v>
                </c:pt>
                <c:pt idx="3">
                  <c:v>39.805733333333336</c:v>
                </c:pt>
                <c:pt idx="4">
                  <c:v>39.805733333333336</c:v>
                </c:pt>
                <c:pt idx="5">
                  <c:v>39.805733333333336</c:v>
                </c:pt>
                <c:pt idx="6">
                  <c:v>39.805733333333336</c:v>
                </c:pt>
                <c:pt idx="7">
                  <c:v>39.805733333333336</c:v>
                </c:pt>
                <c:pt idx="8">
                  <c:v>39.805733333333336</c:v>
                </c:pt>
                <c:pt idx="9">
                  <c:v>39.805733333333336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CF-489C-B2D3-682A7B6AC9FC}"/>
            </c:ext>
          </c:extLst>
        </c:ser>
        <c:ser>
          <c:idx val="5"/>
          <c:order val="5"/>
          <c:tx>
            <c:strRef>
              <c:f>Sheet2!$N$14</c:f>
              <c:strCache>
                <c:ptCount val="1"/>
                <c:pt idx="0">
                  <c:v>ANOM LDL (α=0.10)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Sheet2!$N$15:$N$24</c:f>
              <c:numCache>
                <c:formatCode>General</c:formatCode>
                <c:ptCount val="10"/>
                <c:pt idx="0">
                  <c:v>27.660933333333332</c:v>
                </c:pt>
                <c:pt idx="1">
                  <c:v>27.660933333333332</c:v>
                </c:pt>
                <c:pt idx="2">
                  <c:v>27.660933333333332</c:v>
                </c:pt>
                <c:pt idx="3">
                  <c:v>27.660933333333332</c:v>
                </c:pt>
                <c:pt idx="4">
                  <c:v>27.660933333333332</c:v>
                </c:pt>
                <c:pt idx="5">
                  <c:v>27.660933333333332</c:v>
                </c:pt>
                <c:pt idx="6">
                  <c:v>27.660933333333332</c:v>
                </c:pt>
                <c:pt idx="7">
                  <c:v>27.660933333333332</c:v>
                </c:pt>
                <c:pt idx="8">
                  <c:v>27.660933333333332</c:v>
                </c:pt>
                <c:pt idx="9">
                  <c:v>27.660933333333332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CF-489C-B2D3-682A7B6A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309008"/>
        <c:axId val="657304416"/>
      </c:lineChart>
      <c:catAx>
        <c:axId val="65730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04416"/>
        <c:crosses val="autoZero"/>
        <c:auto val="1"/>
        <c:lblAlgn val="ctr"/>
        <c:lblOffset val="100"/>
        <c:noMultiLvlLbl val="0"/>
      </c:catAx>
      <c:valAx>
        <c:axId val="657304416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Sheet2!$G$14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Sheet2!$G$15:$G$24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12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D-4A3F-B9BC-C35FC6355FE5}"/>
            </c:ext>
          </c:extLst>
        </c:ser>
        <c:ser>
          <c:idx val="1"/>
          <c:order val="1"/>
          <c:tx>
            <c:strRef>
              <c:f>Sheet2!$P$14</c:f>
              <c:strCache>
                <c:ptCount val="1"/>
                <c:pt idx="0">
                  <c:v>R 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Sheet2!$P$15:$P$24</c:f>
              <c:numCache>
                <c:formatCode>General</c:formatCode>
                <c:ptCount val="10"/>
                <c:pt idx="0">
                  <c:v>17.5032</c:v>
                </c:pt>
                <c:pt idx="1">
                  <c:v>17.5032</c:v>
                </c:pt>
                <c:pt idx="2">
                  <c:v>17.5032</c:v>
                </c:pt>
                <c:pt idx="3">
                  <c:v>17.5032</c:v>
                </c:pt>
                <c:pt idx="4">
                  <c:v>17.5032</c:v>
                </c:pt>
                <c:pt idx="5">
                  <c:v>17.5032</c:v>
                </c:pt>
                <c:pt idx="6">
                  <c:v>17.5032</c:v>
                </c:pt>
                <c:pt idx="7">
                  <c:v>17.5032</c:v>
                </c:pt>
                <c:pt idx="8">
                  <c:v>17.5032</c:v>
                </c:pt>
                <c:pt idx="9">
                  <c:v>17.5032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D-4A3F-B9BC-C35FC6355FE5}"/>
            </c:ext>
          </c:extLst>
        </c:ser>
        <c:ser>
          <c:idx val="2"/>
          <c:order val="2"/>
          <c:tx>
            <c:strRef>
              <c:f>Sheet2!$Q$14</c:f>
              <c:strCache>
                <c:ptCount val="1"/>
                <c:pt idx="0">
                  <c:v>R 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Sheet2!$Q$15:$Q$24</c:f>
              <c:numCache>
                <c:formatCode>General</c:formatCode>
                <c:ptCount val="10"/>
                <c:pt idx="0">
                  <c:v>6.8</c:v>
                </c:pt>
                <c:pt idx="1">
                  <c:v>6.8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6.8</c:v>
                </c:pt>
                <c:pt idx="6">
                  <c:v>6.8</c:v>
                </c:pt>
                <c:pt idx="7">
                  <c:v>6.8</c:v>
                </c:pt>
                <c:pt idx="8">
                  <c:v>6.8</c:v>
                </c:pt>
                <c:pt idx="9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D-4A3F-B9BC-C35FC6355FE5}"/>
            </c:ext>
          </c:extLst>
        </c:ser>
        <c:ser>
          <c:idx val="3"/>
          <c:order val="3"/>
          <c:tx>
            <c:strRef>
              <c:f>Sheet2!$R$14</c:f>
              <c:strCache>
                <c:ptCount val="1"/>
                <c:pt idx="0">
                  <c:v>R 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Sheet2!$R$15:$R$24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AD-4A3F-B9BC-C35FC6355FE5}"/>
            </c:ext>
          </c:extLst>
        </c:ser>
        <c:ser>
          <c:idx val="4"/>
          <c:order val="4"/>
          <c:tx>
            <c:strRef>
              <c:f>Sheet2!$T$14</c:f>
              <c:strCache>
                <c:ptCount val="1"/>
                <c:pt idx="0">
                  <c:v>ANOR UDL (α=0.05)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Sheet2!$T$15:$T$24</c:f>
              <c:numCache>
                <c:formatCode>General</c:formatCode>
                <c:ptCount val="10"/>
                <c:pt idx="0">
                  <c:v>17.129200000000001</c:v>
                </c:pt>
                <c:pt idx="1">
                  <c:v>17.129200000000001</c:v>
                </c:pt>
                <c:pt idx="2">
                  <c:v>17.129200000000001</c:v>
                </c:pt>
                <c:pt idx="3">
                  <c:v>17.129200000000001</c:v>
                </c:pt>
                <c:pt idx="4">
                  <c:v>17.129200000000001</c:v>
                </c:pt>
                <c:pt idx="5">
                  <c:v>17.129200000000001</c:v>
                </c:pt>
                <c:pt idx="6">
                  <c:v>17.129200000000001</c:v>
                </c:pt>
                <c:pt idx="7">
                  <c:v>17.129200000000001</c:v>
                </c:pt>
                <c:pt idx="8">
                  <c:v>17.129200000000001</c:v>
                </c:pt>
                <c:pt idx="9">
                  <c:v>17.129200000000001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AD-4A3F-B9BC-C35FC6355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423320"/>
        <c:axId val="658424960"/>
      </c:lineChart>
      <c:catAx>
        <c:axId val="65842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4960"/>
        <c:crosses val="autoZero"/>
        <c:auto val="1"/>
        <c:lblAlgn val="ctr"/>
        <c:lblOffset val="100"/>
        <c:noMultiLvlLbl val="0"/>
      </c:catAx>
      <c:valAx>
        <c:axId val="6584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6.xml"/><Relationship Id="rId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10</xdr:row>
      <xdr:rowOff>9525</xdr:rowOff>
    </xdr:from>
    <xdr:to>
      <xdr:col>4</xdr:col>
      <xdr:colOff>476250</xdr:colOff>
      <xdr:row>10</xdr:row>
      <xdr:rowOff>180975</xdr:rowOff>
    </xdr:to>
    <xdr:pic>
      <xdr:nvPicPr>
        <xdr:cNvPr id="8" name="Graphic 7" descr="Checkmark with solid fill">
          <a:extLst>
            <a:ext uri="{FF2B5EF4-FFF2-40B4-BE49-F238E27FC236}">
              <a16:creationId xmlns:a16="http://schemas.microsoft.com/office/drawing/2014/main" id="{EEA074CA-056B-4227-9CCF-75265B64B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67025" y="1533525"/>
          <a:ext cx="171450" cy="171450"/>
        </a:xfrm>
        <a:prstGeom prst="rect">
          <a:avLst/>
        </a:prstGeom>
      </xdr:spPr>
    </xdr:pic>
    <xdr:clientData/>
  </xdr:twoCellAnchor>
  <xdr:twoCellAnchor>
    <xdr:from>
      <xdr:col>3</xdr:col>
      <xdr:colOff>466725</xdr:colOff>
      <xdr:row>19</xdr:row>
      <xdr:rowOff>4761</xdr:rowOff>
    </xdr:from>
    <xdr:to>
      <xdr:col>9</xdr:col>
      <xdr:colOff>590550</xdr:colOff>
      <xdr:row>31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394FA-B561-402B-9E1D-67425B271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447674</xdr:colOff>
      <xdr:row>31</xdr:row>
      <xdr:rowOff>185737</xdr:rowOff>
    </xdr:from>
    <xdr:to>
      <xdr:col>9</xdr:col>
      <xdr:colOff>571499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C7222-873A-E640-868F-4DBE94004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457200</xdr:colOff>
      <xdr:row>45</xdr:row>
      <xdr:rowOff>80962</xdr:rowOff>
    </xdr:from>
    <xdr:to>
      <xdr:col>9</xdr:col>
      <xdr:colOff>581025</xdr:colOff>
      <xdr:row>67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7B056C-01D9-7ADB-FE13-82957271B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57149</xdr:colOff>
      <xdr:row>18</xdr:row>
      <xdr:rowOff>166687</xdr:rowOff>
    </xdr:from>
    <xdr:to>
      <xdr:col>28</xdr:col>
      <xdr:colOff>266699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029809-1595-F13A-57D5-A581CE04B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57151</xdr:colOff>
      <xdr:row>37</xdr:row>
      <xdr:rowOff>104775</xdr:rowOff>
    </xdr:from>
    <xdr:to>
      <xdr:col>29</xdr:col>
      <xdr:colOff>57150</xdr:colOff>
      <xdr:row>52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2DAC7C-CD5A-4C8F-1022-3AC1DB31F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276225</xdr:colOff>
      <xdr:row>8</xdr:row>
      <xdr:rowOff>19050</xdr:rowOff>
    </xdr:from>
    <xdr:to>
      <xdr:col>4</xdr:col>
      <xdr:colOff>447675</xdr:colOff>
      <xdr:row>9</xdr:row>
      <xdr:rowOff>0</xdr:rowOff>
    </xdr:to>
    <xdr:pic>
      <xdr:nvPicPr>
        <xdr:cNvPr id="6" name="Graphic 5" descr="Checkmark with solid fill">
          <a:extLst>
            <a:ext uri="{FF2B5EF4-FFF2-40B4-BE49-F238E27FC236}">
              <a16:creationId xmlns:a16="http://schemas.microsoft.com/office/drawing/2014/main" id="{C80D00F1-1554-42FD-8731-9AC217FDC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05343" y="1162050"/>
          <a:ext cx="171450" cy="17145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32</xdr:row>
      <xdr:rowOff>138112</xdr:rowOff>
    </xdr:from>
    <xdr:to>
      <xdr:col>18</xdr:col>
      <xdr:colOff>38101</xdr:colOff>
      <xdr:row>47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706D6-C6CE-3BC6-D319-EECDF438B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20</xdr:row>
      <xdr:rowOff>19050</xdr:rowOff>
    </xdr:from>
    <xdr:to>
      <xdr:col>8</xdr:col>
      <xdr:colOff>400050</xdr:colOff>
      <xdr:row>21</xdr:row>
      <xdr:rowOff>0</xdr:rowOff>
    </xdr:to>
    <xdr:pic>
      <xdr:nvPicPr>
        <xdr:cNvPr id="5" name="Graphic 4" descr="Checkmark with solid fill">
          <a:extLst>
            <a:ext uri="{FF2B5EF4-FFF2-40B4-BE49-F238E27FC236}">
              <a16:creationId xmlns:a16="http://schemas.microsoft.com/office/drawing/2014/main" id="{2E5C8C96-7392-4201-848D-05E724F9C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34000" y="2114550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14</xdr:col>
      <xdr:colOff>342900</xdr:colOff>
      <xdr:row>26</xdr:row>
      <xdr:rowOff>19050</xdr:rowOff>
    </xdr:from>
    <xdr:to>
      <xdr:col>14</xdr:col>
      <xdr:colOff>514350</xdr:colOff>
      <xdr:row>27</xdr:row>
      <xdr:rowOff>0</xdr:rowOff>
    </xdr:to>
    <xdr:pic>
      <xdr:nvPicPr>
        <xdr:cNvPr id="6" name="Graphic 5" descr="Checkmark with solid fill">
          <a:extLst>
            <a:ext uri="{FF2B5EF4-FFF2-40B4-BE49-F238E27FC236}">
              <a16:creationId xmlns:a16="http://schemas.microsoft.com/office/drawing/2014/main" id="{D4FA3EB4-CF44-49A0-ABA9-82EFF351C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15500" y="3257550"/>
          <a:ext cx="171450" cy="171450"/>
        </a:xfrm>
        <a:prstGeom prst="rect">
          <a:avLst/>
        </a:prstGeom>
      </xdr:spPr>
    </xdr:pic>
    <xdr:clientData/>
  </xdr:twoCellAnchor>
  <xdr:oneCellAnchor>
    <xdr:from>
      <xdr:col>1</xdr:col>
      <xdr:colOff>542925</xdr:colOff>
      <xdr:row>6</xdr:row>
      <xdr:rowOff>19049</xdr:rowOff>
    </xdr:from>
    <xdr:ext cx="2524125" cy="180022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358ED5E-A4AC-4AD3-B857-96BEFA477443}"/>
            </a:ext>
          </a:extLst>
        </xdr:cNvPr>
        <xdr:cNvSpPr txBox="1"/>
      </xdr:nvSpPr>
      <xdr:spPr>
        <a:xfrm>
          <a:off x="1152525" y="590549"/>
          <a:ext cx="252412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Scenario # 1:</a:t>
          </a:r>
          <a:r>
            <a:rPr lang="en-US" sz="1100" b="1" baseline="0"/>
            <a:t>  </a:t>
          </a:r>
          <a:r>
            <a:rPr lang="en-US" sz="1100" baseline="0"/>
            <a:t>No checkmark applied.</a:t>
          </a:r>
        </a:p>
        <a:p>
          <a:endParaRPr lang="en-US" sz="1100" baseline="0"/>
        </a:p>
        <a:p>
          <a:r>
            <a:rPr lang="en-US" sz="1100" baseline="0"/>
            <a:t>Control Limits recalculate after each new datapoint is added,  which is exactly what we currently have configured. (UCL &amp; LCL based on the overall dataset.)</a:t>
          </a:r>
        </a:p>
        <a:p>
          <a:endParaRPr lang="en-US" sz="1100" baseline="0"/>
        </a:p>
        <a:p>
          <a:r>
            <a:rPr lang="en-US" sz="1100" baseline="0"/>
            <a:t>Stated another way: When no checkmark is applied, the Control Limits are based on </a:t>
          </a:r>
          <a:r>
            <a:rPr lang="en-US" sz="1100" u="sng" baseline="0"/>
            <a:t>all values</a:t>
          </a:r>
          <a:r>
            <a:rPr lang="en-US" sz="1100" baseline="0"/>
            <a:t> entered. </a:t>
          </a:r>
        </a:p>
        <a:p>
          <a:endParaRPr lang="en-US" sz="1100"/>
        </a:p>
      </xdr:txBody>
    </xdr:sp>
    <xdr:clientData/>
  </xdr:oneCellAnchor>
  <xdr:oneCellAnchor>
    <xdr:from>
      <xdr:col>8</xdr:col>
      <xdr:colOff>9525</xdr:colOff>
      <xdr:row>6</xdr:row>
      <xdr:rowOff>19049</xdr:rowOff>
    </xdr:from>
    <xdr:ext cx="2524125" cy="164782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9A71B6B-2630-48D0-A53E-82CE89DC3730}"/>
            </a:ext>
          </a:extLst>
        </xdr:cNvPr>
        <xdr:cNvSpPr txBox="1"/>
      </xdr:nvSpPr>
      <xdr:spPr>
        <a:xfrm>
          <a:off x="5114925" y="590549"/>
          <a:ext cx="2524125" cy="1647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Scenario # 2:</a:t>
          </a:r>
          <a:r>
            <a:rPr lang="en-US" sz="1100" b="1" baseline="0"/>
            <a:t>  </a:t>
          </a:r>
          <a:r>
            <a:rPr lang="en-US" sz="1100" baseline="0"/>
            <a:t>Checkmark applied in middle of dataset. </a:t>
          </a:r>
        </a:p>
        <a:p>
          <a:endParaRPr lang="en-US" sz="1100" baseline="0"/>
        </a:p>
        <a:p>
          <a:r>
            <a:rPr lang="en-US" sz="1100" baseline="0"/>
            <a:t>Control Limits only based on </a:t>
          </a:r>
          <a:r>
            <a:rPr lang="en-US" sz="1100" u="sng" baseline="0"/>
            <a:t>values at and above</a:t>
          </a:r>
          <a:r>
            <a:rPr lang="en-US" sz="1100" baseline="0"/>
            <a:t>  the checkmark.</a:t>
          </a:r>
        </a:p>
        <a:p>
          <a:endParaRPr lang="en-US" sz="1100" baseline="0"/>
        </a:p>
        <a:p>
          <a:r>
            <a:rPr lang="en-US" sz="1100" baseline="0"/>
            <a:t>The Control Limits will not recalculate when values are added past the checkmark. </a:t>
          </a:r>
        </a:p>
        <a:p>
          <a:endParaRPr lang="en-US" sz="1100"/>
        </a:p>
      </xdr:txBody>
    </xdr:sp>
    <xdr:clientData/>
  </xdr:oneCellAnchor>
  <xdr:oneCellAnchor>
    <xdr:from>
      <xdr:col>14</xdr:col>
      <xdr:colOff>0</xdr:colOff>
      <xdr:row>6</xdr:row>
      <xdr:rowOff>47624</xdr:rowOff>
    </xdr:from>
    <xdr:ext cx="2524125" cy="160972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4E959FC-34A3-4C3E-9275-318A305C840D}"/>
            </a:ext>
          </a:extLst>
        </xdr:cNvPr>
        <xdr:cNvSpPr txBox="1"/>
      </xdr:nvSpPr>
      <xdr:spPr>
        <a:xfrm>
          <a:off x="9639300" y="619124"/>
          <a:ext cx="2524125" cy="16097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Scenario # 3:</a:t>
          </a:r>
          <a:r>
            <a:rPr lang="en-US" sz="1100" b="1" baseline="0"/>
            <a:t>  </a:t>
          </a:r>
          <a:r>
            <a:rPr lang="en-US" sz="1100" baseline="0"/>
            <a:t>Checkmark applied in a "future" cell.</a:t>
          </a:r>
        </a:p>
        <a:p>
          <a:endParaRPr lang="en-US" sz="1100" baseline="0"/>
        </a:p>
        <a:p>
          <a:r>
            <a:rPr lang="en-US" sz="1100" baseline="0"/>
            <a:t>Control limits continue to recalculate until reaching the checkmarked row. Then the control limits become based only on </a:t>
          </a:r>
          <a:r>
            <a:rPr lang="en-US" sz="1100" u="sng" baseline="0"/>
            <a:t>values at and above</a:t>
          </a:r>
          <a:r>
            <a:rPr lang="en-US" sz="1100" u="none" baseline="0"/>
            <a:t> </a:t>
          </a:r>
          <a:r>
            <a:rPr lang="en-US" sz="1100" baseline="0"/>
            <a:t>the checkmark. </a:t>
          </a:r>
        </a:p>
        <a:p>
          <a:endParaRPr lang="en-US" sz="1100" baseline="0"/>
        </a:p>
        <a:p>
          <a:endParaRPr lang="en-US" sz="1100"/>
        </a:p>
      </xdr:txBody>
    </xdr:sp>
    <xdr:clientData/>
  </xdr:oneCellAnchor>
  <xdr:oneCellAnchor>
    <xdr:from>
      <xdr:col>5</xdr:col>
      <xdr:colOff>381000</xdr:colOff>
      <xdr:row>33</xdr:row>
      <xdr:rowOff>142874</xdr:rowOff>
    </xdr:from>
    <xdr:ext cx="5381625" cy="164237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09C81BA-4D5E-4F95-B50E-34537303AC62}"/>
            </a:ext>
          </a:extLst>
        </xdr:cNvPr>
        <xdr:cNvSpPr txBox="1"/>
      </xdr:nvSpPr>
      <xdr:spPr>
        <a:xfrm>
          <a:off x="3657600" y="5857874"/>
          <a:ext cx="5381625" cy="164237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As shown in all 3 examples:   The checkmark simply allows the user to choose</a:t>
          </a:r>
          <a:r>
            <a:rPr lang="en-US" sz="1100" baseline="0"/>
            <a:t> which values </a:t>
          </a:r>
          <a:r>
            <a:rPr lang="en-US" sz="1100"/>
            <a:t>will be used for calculating the Control Limits.  (Only</a:t>
          </a:r>
          <a:r>
            <a:rPr lang="en-US" sz="1100" baseline="0"/>
            <a:t> the</a:t>
          </a:r>
          <a:r>
            <a:rPr lang="en-US" sz="1100"/>
            <a:t> red numbers above</a:t>
          </a:r>
          <a:r>
            <a:rPr lang="en-US" sz="1100" baseline="0"/>
            <a:t> are being used to calculate the Control Limits. The black numbers have no impact on the Control Limits).  </a:t>
          </a:r>
          <a:br>
            <a:rPr lang="en-US" sz="1100" baseline="0"/>
          </a:br>
          <a:endParaRPr lang="en-US" sz="1100"/>
        </a:p>
        <a:p>
          <a:r>
            <a:rPr lang="en-US" sz="1100"/>
            <a:t>Also note that only one checkmark can be applied at a time. The use</a:t>
          </a:r>
          <a:r>
            <a:rPr lang="en-US" sz="1100" baseline="0"/>
            <a:t> can de-select the checkmark and apply on any row within that column.</a:t>
          </a:r>
        </a:p>
        <a:p>
          <a:endParaRPr lang="en-US" sz="1100" baseline="0"/>
        </a:p>
        <a:p>
          <a:r>
            <a:rPr lang="en-US" sz="1100" baseline="0"/>
            <a:t>This also means that the checkmark is optional; If no checkmark is applied, it will function exactly as it currently does now (Scenario # 1 above). 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14</xdr:row>
      <xdr:rowOff>47625</xdr:rowOff>
    </xdr:from>
    <xdr:to>
      <xdr:col>6</xdr:col>
      <xdr:colOff>237652</xdr:colOff>
      <xdr:row>46</xdr:row>
      <xdr:rowOff>8768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1D887D-D946-3712-0E8B-F6C9717C3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2714625"/>
          <a:ext cx="3780952" cy="605714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6</xdr:col>
      <xdr:colOff>304800</xdr:colOff>
      <xdr:row>14</xdr:row>
      <xdr:rowOff>47625</xdr:rowOff>
    </xdr:from>
    <xdr:to>
      <xdr:col>11</xdr:col>
      <xdr:colOff>380530</xdr:colOff>
      <xdr:row>46</xdr:row>
      <xdr:rowOff>75434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11803-03A6-F4E3-8FB5-B2C8463DC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6275" y="2714625"/>
          <a:ext cx="3761905" cy="612380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523875</xdr:colOff>
      <xdr:row>0</xdr:row>
      <xdr:rowOff>171450</xdr:rowOff>
    </xdr:from>
    <xdr:ext cx="2124076" cy="19240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5932091-3748-4241-85CE-512C96BB6DA3}"/>
            </a:ext>
          </a:extLst>
        </xdr:cNvPr>
        <xdr:cNvSpPr txBox="1"/>
      </xdr:nvSpPr>
      <xdr:spPr>
        <a:xfrm>
          <a:off x="4038600" y="171450"/>
          <a:ext cx="2124076" cy="192405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Same</a:t>
          </a:r>
          <a:r>
            <a:rPr lang="en-US" sz="1100" baseline="0"/>
            <a:t> formula for limits; Only difference being the constant used. </a:t>
          </a:r>
        </a:p>
        <a:p>
          <a:br>
            <a:rPr lang="en-US" sz="1100" baseline="0"/>
          </a:br>
          <a:r>
            <a:rPr lang="en-US" sz="1100" baseline="0"/>
            <a:t>Avg constants are based on subgroup size. 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ANOM constants are based on subgroup size </a:t>
          </a:r>
          <a:r>
            <a:rPr lang="en-US" sz="1100" u="sng" baseline="0"/>
            <a:t>and </a:t>
          </a:r>
          <a:r>
            <a:rPr lang="en-US" sz="1100" baseline="0"/>
            <a:t>number of subgroups. </a:t>
          </a:r>
          <a:endParaRPr lang="en-US" sz="1100"/>
        </a:p>
      </xdr:txBody>
    </xdr:sp>
    <xdr:clientData/>
  </xdr:oneCellAnchor>
  <xdr:oneCellAnchor>
    <xdr:from>
      <xdr:col>16</xdr:col>
      <xdr:colOff>76200</xdr:colOff>
      <xdr:row>1</xdr:row>
      <xdr:rowOff>19051</xdr:rowOff>
    </xdr:from>
    <xdr:ext cx="2124076" cy="1876424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FAED6F2-0AA6-4123-93F5-C71A9461A28B}"/>
            </a:ext>
          </a:extLst>
        </xdr:cNvPr>
        <xdr:cNvSpPr txBox="1"/>
      </xdr:nvSpPr>
      <xdr:spPr>
        <a:xfrm>
          <a:off x="8086725" y="209551"/>
          <a:ext cx="2124076" cy="18764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Same</a:t>
          </a:r>
          <a:r>
            <a:rPr lang="en-US" sz="1100" baseline="0"/>
            <a:t> formula for limits; Only difference being the constant used. </a:t>
          </a:r>
        </a:p>
        <a:p>
          <a:br>
            <a:rPr lang="en-US" sz="1100" baseline="0"/>
          </a:br>
          <a:r>
            <a:rPr lang="en-US" sz="1100" baseline="0"/>
            <a:t>R constants are based on subgroup size. 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ANOR constants are based on subgroup size </a:t>
          </a:r>
          <a:r>
            <a:rPr lang="en-US" sz="1100" u="sng" baseline="0"/>
            <a:t>and </a:t>
          </a:r>
          <a:r>
            <a:rPr lang="en-US" sz="1100" baseline="0"/>
            <a:t>number of subgroups. </a:t>
          </a:r>
          <a:endParaRPr lang="en-US" sz="1100"/>
        </a:p>
      </xdr:txBody>
    </xdr:sp>
    <xdr:clientData/>
  </xdr:oneCellAnchor>
  <xdr:twoCellAnchor>
    <xdr:from>
      <xdr:col>1</xdr:col>
      <xdr:colOff>142875</xdr:colOff>
      <xdr:row>24</xdr:row>
      <xdr:rowOff>147636</xdr:rowOff>
    </xdr:from>
    <xdr:to>
      <xdr:col>12</xdr:col>
      <xdr:colOff>38100</xdr:colOff>
      <xdr:row>40</xdr:row>
      <xdr:rowOff>114299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848FFB-3373-A5FA-B529-65DC744C5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24</xdr:row>
      <xdr:rowOff>147637</xdr:rowOff>
    </xdr:from>
    <xdr:to>
      <xdr:col>19</xdr:col>
      <xdr:colOff>371475</xdr:colOff>
      <xdr:row>40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6852A5-CD6D-B52B-B009-F2685D782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A9FA-C6A1-4828-9B0A-619B94063F63}">
  <dimension ref="B2:AE18"/>
  <sheetViews>
    <sheetView showGridLines="0" topLeftCell="B1" workbookViewId="0">
      <selection activeCell="P7" sqref="P7"/>
    </sheetView>
  </sheetViews>
  <sheetFormatPr defaultRowHeight="15" x14ac:dyDescent="0.25"/>
  <cols>
    <col min="1" max="1" width="6" style="2" customWidth="1"/>
    <col min="2" max="2" width="14.140625" style="2" customWidth="1"/>
    <col min="3" max="4" width="9.140625" style="2" customWidth="1"/>
    <col min="5" max="5" width="12.28515625" style="3" bestFit="1" customWidth="1"/>
    <col min="6" max="6" width="6.42578125" style="2" customWidth="1"/>
    <col min="7" max="7" width="9.140625" style="2"/>
    <col min="8" max="8" width="6.42578125" style="2" customWidth="1"/>
    <col min="9" max="9" width="14" style="2" customWidth="1"/>
    <col min="10" max="10" width="15.28515625" style="2" customWidth="1"/>
    <col min="11" max="11" width="13.140625" style="108" bestFit="1" customWidth="1"/>
    <col min="12" max="12" width="6.85546875" style="8" customWidth="1"/>
    <col min="13" max="13" width="6" style="8" customWidth="1"/>
    <col min="14" max="14" width="6.7109375" style="8" customWidth="1"/>
    <col min="15" max="15" width="9" style="8" customWidth="1"/>
    <col min="16" max="16" width="9.140625" style="2"/>
    <col min="17" max="19" width="9.140625" style="103"/>
    <col min="20" max="20" width="17" style="102" customWidth="1"/>
    <col min="21" max="21" width="14.7109375" style="105" bestFit="1" customWidth="1"/>
    <col min="22" max="24" width="9.140625" style="100"/>
    <col min="25" max="25" width="17" style="95" customWidth="1"/>
    <col min="26" max="30" width="9.140625" style="2"/>
    <col min="31" max="31" width="14.28515625" style="2" customWidth="1"/>
    <col min="32" max="16384" width="9.140625" style="2"/>
  </cols>
  <sheetData>
    <row r="2" spans="2:31" x14ac:dyDescent="0.25">
      <c r="E2" s="88"/>
      <c r="F2" s="88"/>
      <c r="G2" s="88"/>
      <c r="I2" s="89"/>
      <c r="J2" s="89"/>
      <c r="K2" s="107"/>
      <c r="L2" s="89"/>
      <c r="M2" s="89"/>
      <c r="N2" s="89"/>
      <c r="O2" s="89"/>
      <c r="P2" s="89"/>
      <c r="Q2" s="101"/>
      <c r="R2" s="101"/>
      <c r="S2" s="101"/>
      <c r="T2" s="101"/>
      <c r="U2" s="104"/>
      <c r="V2" s="104"/>
      <c r="W2" s="104"/>
      <c r="X2" s="104"/>
      <c r="Y2" s="104"/>
      <c r="AA2" s="24"/>
      <c r="AB2" s="24"/>
      <c r="AC2" s="24"/>
      <c r="AD2" s="24"/>
      <c r="AE2" s="24"/>
    </row>
    <row r="3" spans="2:31" x14ac:dyDescent="0.25">
      <c r="B3" s="37" t="s">
        <v>54</v>
      </c>
      <c r="C3" s="37">
        <v>45</v>
      </c>
      <c r="E3" s="7" t="s">
        <v>18</v>
      </c>
      <c r="F3" s="35" t="s">
        <v>16</v>
      </c>
      <c r="G3" s="35" t="s">
        <v>1</v>
      </c>
      <c r="I3" s="2" t="s">
        <v>21</v>
      </c>
      <c r="J3" s="2" t="s">
        <v>20</v>
      </c>
      <c r="K3" s="108" t="s">
        <v>22</v>
      </c>
      <c r="L3" s="8" t="s">
        <v>9</v>
      </c>
      <c r="M3" s="8" t="s">
        <v>12</v>
      </c>
      <c r="N3" s="8" t="s">
        <v>10</v>
      </c>
      <c r="O3" s="8" t="s">
        <v>11</v>
      </c>
      <c r="P3" s="2" t="s">
        <v>13</v>
      </c>
      <c r="Q3" s="103" t="s">
        <v>2</v>
      </c>
      <c r="R3" s="103" t="s">
        <v>3</v>
      </c>
      <c r="S3" s="103" t="s">
        <v>4</v>
      </c>
      <c r="T3" s="102" t="s">
        <v>5</v>
      </c>
      <c r="U3" s="105" t="s">
        <v>59</v>
      </c>
      <c r="V3" s="100" t="s">
        <v>60</v>
      </c>
      <c r="W3" s="100" t="s">
        <v>61</v>
      </c>
      <c r="X3" s="100" t="s">
        <v>62</v>
      </c>
      <c r="Y3" s="95" t="s">
        <v>63</v>
      </c>
      <c r="AA3" s="21" t="s">
        <v>48</v>
      </c>
      <c r="AB3" s="14" t="s">
        <v>49</v>
      </c>
      <c r="AC3" s="22" t="s">
        <v>50</v>
      </c>
      <c r="AD3" s="22" t="s">
        <v>11</v>
      </c>
      <c r="AE3" s="14" t="s">
        <v>13</v>
      </c>
    </row>
    <row r="4" spans="2:31" x14ac:dyDescent="0.25">
      <c r="B4" s="37" t="s">
        <v>55</v>
      </c>
      <c r="C4" s="37">
        <v>25</v>
      </c>
      <c r="E4" s="7"/>
      <c r="F4" s="36">
        <v>35</v>
      </c>
      <c r="G4" s="35"/>
      <c r="H4" s="30"/>
      <c r="I4" s="2">
        <f>AVERAGE(F4)</f>
        <v>35</v>
      </c>
      <c r="AA4" s="34">
        <v>39.69</v>
      </c>
      <c r="AB4" s="34">
        <v>34.380000000000003</v>
      </c>
      <c r="AC4" s="34">
        <v>29.06</v>
      </c>
      <c r="AD4" s="34">
        <v>6.54</v>
      </c>
      <c r="AE4" s="34">
        <v>2</v>
      </c>
    </row>
    <row r="5" spans="2:31" x14ac:dyDescent="0.25">
      <c r="B5" s="2" t="s">
        <v>56</v>
      </c>
      <c r="C5" s="2">
        <f>COUNT(F4:F18)</f>
        <v>15</v>
      </c>
      <c r="E5" s="7"/>
      <c r="F5" s="36">
        <v>37</v>
      </c>
      <c r="G5" s="35">
        <f t="shared" ref="G5:G18" si="0">ABS(F5-F4)</f>
        <v>2</v>
      </c>
      <c r="H5" s="30"/>
      <c r="I5" s="2">
        <f>AVERAGE($F$4:F5)</f>
        <v>36</v>
      </c>
      <c r="J5" s="2">
        <f>AVERAGE(G5)</f>
        <v>2</v>
      </c>
      <c r="K5" s="108">
        <f>J5/1.128</f>
        <v>1.773049645390071</v>
      </c>
      <c r="L5" s="8">
        <f>I5+3*(J5/1.128)</f>
        <v>41.319148936170215</v>
      </c>
      <c r="M5" s="8">
        <f t="shared" ref="M5:M18" si="1">I5</f>
        <v>36</v>
      </c>
      <c r="N5" s="8">
        <f t="shared" ref="N5:N18" si="2">I5-3*(J5/1.128)</f>
        <v>30.680851063829785</v>
      </c>
      <c r="O5" s="8">
        <f t="shared" ref="O5:O18" si="3">3.268*J5</f>
        <v>6.5359999999999996</v>
      </c>
      <c r="P5" s="2">
        <f>J5</f>
        <v>2</v>
      </c>
      <c r="Q5" s="103">
        <f>IF($C$4="","",(I5-$C$4)/(3*K5))</f>
        <v>2.0679999999999996</v>
      </c>
      <c r="R5" s="103">
        <f>IF($C$3="","",($C$3-I5)/(3*K5))</f>
        <v>1.6919999999999997</v>
      </c>
      <c r="S5" s="103">
        <f>MIN(Q5,R5)</f>
        <v>1.6919999999999997</v>
      </c>
      <c r="T5" s="102">
        <f>AVERAGE($S$4:$S$18)</f>
        <v>1.7427747382017564</v>
      </c>
      <c r="U5" s="105">
        <f>_xlfn.STDEV.S($F$4:F5)</f>
        <v>1.4142135623730951</v>
      </c>
      <c r="V5" s="100">
        <f>IF($C$4="","",(I5-$C$4)/(3*U5))</f>
        <v>2.5927248643506737</v>
      </c>
      <c r="W5" s="100">
        <f>IF($C$3="","",($C$3-I5)/(3*U5))</f>
        <v>2.1213203435596424</v>
      </c>
      <c r="X5" s="100">
        <f>MIN(V5,W5)</f>
        <v>2.1213203435596424</v>
      </c>
      <c r="Y5" s="95">
        <f>AVERAGE($X$4:$X$18)</f>
        <v>2.037436131119827</v>
      </c>
      <c r="AA5" s="34">
        <v>39.69</v>
      </c>
      <c r="AB5" s="34">
        <v>34.380000000000003</v>
      </c>
      <c r="AC5" s="34">
        <v>29.06</v>
      </c>
      <c r="AD5" s="34">
        <v>6.54</v>
      </c>
      <c r="AE5" s="34">
        <v>2</v>
      </c>
    </row>
    <row r="6" spans="2:31" x14ac:dyDescent="0.25">
      <c r="E6" s="7"/>
      <c r="F6" s="36">
        <v>34</v>
      </c>
      <c r="G6" s="35">
        <f t="shared" si="0"/>
        <v>3</v>
      </c>
      <c r="H6" s="30"/>
      <c r="I6" s="2">
        <f>AVERAGE($F$4:F6)</f>
        <v>35.333333333333336</v>
      </c>
      <c r="J6" s="2">
        <f>AVERAGE($G$5:G6)</f>
        <v>2.5</v>
      </c>
      <c r="K6" s="108">
        <f t="shared" ref="K6:K12" si="4">J6/1.128</f>
        <v>2.2163120567375887</v>
      </c>
      <c r="L6" s="8">
        <f t="shared" ref="L6:L18" si="5">I6+3*(J6/1.128)</f>
        <v>41.9822695035461</v>
      </c>
      <c r="M6" s="8">
        <f t="shared" si="1"/>
        <v>35.333333333333336</v>
      </c>
      <c r="N6" s="8">
        <f t="shared" si="2"/>
        <v>28.684397163120572</v>
      </c>
      <c r="O6" s="8">
        <f t="shared" si="3"/>
        <v>8.17</v>
      </c>
      <c r="P6" s="2">
        <f>J6</f>
        <v>2.5</v>
      </c>
      <c r="Q6" s="103">
        <f>IF($C$4="","",(I6-$C$4)/(3*K6))</f>
        <v>1.5541333333333338</v>
      </c>
      <c r="R6" s="103">
        <f>IF($C$3="","",($C$3-I6)/(3*K6))</f>
        <v>1.4538666666666664</v>
      </c>
      <c r="S6" s="103">
        <f>MIN(Q6,R6)</f>
        <v>1.4538666666666664</v>
      </c>
      <c r="T6" s="102">
        <f t="shared" ref="T6:T18" si="6">AVERAGE($S$4:$S$18)</f>
        <v>1.7427747382017564</v>
      </c>
      <c r="U6" s="105">
        <f>_xlfn.STDEV.S($F$4:F6)</f>
        <v>1.5275252316519465</v>
      </c>
      <c r="V6" s="100">
        <f>IF($C$4="","",(I6-$C$4)/(3*U6))</f>
        <v>2.2549181991052554</v>
      </c>
      <c r="W6" s="100">
        <f t="shared" ref="W6:W18" si="7">IF($C$3="","",($C$3-I6)/(3*U6))</f>
        <v>2.1094396056145928</v>
      </c>
      <c r="X6" s="100">
        <f t="shared" ref="X6:X18" si="8">MIN(V6,W6)</f>
        <v>2.1094396056145928</v>
      </c>
      <c r="Y6" s="95">
        <f t="shared" ref="Y6:Y18" si="9">AVERAGE($X$4:$X$18)</f>
        <v>2.037436131119827</v>
      </c>
      <c r="AA6" s="34">
        <v>39.69</v>
      </c>
      <c r="AB6" s="34">
        <v>34.380000000000003</v>
      </c>
      <c r="AC6" s="34">
        <v>29.06</v>
      </c>
      <c r="AD6" s="34">
        <v>6.54</v>
      </c>
      <c r="AE6" s="34">
        <v>2</v>
      </c>
    </row>
    <row r="7" spans="2:31" x14ac:dyDescent="0.25">
      <c r="B7" s="2" t="s">
        <v>51</v>
      </c>
      <c r="C7" s="2">
        <f>IF($C$3="","",($C$3-I18)/(3*K18))</f>
        <v>1.9677333333333333</v>
      </c>
      <c r="E7" s="7"/>
      <c r="F7" s="36">
        <v>35</v>
      </c>
      <c r="G7" s="35">
        <f t="shared" si="0"/>
        <v>1</v>
      </c>
      <c r="H7" s="30"/>
      <c r="I7" s="2">
        <f>AVERAGE($F$4:F7)</f>
        <v>35.25</v>
      </c>
      <c r="J7" s="2">
        <f>AVERAGE($G$5:G7)</f>
        <v>2</v>
      </c>
      <c r="K7" s="108">
        <f t="shared" si="4"/>
        <v>1.773049645390071</v>
      </c>
      <c r="L7" s="8">
        <f t="shared" si="5"/>
        <v>40.569148936170215</v>
      </c>
      <c r="M7" s="8">
        <f t="shared" si="1"/>
        <v>35.25</v>
      </c>
      <c r="N7" s="8">
        <f t="shared" si="2"/>
        <v>29.930851063829785</v>
      </c>
      <c r="O7" s="8">
        <f t="shared" si="3"/>
        <v>6.5359999999999996</v>
      </c>
      <c r="P7" s="2">
        <f>J7</f>
        <v>2</v>
      </c>
      <c r="Q7" s="103">
        <f>IF($C$4="","",(I7-$C$4)/(3*K7))</f>
        <v>1.9269999999999996</v>
      </c>
      <c r="R7" s="103">
        <f>IF($C$3="","",($C$3-I7)/(3*K7))</f>
        <v>1.8329999999999997</v>
      </c>
      <c r="S7" s="103">
        <f>MIN(Q7,R7)</f>
        <v>1.8329999999999997</v>
      </c>
      <c r="T7" s="102">
        <f t="shared" si="6"/>
        <v>1.7427747382017564</v>
      </c>
      <c r="U7" s="105">
        <f>_xlfn.STDEV.S($F$4:F7)</f>
        <v>1.2583057392117916</v>
      </c>
      <c r="V7" s="100">
        <f>IF($C$4="","",(I7-$C$4)/(3*U7))</f>
        <v>2.7152913319833396</v>
      </c>
      <c r="W7" s="100">
        <f t="shared" si="7"/>
        <v>2.5828380962768356</v>
      </c>
      <c r="X7" s="100">
        <f t="shared" si="8"/>
        <v>2.5828380962768356</v>
      </c>
      <c r="Y7" s="95">
        <f t="shared" si="9"/>
        <v>2.037436131119827</v>
      </c>
      <c r="AA7" s="34">
        <v>39.69</v>
      </c>
      <c r="AB7" s="34">
        <v>34.380000000000003</v>
      </c>
      <c r="AC7" s="34">
        <v>29.06</v>
      </c>
      <c r="AD7" s="34">
        <v>6.54</v>
      </c>
      <c r="AE7" s="34">
        <v>2</v>
      </c>
    </row>
    <row r="8" spans="2:31" x14ac:dyDescent="0.25">
      <c r="B8" s="2" t="s">
        <v>52</v>
      </c>
      <c r="C8" s="2">
        <f>IF($C$4="","",(I18-$C$4)/(3*K18))</f>
        <v>1.792266666666666</v>
      </c>
      <c r="E8" s="7"/>
      <c r="F8" s="36">
        <v>32</v>
      </c>
      <c r="G8" s="35">
        <f t="shared" si="0"/>
        <v>3</v>
      </c>
      <c r="H8" s="30"/>
      <c r="I8" s="2">
        <f>AVERAGE($F$4:F8)</f>
        <v>34.6</v>
      </c>
      <c r="J8" s="2">
        <f>AVERAGE($G$5:G8)</f>
        <v>2.25</v>
      </c>
      <c r="K8" s="108">
        <f t="shared" si="4"/>
        <v>1.9946808510638301</v>
      </c>
      <c r="L8" s="8">
        <f t="shared" si="5"/>
        <v>40.584042553191495</v>
      </c>
      <c r="M8" s="8">
        <f t="shared" si="1"/>
        <v>34.6</v>
      </c>
      <c r="N8" s="8">
        <f t="shared" si="2"/>
        <v>28.615957446808512</v>
      </c>
      <c r="O8" s="8">
        <f t="shared" si="3"/>
        <v>7.3529999999999998</v>
      </c>
      <c r="P8" s="2">
        <f>J8</f>
        <v>2.25</v>
      </c>
      <c r="Q8" s="103">
        <f>IF($C$4="","",(I8-$C$4)/(3*K8))</f>
        <v>1.6042666666666665</v>
      </c>
      <c r="R8" s="103">
        <f>IF($C$3="","",($C$3-I8)/(3*K8))</f>
        <v>1.737955555555555</v>
      </c>
      <c r="S8" s="103">
        <f>MIN(Q8,R8)</f>
        <v>1.6042666666666665</v>
      </c>
      <c r="T8" s="102">
        <f t="shared" si="6"/>
        <v>1.7427747382017564</v>
      </c>
      <c r="U8" s="105">
        <f>_xlfn.STDEV.S($F$4:F8)</f>
        <v>1.8165902124584952</v>
      </c>
      <c r="V8" s="100">
        <f>IF($C$4="","",(I8-$C$4)/(3*U8))</f>
        <v>1.7615420242021771</v>
      </c>
      <c r="W8" s="100">
        <f t="shared" si="7"/>
        <v>1.9083371928856911</v>
      </c>
      <c r="X8" s="100">
        <f t="shared" si="8"/>
        <v>1.7615420242021771</v>
      </c>
      <c r="Y8" s="95">
        <f t="shared" si="9"/>
        <v>2.037436131119827</v>
      </c>
      <c r="AA8" s="34">
        <v>39.69</v>
      </c>
      <c r="AB8" s="34">
        <v>34.380000000000003</v>
      </c>
      <c r="AC8" s="34">
        <v>29.06</v>
      </c>
      <c r="AD8" s="34">
        <v>6.54</v>
      </c>
      <c r="AE8" s="34">
        <v>2</v>
      </c>
    </row>
    <row r="9" spans="2:31" x14ac:dyDescent="0.25">
      <c r="B9" s="2" t="s">
        <v>53</v>
      </c>
      <c r="C9" s="2">
        <f>MIN(C7,C8)</f>
        <v>1.792266666666666</v>
      </c>
      <c r="E9" s="7"/>
      <c r="F9" s="36">
        <v>34</v>
      </c>
      <c r="G9" s="35">
        <f t="shared" si="0"/>
        <v>2</v>
      </c>
      <c r="H9" s="30"/>
      <c r="I9" s="2">
        <f>AVERAGE($F$4:F9)</f>
        <v>34.5</v>
      </c>
      <c r="J9" s="2">
        <f>AVERAGE($G$5:G9)</f>
        <v>2.2000000000000002</v>
      </c>
      <c r="K9" s="108">
        <f t="shared" si="4"/>
        <v>1.9503546099290783</v>
      </c>
      <c r="L9" s="8">
        <f t="shared" si="5"/>
        <v>40.351063829787236</v>
      </c>
      <c r="M9" s="8">
        <f t="shared" si="1"/>
        <v>34.5</v>
      </c>
      <c r="N9" s="8">
        <f t="shared" si="2"/>
        <v>28.648936170212764</v>
      </c>
      <c r="O9" s="8">
        <f t="shared" si="3"/>
        <v>7.1896000000000004</v>
      </c>
      <c r="P9" s="2">
        <f t="shared" ref="P9:P18" si="10">J9</f>
        <v>2.2000000000000002</v>
      </c>
      <c r="Q9" s="103">
        <f>IF($C$4="","",(I9-$C$4)/(3*K9))</f>
        <v>1.6236363636363635</v>
      </c>
      <c r="R9" s="103">
        <f>IF($C$3="","",($C$3-I9)/(3*K9))</f>
        <v>1.7945454545454544</v>
      </c>
      <c r="S9" s="103">
        <f t="shared" ref="S9:S18" si="11">MIN(Q9,R9)</f>
        <v>1.6236363636363635</v>
      </c>
      <c r="T9" s="102">
        <f t="shared" si="6"/>
        <v>1.7427747382017564</v>
      </c>
      <c r="U9" s="105">
        <f>_xlfn.STDEV.S($F$4:F9)</f>
        <v>1.6431676725154984</v>
      </c>
      <c r="V9" s="100">
        <f>IF($C$4="","",(I9-$C$4)/(3*U9))</f>
        <v>1.9271719615922511</v>
      </c>
      <c r="W9" s="100">
        <f t="shared" si="7"/>
        <v>2.1300321680756458</v>
      </c>
      <c r="X9" s="100">
        <f t="shared" si="8"/>
        <v>1.9271719615922511</v>
      </c>
      <c r="Y9" s="95">
        <f t="shared" si="9"/>
        <v>2.037436131119827</v>
      </c>
      <c r="AA9" s="34">
        <v>39.69</v>
      </c>
      <c r="AB9" s="34">
        <v>34.380000000000003</v>
      </c>
      <c r="AC9" s="34">
        <v>29.06</v>
      </c>
      <c r="AD9" s="34">
        <v>6.54</v>
      </c>
      <c r="AE9" s="34">
        <v>2</v>
      </c>
    </row>
    <row r="10" spans="2:31" x14ac:dyDescent="0.25">
      <c r="E10" s="7"/>
      <c r="F10" s="36">
        <v>33</v>
      </c>
      <c r="G10" s="35">
        <f t="shared" si="0"/>
        <v>1</v>
      </c>
      <c r="H10" s="30"/>
      <c r="I10" s="2">
        <f>AVERAGE($F$4:F10)</f>
        <v>34.285714285714285</v>
      </c>
      <c r="J10" s="2">
        <f>AVERAGE($G$5:G10)</f>
        <v>2</v>
      </c>
      <c r="K10" s="108">
        <f t="shared" si="4"/>
        <v>1.773049645390071</v>
      </c>
      <c r="L10" s="8">
        <f t="shared" si="5"/>
        <v>39.6048632218845</v>
      </c>
      <c r="M10" s="8">
        <f t="shared" si="1"/>
        <v>34.285714285714285</v>
      </c>
      <c r="N10" s="8">
        <f t="shared" si="2"/>
        <v>28.966565349544069</v>
      </c>
      <c r="O10" s="8">
        <f t="shared" si="3"/>
        <v>6.5359999999999996</v>
      </c>
      <c r="P10" s="2">
        <f t="shared" si="10"/>
        <v>2</v>
      </c>
      <c r="Q10" s="103">
        <f>IF($C$4="","",(I10-$C$4)/(3*K10))</f>
        <v>1.7457142857142853</v>
      </c>
      <c r="R10" s="103">
        <f>IF($C$3="","",($C$3-I10)/(3*K10))</f>
        <v>2.0142857142857142</v>
      </c>
      <c r="S10" s="103">
        <f t="shared" si="11"/>
        <v>1.7457142857142853</v>
      </c>
      <c r="T10" s="102">
        <f t="shared" si="6"/>
        <v>1.7427747382017564</v>
      </c>
      <c r="U10" s="105">
        <f>_xlfn.STDEV.S($F$4:F10)</f>
        <v>1.6035674514745462</v>
      </c>
      <c r="V10" s="100">
        <f>IF($C$4="","",(I10-$C$4)/(3*U10))</f>
        <v>1.9302200804786207</v>
      </c>
      <c r="W10" s="100">
        <f t="shared" si="7"/>
        <v>2.2271770159368707</v>
      </c>
      <c r="X10" s="100">
        <f t="shared" si="8"/>
        <v>1.9302200804786207</v>
      </c>
      <c r="Y10" s="95">
        <f t="shared" si="9"/>
        <v>2.037436131119827</v>
      </c>
      <c r="AA10" s="34">
        <v>39.69</v>
      </c>
      <c r="AB10" s="34">
        <v>34.380000000000003</v>
      </c>
      <c r="AC10" s="34">
        <v>29.06</v>
      </c>
      <c r="AD10" s="34">
        <v>6.54</v>
      </c>
      <c r="AE10" s="34">
        <v>2</v>
      </c>
    </row>
    <row r="11" spans="2:31" x14ac:dyDescent="0.25">
      <c r="E11" s="7"/>
      <c r="F11" s="36">
        <v>35</v>
      </c>
      <c r="G11" s="35">
        <f t="shared" si="0"/>
        <v>2</v>
      </c>
      <c r="H11" s="30"/>
      <c r="I11" s="2">
        <f>AVERAGE($F$4:F11)</f>
        <v>34.375</v>
      </c>
      <c r="J11" s="2">
        <f>AVERAGE($G$5:G11)</f>
        <v>2</v>
      </c>
      <c r="K11" s="108">
        <f t="shared" si="4"/>
        <v>1.773049645390071</v>
      </c>
      <c r="L11" s="31">
        <f t="shared" si="5"/>
        <v>39.694148936170215</v>
      </c>
      <c r="M11" s="31">
        <f t="shared" si="1"/>
        <v>34.375</v>
      </c>
      <c r="N11" s="31">
        <f t="shared" si="2"/>
        <v>29.055851063829785</v>
      </c>
      <c r="O11" s="31">
        <f t="shared" si="3"/>
        <v>6.5359999999999996</v>
      </c>
      <c r="P11" s="33">
        <f t="shared" si="10"/>
        <v>2</v>
      </c>
      <c r="Q11" s="103">
        <f>IF($C$4="","",(I11-$C$4)/(3*K11))</f>
        <v>1.7624999999999997</v>
      </c>
      <c r="R11" s="103">
        <f>IF($C$3="","",($C$3-I11)/(3*K11))</f>
        <v>1.9974999999999996</v>
      </c>
      <c r="S11" s="103">
        <f t="shared" si="11"/>
        <v>1.7624999999999997</v>
      </c>
      <c r="T11" s="102">
        <f t="shared" si="6"/>
        <v>1.7427747382017564</v>
      </c>
      <c r="U11" s="105">
        <f>_xlfn.STDEV.S($F$4:F11)</f>
        <v>1.5059406173077154</v>
      </c>
      <c r="V11" s="100">
        <f>IF($C$4="","",(I11-$C$4)/(3*U11))</f>
        <v>2.075115023849214</v>
      </c>
      <c r="W11" s="100">
        <f t="shared" si="7"/>
        <v>2.3517970270291091</v>
      </c>
      <c r="X11" s="100">
        <f t="shared" si="8"/>
        <v>2.075115023849214</v>
      </c>
      <c r="Y11" s="95">
        <f t="shared" si="9"/>
        <v>2.037436131119827</v>
      </c>
      <c r="AA11" s="34">
        <v>39.69</v>
      </c>
      <c r="AB11" s="34">
        <v>34.380000000000003</v>
      </c>
      <c r="AC11" s="34">
        <v>29.06</v>
      </c>
      <c r="AD11" s="34">
        <v>6.54</v>
      </c>
      <c r="AE11" s="34">
        <v>2</v>
      </c>
    </row>
    <row r="12" spans="2:31" x14ac:dyDescent="0.25">
      <c r="E12" s="7"/>
      <c r="F12" s="36">
        <v>37</v>
      </c>
      <c r="G12" s="35">
        <f t="shared" si="0"/>
        <v>2</v>
      </c>
      <c r="H12" s="30"/>
      <c r="I12" s="2">
        <f>AVERAGE($F$4:F12)</f>
        <v>34.666666666666664</v>
      </c>
      <c r="J12" s="2">
        <f>AVERAGE($G$5:G12)</f>
        <v>2</v>
      </c>
      <c r="K12" s="108">
        <f t="shared" si="4"/>
        <v>1.773049645390071</v>
      </c>
      <c r="L12" s="8">
        <f t="shared" si="5"/>
        <v>39.98581560283688</v>
      </c>
      <c r="M12" s="8">
        <f t="shared" si="1"/>
        <v>34.666666666666664</v>
      </c>
      <c r="N12" s="8">
        <f t="shared" si="2"/>
        <v>29.347517730496449</v>
      </c>
      <c r="O12" s="8">
        <f t="shared" si="3"/>
        <v>6.5359999999999996</v>
      </c>
      <c r="P12" s="2">
        <f t="shared" si="10"/>
        <v>2</v>
      </c>
      <c r="Q12" s="103">
        <f>IF($C$4="","",(I12-$C$4)/(3*K12))</f>
        <v>1.8173333333333326</v>
      </c>
      <c r="R12" s="103">
        <f>IF($C$3="","",($C$3-I12)/(3*K12))</f>
        <v>1.9426666666666668</v>
      </c>
      <c r="S12" s="103">
        <f t="shared" si="11"/>
        <v>1.8173333333333326</v>
      </c>
      <c r="T12" s="102">
        <f t="shared" si="6"/>
        <v>1.7427747382017564</v>
      </c>
      <c r="U12" s="105">
        <f>_xlfn.STDEV.S($F$4:F12)</f>
        <v>1.6583123951776999</v>
      </c>
      <c r="V12" s="100">
        <f>IF($C$4="","",(I12-$C$4)/(3*U12))</f>
        <v>1.9430731095011429</v>
      </c>
      <c r="W12" s="100">
        <f t="shared" si="7"/>
        <v>2.0770781515357055</v>
      </c>
      <c r="X12" s="100">
        <f t="shared" si="8"/>
        <v>1.9430731095011429</v>
      </c>
      <c r="Y12" s="95">
        <f t="shared" si="9"/>
        <v>2.037436131119827</v>
      </c>
      <c r="AA12" s="34">
        <v>39.69</v>
      </c>
      <c r="AB12" s="34">
        <v>34.380000000000003</v>
      </c>
      <c r="AC12" s="34">
        <v>29.06</v>
      </c>
      <c r="AD12" s="34">
        <v>6.54</v>
      </c>
      <c r="AE12" s="34">
        <v>2</v>
      </c>
    </row>
    <row r="13" spans="2:31" x14ac:dyDescent="0.25">
      <c r="E13" s="7"/>
      <c r="F13" s="36">
        <v>35</v>
      </c>
      <c r="G13" s="35">
        <f t="shared" si="0"/>
        <v>2</v>
      </c>
      <c r="H13" s="30"/>
      <c r="I13" s="2">
        <f>AVERAGE($F$4:F13)</f>
        <v>34.700000000000003</v>
      </c>
      <c r="J13" s="2">
        <f>AVERAGE($G$5:G13)</f>
        <v>2</v>
      </c>
      <c r="K13" s="108">
        <f t="shared" ref="K13:K18" si="12">J13/1.128</f>
        <v>1.773049645390071</v>
      </c>
      <c r="L13" s="8">
        <f t="shared" si="5"/>
        <v>40.019148936170218</v>
      </c>
      <c r="M13" s="8">
        <f t="shared" si="1"/>
        <v>34.700000000000003</v>
      </c>
      <c r="N13" s="8">
        <f t="shared" si="2"/>
        <v>29.380851063829788</v>
      </c>
      <c r="O13" s="8">
        <f t="shared" si="3"/>
        <v>6.5359999999999996</v>
      </c>
      <c r="P13" s="2">
        <f t="shared" si="10"/>
        <v>2</v>
      </c>
      <c r="Q13" s="103">
        <f>IF($C$4="","",(I13-$C$4)/(3*K13))</f>
        <v>1.8236000000000003</v>
      </c>
      <c r="R13" s="103">
        <f>IF($C$3="","",($C$3-I13)/(3*K13))</f>
        <v>1.9363999999999992</v>
      </c>
      <c r="S13" s="103">
        <f t="shared" si="11"/>
        <v>1.8236000000000003</v>
      </c>
      <c r="T13" s="102">
        <f t="shared" si="6"/>
        <v>1.7427747382017564</v>
      </c>
      <c r="U13" s="105">
        <f>_xlfn.STDEV.S($F$4:F13)</f>
        <v>1.5670212364724214</v>
      </c>
      <c r="V13" s="100">
        <f>IF($C$4="","",(I13-$C$4)/(3*U13))</f>
        <v>2.0633628045858581</v>
      </c>
      <c r="W13" s="100">
        <f t="shared" si="7"/>
        <v>2.1909934935293118</v>
      </c>
      <c r="X13" s="100">
        <f t="shared" si="8"/>
        <v>2.0633628045858581</v>
      </c>
      <c r="Y13" s="95">
        <f t="shared" si="9"/>
        <v>2.037436131119827</v>
      </c>
      <c r="AA13" s="34">
        <v>39.69</v>
      </c>
      <c r="AB13" s="34">
        <v>34.380000000000003</v>
      </c>
      <c r="AC13" s="34">
        <v>29.06</v>
      </c>
      <c r="AD13" s="34">
        <v>6.54</v>
      </c>
      <c r="AE13" s="34">
        <v>2</v>
      </c>
    </row>
    <row r="14" spans="2:31" x14ac:dyDescent="0.25">
      <c r="E14" s="7"/>
      <c r="F14" s="36">
        <v>33</v>
      </c>
      <c r="G14" s="35">
        <f t="shared" si="0"/>
        <v>2</v>
      </c>
      <c r="H14" s="30"/>
      <c r="I14" s="2">
        <f>AVERAGE($F$4:F14)</f>
        <v>34.545454545454547</v>
      </c>
      <c r="J14" s="2">
        <f>AVERAGE($G$5:G14)</f>
        <v>2</v>
      </c>
      <c r="K14" s="108">
        <f t="shared" si="12"/>
        <v>1.773049645390071</v>
      </c>
      <c r="L14" s="8">
        <f t="shared" si="5"/>
        <v>39.864603481624762</v>
      </c>
      <c r="M14" s="8">
        <f t="shared" si="1"/>
        <v>34.545454545454547</v>
      </c>
      <c r="N14" s="8">
        <f t="shared" si="2"/>
        <v>29.226305609284331</v>
      </c>
      <c r="O14" s="8">
        <f t="shared" si="3"/>
        <v>6.5359999999999996</v>
      </c>
      <c r="P14" s="2">
        <f t="shared" si="10"/>
        <v>2</v>
      </c>
      <c r="Q14" s="103">
        <f>IF($C$4="","",(I14-$C$4)/(3*K14))</f>
        <v>1.7945454545454544</v>
      </c>
      <c r="R14" s="103">
        <f>IF($C$3="","",($C$3-I14)/(3*K14))</f>
        <v>1.9654545454545449</v>
      </c>
      <c r="S14" s="103">
        <f t="shared" si="11"/>
        <v>1.7945454545454544</v>
      </c>
      <c r="T14" s="102">
        <f t="shared" si="6"/>
        <v>1.7427747382017564</v>
      </c>
      <c r="U14" s="105">
        <f>_xlfn.STDEV.S($F$4:F14)</f>
        <v>1.5724907862137931</v>
      </c>
      <c r="V14" s="100">
        <f>IF($C$4="","",(I14-$C$4)/(3*U14))</f>
        <v>2.0234256440251013</v>
      </c>
      <c r="W14" s="100">
        <f t="shared" si="7"/>
        <v>2.2161328482179674</v>
      </c>
      <c r="X14" s="100">
        <f t="shared" si="8"/>
        <v>2.0234256440251013</v>
      </c>
      <c r="Y14" s="95">
        <f t="shared" si="9"/>
        <v>2.037436131119827</v>
      </c>
      <c r="AA14" s="34">
        <v>39.69</v>
      </c>
      <c r="AB14" s="34">
        <v>34.380000000000003</v>
      </c>
      <c r="AC14" s="34">
        <v>29.06</v>
      </c>
      <c r="AD14" s="34">
        <v>6.54</v>
      </c>
      <c r="AE14" s="34">
        <v>2</v>
      </c>
    </row>
    <row r="15" spans="2:31" x14ac:dyDescent="0.25">
      <c r="E15" s="7"/>
      <c r="F15" s="36">
        <v>34</v>
      </c>
      <c r="G15" s="35">
        <f t="shared" si="0"/>
        <v>1</v>
      </c>
      <c r="H15" s="30"/>
      <c r="I15" s="2">
        <f>AVERAGE($F$4:F15)</f>
        <v>34.5</v>
      </c>
      <c r="J15" s="2">
        <f>AVERAGE($G$5:G15)</f>
        <v>1.9090909090909092</v>
      </c>
      <c r="K15" s="108">
        <f t="shared" si="12"/>
        <v>1.6924564796905224</v>
      </c>
      <c r="L15" s="8">
        <f t="shared" si="5"/>
        <v>39.577369439071568</v>
      </c>
      <c r="M15" s="8">
        <f t="shared" si="1"/>
        <v>34.5</v>
      </c>
      <c r="N15" s="8">
        <f t="shared" si="2"/>
        <v>29.422630560928432</v>
      </c>
      <c r="O15" s="8">
        <f t="shared" si="3"/>
        <v>6.2389090909090905</v>
      </c>
      <c r="P15" s="2">
        <f t="shared" si="10"/>
        <v>1.9090909090909092</v>
      </c>
      <c r="Q15" s="103">
        <f>IF($C$4="","",(I15-$C$4)/(3*K15))</f>
        <v>1.8710476190476188</v>
      </c>
      <c r="R15" s="103">
        <f>IF($C$3="","",($C$3-I15)/(3*K15))</f>
        <v>2.0679999999999996</v>
      </c>
      <c r="S15" s="103">
        <f>MIN(Q15,R15)</f>
        <v>1.8710476190476188</v>
      </c>
      <c r="T15" s="102">
        <f t="shared" si="6"/>
        <v>1.7427747382017564</v>
      </c>
      <c r="U15" s="105">
        <f>_xlfn.STDEV.S($F$4:F15)</f>
        <v>1.5075567228888183</v>
      </c>
      <c r="V15" s="100">
        <f>IF($C$4="","",(I15-$C$4)/(3*U15))</f>
        <v>2.1005290338917528</v>
      </c>
      <c r="W15" s="100">
        <f t="shared" si="7"/>
        <v>2.3216373532487795</v>
      </c>
      <c r="X15" s="100">
        <f t="shared" si="8"/>
        <v>2.1005290338917528</v>
      </c>
      <c r="Y15" s="95">
        <f t="shared" si="9"/>
        <v>2.037436131119827</v>
      </c>
      <c r="AA15" s="34">
        <v>39.69</v>
      </c>
      <c r="AB15" s="34">
        <v>34.380000000000003</v>
      </c>
      <c r="AC15" s="34">
        <v>29.06</v>
      </c>
      <c r="AD15" s="34">
        <v>6.54</v>
      </c>
      <c r="AE15" s="34">
        <v>2</v>
      </c>
    </row>
    <row r="16" spans="2:31" x14ac:dyDescent="0.25">
      <c r="E16" s="7"/>
      <c r="F16" s="36">
        <v>32</v>
      </c>
      <c r="G16" s="35">
        <f t="shared" si="0"/>
        <v>2</v>
      </c>
      <c r="H16" s="30"/>
      <c r="I16" s="2">
        <f>AVERAGE($F$4:F16)</f>
        <v>34.307692307692307</v>
      </c>
      <c r="J16" s="2">
        <f>AVERAGE($G$5:G16)</f>
        <v>1.9166666666666667</v>
      </c>
      <c r="K16" s="108">
        <f t="shared" si="12"/>
        <v>1.6991725768321515</v>
      </c>
      <c r="L16" s="8">
        <f t="shared" si="5"/>
        <v>39.405210038188763</v>
      </c>
      <c r="M16" s="8">
        <f t="shared" si="1"/>
        <v>34.307692307692307</v>
      </c>
      <c r="N16" s="8">
        <f t="shared" si="2"/>
        <v>29.210174577195851</v>
      </c>
      <c r="O16" s="8">
        <f t="shared" si="3"/>
        <v>6.2636666666666665</v>
      </c>
      <c r="P16" s="2">
        <f t="shared" si="10"/>
        <v>1.9166666666666667</v>
      </c>
      <c r="Q16" s="103">
        <f>IF($C$4="","",(I16-$C$4)/(3*K16))</f>
        <v>1.825926421404682</v>
      </c>
      <c r="R16" s="103">
        <f>IF($C$3="","",($C$3-I16)/(3*K16))</f>
        <v>2.0975518394648831</v>
      </c>
      <c r="S16" s="103">
        <f t="shared" si="11"/>
        <v>1.825926421404682</v>
      </c>
      <c r="T16" s="102">
        <f t="shared" si="6"/>
        <v>1.7427747382017564</v>
      </c>
      <c r="U16" s="105">
        <f>_xlfn.STDEV.S($F$4:F16)</f>
        <v>1.6012815380508714</v>
      </c>
      <c r="V16" s="100">
        <f>IF($C$4="","",(I16-$C$4)/(3*U16))</f>
        <v>1.937550661041554</v>
      </c>
      <c r="W16" s="100">
        <f t="shared" si="7"/>
        <v>2.2257813378907114</v>
      </c>
      <c r="X16" s="100">
        <f t="shared" si="8"/>
        <v>1.937550661041554</v>
      </c>
      <c r="Y16" s="95">
        <f t="shared" si="9"/>
        <v>2.037436131119827</v>
      </c>
      <c r="AA16" s="34">
        <v>39.69</v>
      </c>
      <c r="AB16" s="34">
        <v>34.380000000000003</v>
      </c>
      <c r="AC16" s="34">
        <v>29.06</v>
      </c>
      <c r="AD16" s="34">
        <v>6.54</v>
      </c>
      <c r="AE16" s="34">
        <v>2</v>
      </c>
    </row>
    <row r="17" spans="5:31" x14ac:dyDescent="0.25">
      <c r="E17" s="7"/>
      <c r="F17" s="36">
        <v>35</v>
      </c>
      <c r="G17" s="35">
        <f t="shared" si="0"/>
        <v>3</v>
      </c>
      <c r="H17" s="30"/>
      <c r="I17" s="2">
        <f>AVERAGE($F$4:F17)</f>
        <v>34.357142857142854</v>
      </c>
      <c r="J17" s="2">
        <f>AVERAGE($G$5:G17)</f>
        <v>2</v>
      </c>
      <c r="K17" s="108">
        <f t="shared" si="12"/>
        <v>1.773049645390071</v>
      </c>
      <c r="L17" s="8">
        <f t="shared" si="5"/>
        <v>39.676291793313069</v>
      </c>
      <c r="M17" s="8">
        <f t="shared" si="1"/>
        <v>34.357142857142854</v>
      </c>
      <c r="N17" s="8">
        <f t="shared" si="2"/>
        <v>29.037993920972639</v>
      </c>
      <c r="O17" s="8">
        <f t="shared" si="3"/>
        <v>6.5359999999999996</v>
      </c>
      <c r="P17" s="2">
        <f t="shared" si="10"/>
        <v>2</v>
      </c>
      <c r="Q17" s="103">
        <f>IF($C$4="","",(I17-$C$4)/(3*K17))</f>
        <v>1.7591428571428562</v>
      </c>
      <c r="R17" s="103">
        <f>IF($C$3="","",($C$3-I17)/(3*K17))</f>
        <v>2.0008571428571433</v>
      </c>
      <c r="S17" s="103">
        <f t="shared" si="11"/>
        <v>1.7591428571428562</v>
      </c>
      <c r="T17" s="102">
        <f t="shared" si="6"/>
        <v>1.7427747382017564</v>
      </c>
      <c r="U17" s="105">
        <f>_xlfn.STDEV.S($F$4:F17)</f>
        <v>1.5495479666983214</v>
      </c>
      <c r="V17" s="100">
        <f>IF($C$4="","",(I17-$C$4)/(3*U17))</f>
        <v>2.0128758102877495</v>
      </c>
      <c r="W17" s="100">
        <f t="shared" si="7"/>
        <v>2.2894541658998082</v>
      </c>
      <c r="X17" s="100">
        <f t="shared" si="8"/>
        <v>2.0128758102877495</v>
      </c>
      <c r="Y17" s="95">
        <f t="shared" si="9"/>
        <v>2.037436131119827</v>
      </c>
      <c r="AA17" s="34">
        <v>39.69</v>
      </c>
      <c r="AB17" s="34">
        <v>34.380000000000003</v>
      </c>
      <c r="AC17" s="34">
        <v>29.06</v>
      </c>
      <c r="AD17" s="34">
        <v>6.54</v>
      </c>
      <c r="AE17" s="34">
        <v>2</v>
      </c>
    </row>
    <row r="18" spans="5:31" x14ac:dyDescent="0.25">
      <c r="E18" s="7"/>
      <c r="F18" s="36">
        <v>37</v>
      </c>
      <c r="G18" s="35">
        <f t="shared" si="0"/>
        <v>2</v>
      </c>
      <c r="H18" s="30"/>
      <c r="I18" s="2">
        <f>AVERAGE($F$4:F18)</f>
        <v>34.533333333333331</v>
      </c>
      <c r="J18" s="2">
        <f>AVERAGE($G$5:G18)</f>
        <v>2</v>
      </c>
      <c r="K18" s="108">
        <f t="shared" si="12"/>
        <v>1.773049645390071</v>
      </c>
      <c r="L18" s="8">
        <f t="shared" si="5"/>
        <v>39.852482269503547</v>
      </c>
      <c r="M18" s="8">
        <f t="shared" si="1"/>
        <v>34.533333333333331</v>
      </c>
      <c r="N18" s="8">
        <f t="shared" si="2"/>
        <v>29.214184397163116</v>
      </c>
      <c r="O18" s="8">
        <f t="shared" si="3"/>
        <v>6.5359999999999996</v>
      </c>
      <c r="P18" s="2">
        <f t="shared" si="10"/>
        <v>2</v>
      </c>
      <c r="Q18" s="103">
        <f>IF($C$4="","",(I18-$C$4)/(3*K18))</f>
        <v>1.792266666666666</v>
      </c>
      <c r="R18" s="103">
        <f>IF($C$3="","",($C$3-I18)/(3*K18))</f>
        <v>1.9677333333333333</v>
      </c>
      <c r="S18" s="103">
        <f t="shared" si="11"/>
        <v>1.792266666666666</v>
      </c>
      <c r="T18" s="102">
        <f t="shared" si="6"/>
        <v>1.7427747382017564</v>
      </c>
      <c r="U18" s="105">
        <f>_xlfn.STDEV.S($F$4:F18)</f>
        <v>1.6417180315870614</v>
      </c>
      <c r="V18" s="100">
        <f>IF($C$4="","",(I18-$C$4)/(3*U18))</f>
        <v>1.9356416367710809</v>
      </c>
      <c r="W18" s="100">
        <f t="shared" si="7"/>
        <v>2.1251450137976211</v>
      </c>
      <c r="X18" s="100">
        <f t="shared" si="8"/>
        <v>1.9356416367710809</v>
      </c>
      <c r="Y18" s="95">
        <f t="shared" si="9"/>
        <v>2.037436131119827</v>
      </c>
      <c r="AA18" s="34">
        <v>39.69</v>
      </c>
      <c r="AB18" s="34">
        <v>34.380000000000003</v>
      </c>
      <c r="AC18" s="34">
        <v>29.06</v>
      </c>
      <c r="AD18" s="34">
        <v>6.54</v>
      </c>
      <c r="AE18" s="34">
        <v>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BCAE0-3307-4EB2-A228-4DADFDB03733}">
  <dimension ref="B2:AQ18"/>
  <sheetViews>
    <sheetView showGridLines="0" tabSelected="1" zoomScale="85" zoomScaleNormal="85" workbookViewId="0">
      <selection activeCell="AL23" sqref="AL23"/>
    </sheetView>
  </sheetViews>
  <sheetFormatPr defaultRowHeight="15" x14ac:dyDescent="0.25"/>
  <cols>
    <col min="1" max="1" width="5.42578125" style="9" customWidth="1"/>
    <col min="2" max="2" width="15.5703125" style="9" customWidth="1"/>
    <col min="3" max="3" width="7.7109375" style="9" customWidth="1"/>
    <col min="4" max="4" width="3.140625" style="9" customWidth="1"/>
    <col min="5" max="5" width="11.140625" style="11" bestFit="1" customWidth="1"/>
    <col min="6" max="7" width="4" style="9" bestFit="1" customWidth="1"/>
    <col min="8" max="15" width="4" style="9" customWidth="1"/>
    <col min="16" max="16" width="5" style="9" bestFit="1" customWidth="1"/>
    <col min="17" max="17" width="6.42578125" style="9" bestFit="1" customWidth="1"/>
    <col min="18" max="18" width="6.42578125" style="25" customWidth="1"/>
    <col min="19" max="19" width="16.85546875" style="10" bestFit="1" customWidth="1"/>
    <col min="20" max="20" width="16.5703125" style="10" bestFit="1" customWidth="1"/>
    <col min="21" max="21" width="12.42578125" style="98" bestFit="1" customWidth="1"/>
    <col min="22" max="22" width="14.7109375" style="106" bestFit="1" customWidth="1"/>
    <col min="23" max="23" width="8" style="10" bestFit="1" customWidth="1"/>
    <col min="24" max="24" width="6.7109375" style="12" bestFit="1" customWidth="1"/>
    <col min="25" max="25" width="7.5703125" style="13" bestFit="1" customWidth="1"/>
    <col min="26" max="26" width="5.85546875" style="13" bestFit="1" customWidth="1"/>
    <col min="27" max="27" width="4.5703125" style="12" bestFit="1" customWidth="1"/>
    <col min="28" max="28" width="5.42578125" style="9" bestFit="1" customWidth="1"/>
    <col min="29" max="29" width="4.5703125" style="99" bestFit="1" customWidth="1"/>
    <col min="30" max="31" width="4.5703125" style="98" bestFit="1" customWidth="1"/>
    <col min="32" max="32" width="8" style="98" bestFit="1" customWidth="1"/>
    <col min="33" max="36" width="8" style="96" customWidth="1"/>
    <col min="37" max="37" width="9.140625" style="9"/>
    <col min="38" max="38" width="16.140625" style="9" customWidth="1"/>
    <col min="39" max="16384" width="9.140625" style="9"/>
  </cols>
  <sheetData>
    <row r="2" spans="2:43" x14ac:dyDescent="0.25">
      <c r="B2" s="38" t="s">
        <v>54</v>
      </c>
      <c r="C2" s="38">
        <v>8</v>
      </c>
      <c r="E2" s="90" t="s">
        <v>46</v>
      </c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26"/>
      <c r="S2" s="91" t="s">
        <v>58</v>
      </c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7"/>
      <c r="AH2" s="97"/>
      <c r="AI2" s="97"/>
      <c r="AJ2" s="97"/>
      <c r="AL2" s="24" t="s">
        <v>45</v>
      </c>
      <c r="AM2" s="24"/>
      <c r="AN2" s="24"/>
      <c r="AO2" s="24"/>
      <c r="AP2" s="24"/>
      <c r="AQ2" s="24"/>
    </row>
    <row r="3" spans="2:43" x14ac:dyDescent="0.25">
      <c r="B3" s="38" t="s">
        <v>55</v>
      </c>
      <c r="C3" s="38">
        <v>1</v>
      </c>
      <c r="E3" s="19" t="s">
        <v>18</v>
      </c>
      <c r="F3" s="20" t="s">
        <v>6</v>
      </c>
      <c r="G3" s="20" t="s">
        <v>7</v>
      </c>
      <c r="H3" s="20" t="s">
        <v>33</v>
      </c>
      <c r="I3" s="20" t="s">
        <v>34</v>
      </c>
      <c r="J3" s="20" t="s">
        <v>35</v>
      </c>
      <c r="K3" s="20" t="s">
        <v>36</v>
      </c>
      <c r="L3" s="20" t="s">
        <v>37</v>
      </c>
      <c r="M3" s="20" t="s">
        <v>38</v>
      </c>
      <c r="N3" s="20" t="s">
        <v>39</v>
      </c>
      <c r="O3" s="20" t="s">
        <v>40</v>
      </c>
      <c r="P3" s="20" t="s">
        <v>0</v>
      </c>
      <c r="Q3" s="20" t="s">
        <v>8</v>
      </c>
      <c r="R3" s="27"/>
      <c r="S3" s="10" t="s">
        <v>23</v>
      </c>
      <c r="T3" s="10" t="s">
        <v>24</v>
      </c>
      <c r="U3" s="98" t="s">
        <v>25</v>
      </c>
      <c r="V3" s="106" t="s">
        <v>59</v>
      </c>
      <c r="W3" s="10" t="s">
        <v>27</v>
      </c>
      <c r="X3" s="12" t="s">
        <v>28</v>
      </c>
      <c r="Y3" s="13" t="s">
        <v>29</v>
      </c>
      <c r="Z3" s="13" t="s">
        <v>30</v>
      </c>
      <c r="AA3" s="12" t="s">
        <v>31</v>
      </c>
      <c r="AB3" s="9" t="s">
        <v>32</v>
      </c>
      <c r="AC3" s="98" t="s">
        <v>2</v>
      </c>
      <c r="AD3" s="98" t="s">
        <v>3</v>
      </c>
      <c r="AE3" s="98" t="s">
        <v>4</v>
      </c>
      <c r="AF3" s="98" t="s">
        <v>26</v>
      </c>
      <c r="AG3" s="96" t="s">
        <v>60</v>
      </c>
      <c r="AH3" s="96" t="s">
        <v>61</v>
      </c>
      <c r="AI3" s="96" t="s">
        <v>62</v>
      </c>
      <c r="AJ3" s="96" t="s">
        <v>64</v>
      </c>
      <c r="AL3" s="21" t="s">
        <v>27</v>
      </c>
      <c r="AM3" s="14" t="s">
        <v>28</v>
      </c>
      <c r="AN3" s="22" t="s">
        <v>29</v>
      </c>
      <c r="AO3" s="22" t="s">
        <v>30</v>
      </c>
      <c r="AP3" s="14" t="s">
        <v>31</v>
      </c>
      <c r="AQ3" s="23" t="s">
        <v>32</v>
      </c>
    </row>
    <row r="4" spans="2:43" x14ac:dyDescent="0.25">
      <c r="B4" s="9" t="s">
        <v>57</v>
      </c>
      <c r="C4" s="9">
        <f>COUNT(F4:O4)</f>
        <v>2</v>
      </c>
      <c r="E4" s="15"/>
      <c r="F4" s="17">
        <v>3.1</v>
      </c>
      <c r="G4" s="17">
        <v>3.9</v>
      </c>
      <c r="H4" s="17"/>
      <c r="I4" s="17"/>
      <c r="J4" s="17"/>
      <c r="K4" s="17"/>
      <c r="L4" s="17"/>
      <c r="M4" s="17"/>
      <c r="N4" s="17"/>
      <c r="O4" s="17"/>
      <c r="P4" s="16">
        <f t="shared" ref="P4:P12" si="0">AVERAGE(F4:O4)</f>
        <v>3.5</v>
      </c>
      <c r="Q4" s="16">
        <f t="shared" ref="Q4:Q12" si="1">MAX(F4:G4)-MIN(F4:G4)</f>
        <v>0.79999999999999982</v>
      </c>
      <c r="R4" s="27"/>
      <c r="S4" s="10">
        <f>AVERAGE(P4)</f>
        <v>3.5</v>
      </c>
      <c r="T4" s="10">
        <f>AVERAGE($Q$4)</f>
        <v>0.79999999999999982</v>
      </c>
      <c r="U4" s="98">
        <f>T4/$AM$16</f>
        <v>0.70921985815602828</v>
      </c>
      <c r="V4" s="106">
        <f>_xlfn.STDEV.S($F$4:$G$4)</f>
        <v>0.56568542494923824</v>
      </c>
      <c r="W4" s="10">
        <f>S4+$AM$15*T4</f>
        <v>5.0039999999999996</v>
      </c>
      <c r="X4" s="13">
        <f>S4</f>
        <v>3.5</v>
      </c>
      <c r="Y4" s="13">
        <f t="shared" ref="Y4:Y12" si="2">S4-$AM$15*T4</f>
        <v>1.9960000000000004</v>
      </c>
      <c r="Z4" s="13">
        <f>$AM$18*T4</f>
        <v>2.6135999999999995</v>
      </c>
      <c r="AA4" s="13">
        <f>T4</f>
        <v>0.79999999999999982</v>
      </c>
      <c r="AB4" s="9">
        <f>$AM$17*T4</f>
        <v>0</v>
      </c>
      <c r="AC4" s="99">
        <f>IF($C$3="","",(S4-$C$3)/(3*U4))</f>
        <v>1.175</v>
      </c>
      <c r="AD4" s="98">
        <f>IF($C$2="","",($C$2-S4)/(3*U4))</f>
        <v>2.1150000000000002</v>
      </c>
      <c r="AE4" s="98">
        <f>MIN(AC4,AD4)</f>
        <v>1.175</v>
      </c>
      <c r="AF4" s="98">
        <f>AVERAGE($AE$4:$AE$12)</f>
        <v>0.60571632238253725</v>
      </c>
      <c r="AG4" s="96">
        <f>IF($C$3="","",(S4-$C$3)/(3*V4))</f>
        <v>1.4731391274719734</v>
      </c>
      <c r="AH4" s="96">
        <f>IF($C$2="","",($C$2-S4)/(3*V4))</f>
        <v>2.651650429449552</v>
      </c>
      <c r="AI4" s="96">
        <f>MIN(AG4,AH4)</f>
        <v>1.4731391274719734</v>
      </c>
      <c r="AJ4" s="96">
        <f>AVERAGE($AI$4:$AI$12)</f>
        <v>0.75348368590227788</v>
      </c>
      <c r="AL4" s="23">
        <v>5.98</v>
      </c>
      <c r="AM4" s="23">
        <v>3.92</v>
      </c>
      <c r="AN4" s="23">
        <v>1.85</v>
      </c>
      <c r="AO4" s="23">
        <v>3.59</v>
      </c>
      <c r="AP4" s="23">
        <v>1.1000000000000001</v>
      </c>
      <c r="AQ4" s="23">
        <v>0</v>
      </c>
    </row>
    <row r="5" spans="2:43" x14ac:dyDescent="0.25">
      <c r="E5" s="15"/>
      <c r="F5" s="16">
        <v>5.7</v>
      </c>
      <c r="G5" s="16">
        <v>2</v>
      </c>
      <c r="H5" s="16"/>
      <c r="I5" s="16"/>
      <c r="J5" s="16"/>
      <c r="K5" s="16"/>
      <c r="L5" s="16"/>
      <c r="M5" s="16"/>
      <c r="N5" s="16"/>
      <c r="O5" s="16"/>
      <c r="P5" s="16">
        <f t="shared" si="0"/>
        <v>3.85</v>
      </c>
      <c r="Q5" s="16">
        <f t="shared" si="1"/>
        <v>3.7</v>
      </c>
      <c r="R5" s="27"/>
      <c r="S5" s="10">
        <f>AVERAGE($P$4:P5)</f>
        <v>3.6749999999999998</v>
      </c>
      <c r="T5" s="10">
        <f>AVERAGE($Q$4:Q5)</f>
        <v>2.25</v>
      </c>
      <c r="U5" s="98">
        <f>T5/$AM$16</f>
        <v>1.9946808510638301</v>
      </c>
      <c r="V5" s="106">
        <f>_xlfn.STDEV.S($F$4,F$4:$G5:G5)</f>
        <v>1.3740451229854127</v>
      </c>
      <c r="W5" s="10">
        <f t="shared" ref="W5:W12" si="3">S5+$AM$15*T5</f>
        <v>7.9049999999999994</v>
      </c>
      <c r="X5" s="13">
        <f t="shared" ref="X5:X12" si="4">S5</f>
        <v>3.6749999999999998</v>
      </c>
      <c r="Y5" s="13">
        <f t="shared" si="2"/>
        <v>-0.55499999999999972</v>
      </c>
      <c r="Z5" s="13">
        <f t="shared" ref="Z5:Z12" si="5">$AM$18*T5</f>
        <v>7.3507499999999997</v>
      </c>
      <c r="AA5" s="13">
        <f t="shared" ref="AA5:AA11" si="6">T5</f>
        <v>2.25</v>
      </c>
      <c r="AB5" s="9">
        <f t="shared" ref="AB5:AB12" si="7">$AM$17*T5</f>
        <v>0</v>
      </c>
      <c r="AC5" s="99">
        <f t="shared" ref="AC5:AC12" si="8">IF($C$3="","",(S5-$C$3)/(3*U5))</f>
        <v>0.4470222222222221</v>
      </c>
      <c r="AD5" s="98">
        <f>IF($C$2="","",($C$2-S5)/(3*U5))</f>
        <v>0.72275555555555548</v>
      </c>
      <c r="AE5" s="98">
        <f t="shared" ref="AE5:AE11" si="9">MIN(AC5,AD5)</f>
        <v>0.4470222222222221</v>
      </c>
      <c r="AF5" s="98">
        <f t="shared" ref="AF5:AF12" si="10">AVERAGE($AE$4:$AE$12)</f>
        <v>0.60571632238253725</v>
      </c>
      <c r="AG5" s="96">
        <f t="shared" ref="AG5:AG12" si="11">IF($C$3="","",(S5-$C$3)/(3*V5))</f>
        <v>0.64893550564724267</v>
      </c>
      <c r="AH5" s="96">
        <f>IF($C$2="","",($C$2-S5)/(3*V5))</f>
        <v>1.0492134810932057</v>
      </c>
      <c r="AI5" s="96">
        <f t="shared" ref="AI5:AI12" si="12">MIN(AG5,AH5)</f>
        <v>0.64893550564724267</v>
      </c>
      <c r="AJ5" s="96">
        <f t="shared" ref="AJ5:AJ12" si="13">AVERAGE($AI$4:$AI$12)</f>
        <v>0.75348368590227788</v>
      </c>
      <c r="AL5" s="23">
        <v>5.98</v>
      </c>
      <c r="AM5" s="23">
        <v>3.92</v>
      </c>
      <c r="AN5" s="23">
        <v>1.85</v>
      </c>
      <c r="AO5" s="23">
        <v>3.59</v>
      </c>
      <c r="AP5" s="23">
        <v>1.1000000000000001</v>
      </c>
      <c r="AQ5" s="23">
        <v>0</v>
      </c>
    </row>
    <row r="6" spans="2:43" x14ac:dyDescent="0.25">
      <c r="B6" s="9" t="s">
        <v>51</v>
      </c>
      <c r="C6" s="9">
        <f>IF($C$2="","",($C$2-S12)/(3*U12))</f>
        <v>0.73906878306878321</v>
      </c>
      <c r="E6" s="15"/>
      <c r="F6" s="16">
        <v>2.6</v>
      </c>
      <c r="G6" s="16">
        <v>4.2</v>
      </c>
      <c r="H6" s="16"/>
      <c r="I6" s="16"/>
      <c r="J6" s="16"/>
      <c r="K6" s="16"/>
      <c r="L6" s="16"/>
      <c r="M6" s="16"/>
      <c r="N6" s="16"/>
      <c r="O6" s="16"/>
      <c r="P6" s="16">
        <f t="shared" si="0"/>
        <v>3.4000000000000004</v>
      </c>
      <c r="Q6" s="16">
        <f t="shared" si="1"/>
        <v>1.6</v>
      </c>
      <c r="R6" s="27"/>
      <c r="S6" s="10">
        <f>AVERAGE($P$4:P6)</f>
        <v>3.5833333333333335</v>
      </c>
      <c r="T6" s="10">
        <f>AVERAGE($Q$4:Q6)</f>
        <v>2.0333333333333332</v>
      </c>
      <c r="U6" s="98">
        <f>T6/$AM$16</f>
        <v>1.8026004728132388</v>
      </c>
      <c r="V6" s="106">
        <f>_xlfn.STDEV.S($F$4,F$4:$G6:G6)</f>
        <v>1.2157694016939389</v>
      </c>
      <c r="W6" s="10">
        <f t="shared" si="3"/>
        <v>7.4059999999999997</v>
      </c>
      <c r="X6" s="13">
        <f t="shared" si="4"/>
        <v>3.5833333333333335</v>
      </c>
      <c r="Y6" s="13">
        <f t="shared" si="2"/>
        <v>-0.23933333333333273</v>
      </c>
      <c r="Z6" s="13">
        <f t="shared" si="5"/>
        <v>6.6428999999999991</v>
      </c>
      <c r="AA6" s="13">
        <f t="shared" si="6"/>
        <v>2.0333333333333332</v>
      </c>
      <c r="AB6" s="9">
        <f t="shared" si="7"/>
        <v>0</v>
      </c>
      <c r="AC6" s="99">
        <f t="shared" si="8"/>
        <v>0.47770491803278697</v>
      </c>
      <c r="AD6" s="98">
        <f>IF($C$2="","",($C$2-S6)/(3*U6))</f>
        <v>0.81672131147540983</v>
      </c>
      <c r="AE6" s="98">
        <f t="shared" si="9"/>
        <v>0.47770491803278697</v>
      </c>
      <c r="AF6" s="98">
        <f t="shared" si="10"/>
        <v>0.60571632238253725</v>
      </c>
      <c r="AG6" s="96">
        <f t="shared" si="11"/>
        <v>0.70828490165266522</v>
      </c>
      <c r="AH6" s="96">
        <f>IF($C$2="","",($C$2-S6)/(3*V6))</f>
        <v>1.2109387028255243</v>
      </c>
      <c r="AI6" s="96">
        <f t="shared" si="12"/>
        <v>0.70828490165266522</v>
      </c>
      <c r="AJ6" s="96">
        <f t="shared" si="13"/>
        <v>0.75348368590227788</v>
      </c>
      <c r="AL6" s="23">
        <v>5.98</v>
      </c>
      <c r="AM6" s="23">
        <v>3.92</v>
      </c>
      <c r="AN6" s="23">
        <v>1.85</v>
      </c>
      <c r="AO6" s="23">
        <v>3.59</v>
      </c>
      <c r="AP6" s="23">
        <v>1.1000000000000001</v>
      </c>
      <c r="AQ6" s="23">
        <v>0</v>
      </c>
    </row>
    <row r="7" spans="2:43" x14ac:dyDescent="0.25">
      <c r="B7" s="9" t="s">
        <v>52</v>
      </c>
      <c r="C7" s="9">
        <f>IF($C$3="","",(S12-$C$3)/(3*U12))</f>
        <v>0.51426455026455031</v>
      </c>
      <c r="E7" s="15"/>
      <c r="F7" s="16">
        <v>7</v>
      </c>
      <c r="G7" s="16">
        <v>4.0999999999999996</v>
      </c>
      <c r="H7" s="16"/>
      <c r="I7" s="16"/>
      <c r="J7" s="16"/>
      <c r="K7" s="16"/>
      <c r="L7" s="16"/>
      <c r="M7" s="16"/>
      <c r="N7" s="16"/>
      <c r="O7" s="16"/>
      <c r="P7" s="16">
        <f t="shared" si="0"/>
        <v>5.55</v>
      </c>
      <c r="Q7" s="16">
        <f t="shared" si="1"/>
        <v>2.9000000000000004</v>
      </c>
      <c r="R7" s="27"/>
      <c r="S7" s="10">
        <f>AVERAGE($P$4:P7)</f>
        <v>4.0750000000000002</v>
      </c>
      <c r="T7" s="10">
        <f>AVERAGE($Q$4:Q7)</f>
        <v>2.25</v>
      </c>
      <c r="U7" s="98">
        <f>T7/$AM$16</f>
        <v>1.9946808510638301</v>
      </c>
      <c r="V7" s="106">
        <f>_xlfn.STDEV.S($F$4,F$4:$G7:G7)</f>
        <v>1.5620499351813302</v>
      </c>
      <c r="W7" s="10">
        <f t="shared" si="3"/>
        <v>8.3049999999999997</v>
      </c>
      <c r="X7" s="13">
        <f t="shared" si="4"/>
        <v>4.0750000000000002</v>
      </c>
      <c r="Y7" s="13">
        <f t="shared" si="2"/>
        <v>-0.15499999999999936</v>
      </c>
      <c r="Z7" s="13">
        <f t="shared" si="5"/>
        <v>7.3507499999999997</v>
      </c>
      <c r="AA7" s="13">
        <f t="shared" si="6"/>
        <v>2.25</v>
      </c>
      <c r="AB7" s="9">
        <f t="shared" si="7"/>
        <v>0</v>
      </c>
      <c r="AC7" s="99">
        <f t="shared" si="8"/>
        <v>0.51386666666666658</v>
      </c>
      <c r="AD7" s="98">
        <f>IF($C$2="","",($C$2-S7)/(3*U7))</f>
        <v>0.655911111111111</v>
      </c>
      <c r="AE7" s="98">
        <f t="shared" si="9"/>
        <v>0.51386666666666658</v>
      </c>
      <c r="AF7" s="98">
        <f t="shared" si="10"/>
        <v>0.60571632238253725</v>
      </c>
      <c r="AG7" s="96">
        <f t="shared" si="11"/>
        <v>0.65618900965609217</v>
      </c>
      <c r="AH7" s="96">
        <f>IF($C$2="","",($C$2-S7)/(3*V7))</f>
        <v>0.83757458956102804</v>
      </c>
      <c r="AI7" s="96">
        <f t="shared" si="12"/>
        <v>0.65618900965609217</v>
      </c>
      <c r="AJ7" s="96">
        <f t="shared" si="13"/>
        <v>0.75348368590227788</v>
      </c>
      <c r="AL7" s="23">
        <v>5.98</v>
      </c>
      <c r="AM7" s="23">
        <v>3.92</v>
      </c>
      <c r="AN7" s="23">
        <v>1.85</v>
      </c>
      <c r="AO7" s="23">
        <v>3.59</v>
      </c>
      <c r="AP7" s="23">
        <v>1.1000000000000001</v>
      </c>
      <c r="AQ7" s="23">
        <v>0</v>
      </c>
    </row>
    <row r="8" spans="2:43" x14ac:dyDescent="0.25">
      <c r="B8" s="9" t="s">
        <v>53</v>
      </c>
      <c r="C8" s="9">
        <f>MIN(C6,C7)</f>
        <v>0.51426455026455031</v>
      </c>
      <c r="E8" s="15"/>
      <c r="F8" s="16">
        <v>3.8</v>
      </c>
      <c r="G8" s="16">
        <v>2.9</v>
      </c>
      <c r="H8" s="16"/>
      <c r="I8" s="16"/>
      <c r="J8" s="16"/>
      <c r="K8" s="16"/>
      <c r="L8" s="16"/>
      <c r="M8" s="16"/>
      <c r="N8" s="16"/>
      <c r="O8" s="16"/>
      <c r="P8" s="16">
        <f t="shared" si="0"/>
        <v>3.3499999999999996</v>
      </c>
      <c r="Q8" s="16">
        <f t="shared" si="1"/>
        <v>0.89999999999999991</v>
      </c>
      <c r="R8" s="27"/>
      <c r="S8" s="10">
        <f>AVERAGE($P$4:P8)</f>
        <v>3.9299999999999997</v>
      </c>
      <c r="T8" s="10">
        <f>AVERAGE($Q$4:Q8)</f>
        <v>1.98</v>
      </c>
      <c r="U8" s="98">
        <f>T8/$AM$16</f>
        <v>1.7553191489361704</v>
      </c>
      <c r="V8" s="106">
        <f>_xlfn.STDEV.S($F$4,F$4:$G8:G8)</f>
        <v>1.4334319909668791</v>
      </c>
      <c r="W8" s="10">
        <f t="shared" si="3"/>
        <v>7.6524000000000001</v>
      </c>
      <c r="X8" s="13">
        <f>S8</f>
        <v>3.9299999999999997</v>
      </c>
      <c r="Y8" s="13">
        <f t="shared" si="2"/>
        <v>0.20759999999999978</v>
      </c>
      <c r="Z8" s="13">
        <f t="shared" si="5"/>
        <v>6.4686599999999999</v>
      </c>
      <c r="AA8" s="13">
        <f>T8</f>
        <v>1.98</v>
      </c>
      <c r="AB8" s="9">
        <f t="shared" si="7"/>
        <v>0</v>
      </c>
      <c r="AC8" s="99">
        <f t="shared" si="8"/>
        <v>0.55640404040404023</v>
      </c>
      <c r="AD8" s="98">
        <f>IF($C$2="","",($C$2-S8)/(3*U8))</f>
        <v>0.77288888888888885</v>
      </c>
      <c r="AE8" s="98">
        <f t="shared" si="9"/>
        <v>0.55640404040404023</v>
      </c>
      <c r="AF8" s="98">
        <f t="shared" si="10"/>
        <v>0.60571632238253725</v>
      </c>
      <c r="AG8" s="96">
        <f t="shared" si="11"/>
        <v>0.68134845100525832</v>
      </c>
      <c r="AH8" s="96">
        <f>IF($C$2="","",($C$2-S8)/(3*V8))</f>
        <v>0.9464464831369972</v>
      </c>
      <c r="AI8" s="96">
        <f t="shared" si="12"/>
        <v>0.68134845100525832</v>
      </c>
      <c r="AJ8" s="96">
        <f t="shared" si="13"/>
        <v>0.75348368590227788</v>
      </c>
      <c r="AL8" s="23">
        <v>5.98</v>
      </c>
      <c r="AM8" s="23">
        <v>3.92</v>
      </c>
      <c r="AN8" s="23">
        <v>1.85</v>
      </c>
      <c r="AO8" s="23">
        <v>3.59</v>
      </c>
      <c r="AP8" s="23">
        <v>1.1000000000000001</v>
      </c>
      <c r="AQ8" s="23">
        <v>0</v>
      </c>
    </row>
    <row r="9" spans="2:43" x14ac:dyDescent="0.25">
      <c r="E9" s="18"/>
      <c r="F9" s="16">
        <v>3.9</v>
      </c>
      <c r="G9" s="16">
        <v>3.7</v>
      </c>
      <c r="H9" s="16"/>
      <c r="I9" s="16"/>
      <c r="J9" s="16"/>
      <c r="K9" s="16"/>
      <c r="L9" s="16"/>
      <c r="M9" s="16"/>
      <c r="N9" s="16"/>
      <c r="O9" s="16"/>
      <c r="P9" s="16">
        <f t="shared" si="0"/>
        <v>3.8</v>
      </c>
      <c r="Q9" s="16">
        <f t="shared" si="1"/>
        <v>0.19999999999999973</v>
      </c>
      <c r="R9" s="27"/>
      <c r="S9" s="10">
        <f>AVERAGE($P$4:P9)</f>
        <v>3.9083333333333332</v>
      </c>
      <c r="T9" s="10">
        <f>AVERAGE($Q$4:Q9)</f>
        <v>1.6833333333333333</v>
      </c>
      <c r="U9" s="98">
        <f>T9/$AM$16</f>
        <v>1.4923167848699765</v>
      </c>
      <c r="V9" s="106">
        <f>_xlfn.STDEV.S($F$4,F$4:$G9:G9)</f>
        <v>1.3093353177696585</v>
      </c>
      <c r="W9" s="31">
        <f t="shared" si="3"/>
        <v>7.0729999999999995</v>
      </c>
      <c r="X9" s="32">
        <f t="shared" si="4"/>
        <v>3.9083333333333332</v>
      </c>
      <c r="Y9" s="31">
        <f t="shared" si="2"/>
        <v>0.74366666666666692</v>
      </c>
      <c r="Z9" s="31">
        <f t="shared" si="5"/>
        <v>5.4994499999999995</v>
      </c>
      <c r="AA9" s="32">
        <f t="shared" si="6"/>
        <v>1.6833333333333333</v>
      </c>
      <c r="AB9" s="33">
        <f t="shared" si="7"/>
        <v>0</v>
      </c>
      <c r="AC9" s="99">
        <f t="shared" si="8"/>
        <v>0.64962376237623753</v>
      </c>
      <c r="AD9" s="98">
        <f>IF($C$2="","",($C$2-S9)/(3*U9))</f>
        <v>0.91394059405940586</v>
      </c>
      <c r="AE9" s="98">
        <f t="shared" si="9"/>
        <v>0.64962376237623753</v>
      </c>
      <c r="AF9" s="98">
        <f t="shared" si="10"/>
        <v>0.60571632238253725</v>
      </c>
      <c r="AG9" s="96">
        <f t="shared" si="11"/>
        <v>0.74040960423782864</v>
      </c>
      <c r="AH9" s="96">
        <f>IF($C$2="","",($C$2-S9)/(3*V9))</f>
        <v>1.0416650879105269</v>
      </c>
      <c r="AI9" s="96">
        <f t="shared" si="12"/>
        <v>0.74040960423782864</v>
      </c>
      <c r="AJ9" s="96">
        <f t="shared" si="13"/>
        <v>0.75348368590227788</v>
      </c>
      <c r="AL9" s="23">
        <v>5.98</v>
      </c>
      <c r="AM9" s="23">
        <v>3.92</v>
      </c>
      <c r="AN9" s="23">
        <v>1.85</v>
      </c>
      <c r="AO9" s="23">
        <v>3.59</v>
      </c>
      <c r="AP9" s="23">
        <v>1.1000000000000001</v>
      </c>
      <c r="AQ9" s="23">
        <v>0</v>
      </c>
    </row>
    <row r="10" spans="2:43" x14ac:dyDescent="0.25">
      <c r="E10" s="15"/>
      <c r="F10" s="16">
        <v>2.9</v>
      </c>
      <c r="G10" s="16">
        <v>8</v>
      </c>
      <c r="H10" s="16"/>
      <c r="I10" s="16"/>
      <c r="J10" s="16"/>
      <c r="K10" s="16"/>
      <c r="L10" s="16"/>
      <c r="M10" s="16"/>
      <c r="N10" s="16"/>
      <c r="O10" s="16"/>
      <c r="P10" s="16">
        <f t="shared" si="0"/>
        <v>5.45</v>
      </c>
      <c r="Q10" s="16">
        <f t="shared" si="1"/>
        <v>5.0999999999999996</v>
      </c>
      <c r="R10" s="27"/>
      <c r="S10" s="10">
        <f>AVERAGE($P$4:P10)</f>
        <v>4.1285714285714281</v>
      </c>
      <c r="T10" s="10">
        <f>AVERAGE($Q$4:Q10)</f>
        <v>2.1714285714285713</v>
      </c>
      <c r="U10" s="98">
        <f>T10/$AM$16</f>
        <v>1.9250253292806485</v>
      </c>
      <c r="V10" s="106">
        <f>_xlfn.STDEV.S($F$4,F$4:$G10:G10)</f>
        <v>1.6482891563245634</v>
      </c>
      <c r="W10" s="10">
        <f t="shared" si="3"/>
        <v>8.210857142857142</v>
      </c>
      <c r="X10" s="13">
        <f t="shared" si="4"/>
        <v>4.1285714285714281</v>
      </c>
      <c r="Y10" s="13">
        <f t="shared" si="2"/>
        <v>4.6285714285714263E-2</v>
      </c>
      <c r="Z10" s="13">
        <f t="shared" si="5"/>
        <v>7.0940571428571424</v>
      </c>
      <c r="AA10" s="13">
        <f t="shared" si="6"/>
        <v>2.1714285714285713</v>
      </c>
      <c r="AB10" s="9">
        <f t="shared" si="7"/>
        <v>0</v>
      </c>
      <c r="AC10" s="99">
        <f t="shared" si="8"/>
        <v>0.54173684210526307</v>
      </c>
      <c r="AD10" s="98">
        <f>IF($C$2="","",($C$2-S10)/(3*U10))</f>
        <v>0.67036842105263161</v>
      </c>
      <c r="AE10" s="98">
        <f t="shared" si="9"/>
        <v>0.54173684210526307</v>
      </c>
      <c r="AF10" s="98">
        <f t="shared" si="10"/>
        <v>0.60571632238253725</v>
      </c>
      <c r="AG10" s="96">
        <f t="shared" si="11"/>
        <v>0.63269065312700168</v>
      </c>
      <c r="AH10" s="96">
        <f>IF($C$2="","",($C$2-S10)/(3*V10))</f>
        <v>0.78291857076446347</v>
      </c>
      <c r="AI10" s="96">
        <f t="shared" si="12"/>
        <v>0.63269065312700168</v>
      </c>
      <c r="AJ10" s="96">
        <f t="shared" si="13"/>
        <v>0.75348368590227788</v>
      </c>
      <c r="AL10" s="23">
        <v>5.98</v>
      </c>
      <c r="AM10" s="23">
        <v>3.92</v>
      </c>
      <c r="AN10" s="23">
        <v>1.85</v>
      </c>
      <c r="AO10" s="23">
        <v>3.59</v>
      </c>
      <c r="AP10" s="23">
        <v>1.1000000000000001</v>
      </c>
      <c r="AQ10" s="23">
        <v>0</v>
      </c>
    </row>
    <row r="11" spans="2:43" x14ac:dyDescent="0.25">
      <c r="B11" s="13"/>
      <c r="C11" s="13"/>
      <c r="D11" s="13"/>
      <c r="E11" s="15"/>
      <c r="F11" s="16">
        <v>3.8</v>
      </c>
      <c r="G11" s="16">
        <v>3.1</v>
      </c>
      <c r="H11" s="16"/>
      <c r="I11" s="16"/>
      <c r="J11" s="16"/>
      <c r="K11" s="16"/>
      <c r="L11" s="16"/>
      <c r="M11" s="16"/>
      <c r="N11" s="16"/>
      <c r="O11" s="16"/>
      <c r="P11" s="16">
        <f t="shared" si="0"/>
        <v>3.45</v>
      </c>
      <c r="Q11" s="16">
        <f t="shared" si="1"/>
        <v>0.69999999999999973</v>
      </c>
      <c r="R11" s="27"/>
      <c r="S11" s="10">
        <f>AVERAGE($P$4:P11)</f>
        <v>4.0437500000000002</v>
      </c>
      <c r="T11" s="10">
        <f>AVERAGE($Q$4:Q11)</f>
        <v>1.9874999999999998</v>
      </c>
      <c r="U11" s="98">
        <f>T11/$AM$16</f>
        <v>1.761968085106383</v>
      </c>
      <c r="V11" s="106">
        <f>_xlfn.STDEV.S($F$4,F$4:$G11:G11)</f>
        <v>1.5600009426844814</v>
      </c>
      <c r="W11" s="10">
        <f t="shared" si="3"/>
        <v>7.7802499999999997</v>
      </c>
      <c r="X11" s="13">
        <f t="shared" si="4"/>
        <v>4.0437500000000002</v>
      </c>
      <c r="Y11" s="13">
        <f t="shared" si="2"/>
        <v>0.30725000000000069</v>
      </c>
      <c r="Z11" s="13">
        <f t="shared" si="5"/>
        <v>6.4931624999999995</v>
      </c>
      <c r="AA11" s="13">
        <f t="shared" si="6"/>
        <v>1.9874999999999998</v>
      </c>
      <c r="AB11" s="9">
        <f t="shared" si="7"/>
        <v>0</v>
      </c>
      <c r="AC11" s="99">
        <f t="shared" si="8"/>
        <v>0.57582389937106915</v>
      </c>
      <c r="AD11" s="98">
        <f>IF($C$2="","",($C$2-S11)/(3*U11))</f>
        <v>0.74845283018867914</v>
      </c>
      <c r="AE11" s="98">
        <f t="shared" si="9"/>
        <v>0.57582389937106915</v>
      </c>
      <c r="AF11" s="98">
        <f t="shared" si="10"/>
        <v>0.60571632238253725</v>
      </c>
      <c r="AG11" s="96">
        <f t="shared" si="11"/>
        <v>0.65037353861300728</v>
      </c>
      <c r="AH11" s="96">
        <f>IF($C$2="","",($C$2-S11)/(3*V11))</f>
        <v>0.84535205326906282</v>
      </c>
      <c r="AI11" s="96">
        <f t="shared" si="12"/>
        <v>0.65037353861300728</v>
      </c>
      <c r="AJ11" s="96">
        <f t="shared" si="13"/>
        <v>0.75348368590227788</v>
      </c>
      <c r="AL11" s="23">
        <v>5.98</v>
      </c>
      <c r="AM11" s="23">
        <v>3.92</v>
      </c>
      <c r="AN11" s="23">
        <v>1.85</v>
      </c>
      <c r="AO11" s="23">
        <v>3.59</v>
      </c>
      <c r="AP11" s="23">
        <v>1.1000000000000001</v>
      </c>
      <c r="AQ11" s="23">
        <v>0</v>
      </c>
    </row>
    <row r="12" spans="2:43" x14ac:dyDescent="0.25">
      <c r="B12" s="13"/>
      <c r="C12" s="13"/>
      <c r="D12" s="13"/>
      <c r="E12" s="15"/>
      <c r="F12" s="16">
        <v>4</v>
      </c>
      <c r="G12" s="16">
        <v>1</v>
      </c>
      <c r="H12" s="16"/>
      <c r="I12" s="16"/>
      <c r="J12" s="16"/>
      <c r="K12" s="16"/>
      <c r="L12" s="16"/>
      <c r="M12" s="16"/>
      <c r="N12" s="16"/>
      <c r="O12" s="16"/>
      <c r="P12" s="16">
        <f t="shared" si="0"/>
        <v>2.5</v>
      </c>
      <c r="Q12" s="16">
        <f t="shared" si="1"/>
        <v>3</v>
      </c>
      <c r="R12" s="27"/>
      <c r="S12" s="10">
        <f>AVERAGE($P$4:P12)</f>
        <v>3.8722222222222222</v>
      </c>
      <c r="T12" s="10">
        <f>AVERAGE($Q$4:Q12)</f>
        <v>2.0999999999999996</v>
      </c>
      <c r="U12" s="98">
        <f>T12/$AM$16</f>
        <v>1.8617021276595744</v>
      </c>
      <c r="V12" s="106">
        <f>_xlfn.STDEV.S($F$4,F$4:$G12:G12)</f>
        <v>1.6227728777821926</v>
      </c>
      <c r="W12" s="10">
        <f t="shared" si="3"/>
        <v>7.8202222222222213</v>
      </c>
      <c r="X12" s="13">
        <f t="shared" si="4"/>
        <v>3.8722222222222222</v>
      </c>
      <c r="Y12" s="13">
        <f t="shared" si="2"/>
        <v>-7.5777777777776834E-2</v>
      </c>
      <c r="Z12" s="13">
        <f t="shared" si="5"/>
        <v>6.8606999999999987</v>
      </c>
      <c r="AA12" s="13">
        <f>T12</f>
        <v>2.0999999999999996</v>
      </c>
      <c r="AB12" s="9">
        <f t="shared" si="7"/>
        <v>0</v>
      </c>
      <c r="AC12" s="99">
        <f t="shared" si="8"/>
        <v>0.51426455026455031</v>
      </c>
      <c r="AD12" s="98">
        <f>IF($C$2="","",($C$2-S12)/(3*U12))</f>
        <v>0.73906878306878321</v>
      </c>
      <c r="AE12" s="98">
        <f>MIN(AC12,AD12)</f>
        <v>0.51426455026455031</v>
      </c>
      <c r="AF12" s="98">
        <f t="shared" si="10"/>
        <v>0.60571632238253725</v>
      </c>
      <c r="AG12" s="96">
        <f t="shared" si="11"/>
        <v>0.58998238170943229</v>
      </c>
      <c r="AH12" s="96">
        <f>IF($C$2="","",($C$2-S12)/(3*V12))</f>
        <v>0.84788570524198892</v>
      </c>
      <c r="AI12" s="96">
        <f t="shared" si="12"/>
        <v>0.58998238170943229</v>
      </c>
      <c r="AJ12" s="96">
        <f t="shared" si="13"/>
        <v>0.75348368590227788</v>
      </c>
      <c r="AL12" s="23">
        <v>5.98</v>
      </c>
      <c r="AM12" s="23">
        <v>3.92</v>
      </c>
      <c r="AN12" s="23">
        <v>1.85</v>
      </c>
      <c r="AO12" s="23">
        <v>3.59</v>
      </c>
      <c r="AP12" s="23">
        <v>1.1000000000000001</v>
      </c>
      <c r="AQ12" s="23">
        <v>0</v>
      </c>
    </row>
    <row r="13" spans="2:43" x14ac:dyDescent="0.25">
      <c r="B13" s="12"/>
      <c r="C13" s="12"/>
      <c r="D13" s="12"/>
    </row>
    <row r="14" spans="2:43" x14ac:dyDescent="0.25">
      <c r="AL14" s="28" t="s">
        <v>47</v>
      </c>
      <c r="AM14" s="29"/>
    </row>
    <row r="15" spans="2:43" x14ac:dyDescent="0.25">
      <c r="AL15" s="16" t="s">
        <v>41</v>
      </c>
      <c r="AM15" s="16">
        <f>IF(C4=2,1.88,IF(C4=3,1.023,IF(C4=4,0.729,IF(C4=5,0.577,IF(C4=6,0.483,IF(C4=7,0.419,IF(C4=8,0.373,IF(C4=9,0.337,IF(C4=10,0.308,"")))))))))</f>
        <v>1.88</v>
      </c>
    </row>
    <row r="16" spans="2:43" x14ac:dyDescent="0.25">
      <c r="AL16" s="16" t="s">
        <v>42</v>
      </c>
      <c r="AM16" s="16">
        <f>IF(C4=2,1.128,IF(C4=3,1.693,IF(C4=4,2.059,IF(C4=5,2.326,IF(C4=6,2.534,IF(C4=7,2.704,IF(C4=8,2.847,IF(C4=9,2.97,IF(C4=10,3.078,"")))))))))</f>
        <v>1.1279999999999999</v>
      </c>
    </row>
    <row r="17" spans="38:39" x14ac:dyDescent="0.25">
      <c r="AL17" s="16" t="s">
        <v>43</v>
      </c>
      <c r="AM17" s="16">
        <f>IF(C4=2,0,IF(C4=3,0,IF(C4=4,0,IF(C4=5,0,IF(C4=6,0,IF(C4=7,0.076,IF(C4=8,0.136,IF(C4=9,0.184,IF(C4=10,0.223,"")))))))))</f>
        <v>0</v>
      </c>
    </row>
    <row r="18" spans="38:39" x14ac:dyDescent="0.25">
      <c r="AL18" s="16" t="s">
        <v>44</v>
      </c>
      <c r="AM18" s="16">
        <f>IF(C4=2,3.267,IF(C4=3,2.574,IF(C4=4,2.282,IF(C4=5,2.114,IF(C4=6,2.004,IF(C4=7,1.924,IF(C4=8,1.864,IF(C4=9,1.816,IF(C4=10,1.777,"")))))))))</f>
        <v>3.2669999999999999</v>
      </c>
    </row>
  </sheetData>
  <mergeCells count="2">
    <mergeCell ref="E2:Q2"/>
    <mergeCell ref="S2:AF2"/>
  </mergeCells>
  <phoneticPr fontId="5" type="noConversion"/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3F787-2FDB-4031-9DDC-833EC5112D45}">
  <dimension ref="C3:R29"/>
  <sheetViews>
    <sheetView showGridLines="0" topLeftCell="B1" workbookViewId="0">
      <selection activeCell="U28" sqref="U28"/>
    </sheetView>
  </sheetViews>
  <sheetFormatPr defaultRowHeight="15" x14ac:dyDescent="0.25"/>
  <cols>
    <col min="1" max="2" width="9.140625" style="1"/>
    <col min="3" max="3" width="12.5703125" style="1" customWidth="1"/>
    <col min="4" max="6" width="9.140625" style="1"/>
    <col min="7" max="7" width="4.5703125" style="1" customWidth="1"/>
    <col min="8" max="8" width="3" style="1" customWidth="1"/>
    <col min="9" max="9" width="13.7109375" style="1" customWidth="1"/>
    <col min="10" max="10" width="9.140625" style="1"/>
    <col min="11" max="11" width="9.140625" style="1" customWidth="1"/>
    <col min="12" max="12" width="9.140625" style="1"/>
    <col min="13" max="13" width="4.28515625" style="1" customWidth="1"/>
    <col min="14" max="14" width="3.28515625" style="1" customWidth="1"/>
    <col min="15" max="15" width="13" style="1" customWidth="1"/>
    <col min="16" max="16384" width="9.140625" style="1"/>
  </cols>
  <sheetData>
    <row r="3" spans="3:15" x14ac:dyDescent="0.25">
      <c r="E3" s="92" t="s">
        <v>19</v>
      </c>
      <c r="F3" s="93"/>
      <c r="G3" s="93"/>
      <c r="H3" s="93"/>
      <c r="I3" s="93"/>
      <c r="J3" s="93"/>
      <c r="K3" s="93"/>
      <c r="L3" s="93"/>
      <c r="M3" s="93"/>
      <c r="N3" s="93"/>
      <c r="O3" s="94"/>
    </row>
    <row r="13" spans="3:15" x14ac:dyDescent="0.25">
      <c r="C13" s="1" t="s">
        <v>17</v>
      </c>
    </row>
    <row r="17" spans="3:18" x14ac:dyDescent="0.25">
      <c r="C17" s="4" t="s">
        <v>18</v>
      </c>
      <c r="D17" s="4" t="s">
        <v>16</v>
      </c>
      <c r="E17" s="4" t="s">
        <v>14</v>
      </c>
      <c r="F17" s="4" t="s">
        <v>15</v>
      </c>
      <c r="I17" s="4" t="s">
        <v>18</v>
      </c>
      <c r="J17" s="4" t="s">
        <v>16</v>
      </c>
      <c r="K17" s="4" t="s">
        <v>14</v>
      </c>
      <c r="L17" s="4" t="s">
        <v>15</v>
      </c>
      <c r="O17" s="4" t="s">
        <v>18</v>
      </c>
      <c r="P17" s="4" t="s">
        <v>16</v>
      </c>
      <c r="Q17" s="4" t="s">
        <v>14</v>
      </c>
      <c r="R17" s="4" t="s">
        <v>15</v>
      </c>
    </row>
    <row r="18" spans="3:18" x14ac:dyDescent="0.25">
      <c r="C18" s="5"/>
      <c r="D18" s="6">
        <v>36</v>
      </c>
      <c r="E18" s="5"/>
      <c r="F18" s="5"/>
      <c r="I18" s="5"/>
      <c r="J18" s="6">
        <v>36</v>
      </c>
      <c r="K18" s="5"/>
      <c r="L18" s="5"/>
      <c r="O18" s="5"/>
      <c r="P18" s="6">
        <v>36</v>
      </c>
      <c r="Q18" s="5"/>
      <c r="R18" s="5"/>
    </row>
    <row r="19" spans="3:18" x14ac:dyDescent="0.25">
      <c r="C19" s="5"/>
      <c r="D19" s="6">
        <v>35</v>
      </c>
      <c r="E19" s="5"/>
      <c r="F19" s="5"/>
      <c r="I19" s="5"/>
      <c r="J19" s="6">
        <v>35</v>
      </c>
      <c r="K19" s="5"/>
      <c r="L19" s="5"/>
      <c r="O19" s="5"/>
      <c r="P19" s="6">
        <v>35</v>
      </c>
      <c r="Q19" s="5"/>
      <c r="R19" s="5"/>
    </row>
    <row r="20" spans="3:18" x14ac:dyDescent="0.25">
      <c r="C20" s="5"/>
      <c r="D20" s="6">
        <v>34</v>
      </c>
      <c r="E20" s="5"/>
      <c r="F20" s="5"/>
      <c r="I20" s="5"/>
      <c r="J20" s="6">
        <v>34</v>
      </c>
      <c r="K20" s="5"/>
      <c r="L20" s="5"/>
      <c r="O20" s="5"/>
      <c r="P20" s="6">
        <v>34</v>
      </c>
      <c r="Q20" s="5"/>
      <c r="R20" s="5"/>
    </row>
    <row r="21" spans="3:18" x14ac:dyDescent="0.25">
      <c r="C21" s="5"/>
      <c r="D21" s="6">
        <v>37</v>
      </c>
      <c r="E21" s="5"/>
      <c r="F21" s="5"/>
      <c r="I21" s="5"/>
      <c r="J21" s="6">
        <v>37</v>
      </c>
      <c r="K21" s="5"/>
      <c r="L21" s="5"/>
      <c r="O21" s="5"/>
      <c r="P21" s="6">
        <v>37</v>
      </c>
      <c r="Q21" s="5"/>
      <c r="R21" s="5"/>
    </row>
    <row r="22" spans="3:18" x14ac:dyDescent="0.25">
      <c r="C22" s="5"/>
      <c r="D22" s="6">
        <v>35</v>
      </c>
      <c r="E22" s="5"/>
      <c r="F22" s="5"/>
      <c r="I22" s="5"/>
      <c r="J22" s="5">
        <v>35</v>
      </c>
      <c r="K22" s="5"/>
      <c r="L22" s="5"/>
      <c r="O22" s="5"/>
      <c r="P22" s="6">
        <v>35</v>
      </c>
      <c r="Q22" s="5"/>
      <c r="R22" s="5"/>
    </row>
    <row r="23" spans="3:18" x14ac:dyDescent="0.25">
      <c r="C23" s="5"/>
      <c r="D23" s="6">
        <v>36</v>
      </c>
      <c r="E23" s="5"/>
      <c r="F23" s="5"/>
      <c r="I23" s="5"/>
      <c r="J23" s="5">
        <v>36</v>
      </c>
      <c r="K23" s="5"/>
      <c r="L23" s="5"/>
      <c r="O23" s="5"/>
      <c r="P23" s="6">
        <v>36</v>
      </c>
      <c r="Q23" s="5"/>
      <c r="R23" s="5"/>
    </row>
    <row r="24" spans="3:18" x14ac:dyDescent="0.25">
      <c r="C24" s="5"/>
      <c r="D24" s="6">
        <v>34</v>
      </c>
      <c r="E24" s="5"/>
      <c r="F24" s="5"/>
      <c r="I24" s="5"/>
      <c r="J24" s="5">
        <v>34</v>
      </c>
      <c r="K24" s="5"/>
      <c r="L24" s="5"/>
      <c r="O24" s="5"/>
      <c r="P24" s="6">
        <v>34</v>
      </c>
      <c r="Q24" s="5"/>
      <c r="R24" s="5"/>
    </row>
    <row r="25" spans="3:18" x14ac:dyDescent="0.25">
      <c r="C25" s="5"/>
      <c r="D25" s="6">
        <v>37</v>
      </c>
      <c r="E25" s="5"/>
      <c r="F25" s="5"/>
      <c r="I25" s="5"/>
      <c r="J25" s="5">
        <v>37</v>
      </c>
      <c r="K25" s="5"/>
      <c r="L25" s="5"/>
      <c r="O25" s="5"/>
      <c r="P25" s="6">
        <v>37</v>
      </c>
      <c r="Q25" s="5"/>
      <c r="R25" s="5"/>
    </row>
    <row r="26" spans="3:18" x14ac:dyDescent="0.25">
      <c r="C26" s="5"/>
      <c r="D26" s="5"/>
      <c r="E26" s="5"/>
      <c r="F26" s="5"/>
      <c r="I26" s="5"/>
      <c r="J26" s="5"/>
      <c r="K26" s="5"/>
      <c r="L26" s="5"/>
      <c r="O26" s="5"/>
      <c r="P26" s="6"/>
      <c r="Q26" s="5"/>
      <c r="R26" s="5"/>
    </row>
    <row r="27" spans="3:18" x14ac:dyDescent="0.25">
      <c r="C27" s="5"/>
      <c r="D27" s="5"/>
      <c r="E27" s="5"/>
      <c r="F27" s="5"/>
      <c r="I27" s="5"/>
      <c r="J27" s="5"/>
      <c r="K27" s="5"/>
      <c r="L27" s="5"/>
      <c r="O27" s="5"/>
      <c r="P27" s="6"/>
      <c r="Q27" s="5"/>
      <c r="R27" s="5"/>
    </row>
    <row r="28" spans="3:18" x14ac:dyDescent="0.25">
      <c r="C28" s="5"/>
      <c r="D28" s="5"/>
      <c r="E28" s="5"/>
      <c r="F28" s="5"/>
      <c r="I28" s="5"/>
      <c r="J28" s="5"/>
      <c r="K28" s="5"/>
      <c r="L28" s="5"/>
      <c r="O28" s="5"/>
      <c r="P28" s="5"/>
      <c r="Q28" s="5"/>
      <c r="R28" s="5"/>
    </row>
    <row r="29" spans="3:18" x14ac:dyDescent="0.25">
      <c r="C29" s="5"/>
      <c r="D29" s="5"/>
      <c r="E29" s="5"/>
      <c r="F29" s="5"/>
      <c r="I29" s="5"/>
      <c r="J29" s="5"/>
      <c r="K29" s="5"/>
      <c r="L29" s="5"/>
      <c r="O29" s="5"/>
      <c r="P29" s="5"/>
      <c r="Q29" s="5"/>
      <c r="R29" s="5"/>
    </row>
  </sheetData>
  <mergeCells count="1">
    <mergeCell ref="E3:O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44B1-C9C7-4413-9379-E86A440B0B38}">
  <dimension ref="B2:V13"/>
  <sheetViews>
    <sheetView workbookViewId="0">
      <selection sqref="A1:XFD1048576"/>
    </sheetView>
  </sheetViews>
  <sheetFormatPr defaultRowHeight="15" x14ac:dyDescent="0.25"/>
  <cols>
    <col min="1" max="1" width="9.140625" style="1"/>
    <col min="2" max="2" width="17" style="1" customWidth="1"/>
    <col min="3" max="5" width="9.140625" style="1"/>
    <col min="6" max="6" width="9.140625" style="44"/>
    <col min="7" max="10" width="9.140625" style="1"/>
    <col min="11" max="11" width="18.7109375" style="1" bestFit="1" customWidth="1"/>
    <col min="12" max="12" width="18.7109375" style="1" customWidth="1"/>
    <col min="13" max="13" width="18.7109375" style="1" bestFit="1" customWidth="1"/>
    <col min="14" max="14" width="18.7109375" style="1" customWidth="1"/>
    <col min="15" max="15" width="18.7109375" style="1" bestFit="1" customWidth="1"/>
    <col min="16" max="16" width="18.7109375" style="1" customWidth="1"/>
    <col min="17" max="19" width="9.140625" style="1"/>
    <col min="20" max="20" width="18.7109375" style="1" bestFit="1" customWidth="1"/>
    <col min="21" max="21" width="18.7109375" style="2" bestFit="1" customWidth="1"/>
    <col min="22" max="22" width="18.7109375" style="1" bestFit="1" customWidth="1"/>
    <col min="23" max="16384" width="9.140625" style="1"/>
  </cols>
  <sheetData>
    <row r="2" spans="2:22" s="49" customFormat="1" x14ac:dyDescent="0.25">
      <c r="B2" s="49" t="s">
        <v>84</v>
      </c>
      <c r="C2" s="50" t="s">
        <v>6</v>
      </c>
      <c r="D2" s="51" t="s">
        <v>7</v>
      </c>
      <c r="E2" s="51" t="s">
        <v>33</v>
      </c>
      <c r="F2" s="52" t="s">
        <v>0</v>
      </c>
      <c r="G2" s="51" t="s">
        <v>8</v>
      </c>
      <c r="H2" s="53" t="s">
        <v>27</v>
      </c>
      <c r="I2" s="53" t="s">
        <v>28</v>
      </c>
      <c r="J2" s="54" t="s">
        <v>29</v>
      </c>
      <c r="K2" s="55" t="s">
        <v>66</v>
      </c>
      <c r="L2" s="55" t="s">
        <v>68</v>
      </c>
      <c r="M2" s="55" t="s">
        <v>65</v>
      </c>
      <c r="N2" s="55" t="s">
        <v>69</v>
      </c>
      <c r="O2" s="55" t="s">
        <v>67</v>
      </c>
      <c r="P2" s="55" t="s">
        <v>70</v>
      </c>
      <c r="Q2" s="56" t="s">
        <v>30</v>
      </c>
      <c r="R2" s="53" t="s">
        <v>31</v>
      </c>
      <c r="S2" s="54" t="s">
        <v>32</v>
      </c>
      <c r="T2" s="55" t="s">
        <v>73</v>
      </c>
      <c r="U2" s="55" t="s">
        <v>72</v>
      </c>
      <c r="V2" s="55" t="s">
        <v>71</v>
      </c>
    </row>
    <row r="3" spans="2:22" x14ac:dyDescent="0.25">
      <c r="B3" s="1" t="s">
        <v>74</v>
      </c>
      <c r="C3" s="40">
        <v>35</v>
      </c>
      <c r="D3" s="41">
        <v>39</v>
      </c>
      <c r="E3" s="41">
        <v>36</v>
      </c>
      <c r="F3" s="42">
        <f>IF(C3="","",AVERAGE(C3:E3))</f>
        <v>36.666666666666664</v>
      </c>
      <c r="G3" s="41">
        <f>MAX(C3:E3)-MIN(C3:E3)</f>
        <v>4</v>
      </c>
      <c r="H3" s="41">
        <f>AVERAGE($F$3:$F$12)+1.023*AVERAGE($G$3:$G$12)</f>
        <v>40.689733333333336</v>
      </c>
      <c r="I3" s="42">
        <f>AVERAGE($F$3:$F$12)</f>
        <v>33.733333333333334</v>
      </c>
      <c r="J3" s="43">
        <f>AVERAGE($F$3:$F$12)-1.023*AVERAGE($G$3:$G$12)</f>
        <v>26.776933333333336</v>
      </c>
      <c r="K3" s="1">
        <f>AVERAGE($F$3:$F$12)+1.237*AVERAGE($G$3:$G$12)</f>
        <v>42.144933333333334</v>
      </c>
      <c r="L3" s="1">
        <f>AVERAGE($F$3:$F$12)-1.237*AVERAGE($G$3:$G$12)</f>
        <v>25.321733333333334</v>
      </c>
      <c r="M3" s="1">
        <f>AVERAGE($F$3:$F$12)+1*AVERAGE($G$3:$G$12)</f>
        <v>40.533333333333331</v>
      </c>
      <c r="N3" s="1">
        <f>AVERAGE($F$3:$F$12)-1*AVERAGE($G$3:$G$12)</f>
        <v>26.933333333333334</v>
      </c>
      <c r="O3" s="1">
        <f>AVERAGE($F$3:$F$12)+0.893*AVERAGE($G$3:$G$12)</f>
        <v>39.805733333333336</v>
      </c>
      <c r="P3" s="1">
        <f>AVERAGE($F$3:$F$12)-0.893*AVERAGE($G$3:$G$12)</f>
        <v>27.660933333333332</v>
      </c>
      <c r="Q3" s="40">
        <f>AVERAGE($G$3:$G$12)*2.574</f>
        <v>17.5032</v>
      </c>
      <c r="R3" s="41">
        <f>AVERAGE($G$3:$G$12)</f>
        <v>6.8</v>
      </c>
      <c r="S3" s="43">
        <f>AVERAGE($G$3:$G$12)*0</f>
        <v>0</v>
      </c>
      <c r="T3" s="1">
        <f>AVERAGE($G$3:$G$12)*2.89</f>
        <v>19.652000000000001</v>
      </c>
      <c r="U3" s="2">
        <f>AVERAGE($G$3:$G$12)*2.519</f>
        <v>17.129200000000001</v>
      </c>
      <c r="V3" s="1">
        <f>AVERAGE($G$3:$G$12)*2.346</f>
        <v>15.9528</v>
      </c>
    </row>
    <row r="4" spans="2:22" x14ac:dyDescent="0.25">
      <c r="B4" s="1" t="s">
        <v>75</v>
      </c>
      <c r="C4" s="40">
        <v>31</v>
      </c>
      <c r="D4" s="41">
        <v>37</v>
      </c>
      <c r="E4" s="41">
        <v>36</v>
      </c>
      <c r="F4" s="42">
        <f t="shared" ref="F4:F12" si="0">IF(C4="","",AVERAGE(C4:E4))</f>
        <v>34.666666666666664</v>
      </c>
      <c r="G4" s="41">
        <f t="shared" ref="G4:G12" si="1">MAX(C4:E4)-MIN(C4:E4)</f>
        <v>6</v>
      </c>
      <c r="H4" s="41">
        <f t="shared" ref="H4:H12" si="2">AVERAGE($F$3:$F$12)+1.023*AVERAGE($G$3:$G$12)</f>
        <v>40.689733333333336</v>
      </c>
      <c r="I4" s="42">
        <f t="shared" ref="I4:I12" si="3">AVERAGE($F$3:$F$12)</f>
        <v>33.733333333333334</v>
      </c>
      <c r="J4" s="43">
        <f t="shared" ref="J4:J12" si="4">AVERAGE($F$3:$F$12)-1.023*AVERAGE($G$3:$G$12)</f>
        <v>26.776933333333336</v>
      </c>
      <c r="K4" s="1">
        <f t="shared" ref="K4:K12" si="5">AVERAGE($F$3:$F$12)+1.237*AVERAGE($G$3:$G$12)</f>
        <v>42.144933333333334</v>
      </c>
      <c r="L4" s="1">
        <f t="shared" ref="L4:L12" si="6">AVERAGE($F$3:$F$12)-1.237*AVERAGE($G$3:$G$12)</f>
        <v>25.321733333333334</v>
      </c>
      <c r="M4" s="1">
        <f t="shared" ref="M4:M12" si="7">AVERAGE($F$3:$F$12)+1*AVERAGE($G$3:$G$12)</f>
        <v>40.533333333333331</v>
      </c>
      <c r="N4" s="1">
        <f t="shared" ref="N4:N12" si="8">AVERAGE($F$3:$F$12)-1*AVERAGE($G$3:$G$12)</f>
        <v>26.933333333333334</v>
      </c>
      <c r="O4" s="1">
        <f t="shared" ref="O4:O12" si="9">AVERAGE($F$3:$F$12)+0.893*AVERAGE($G$3:$G$12)</f>
        <v>39.805733333333336</v>
      </c>
      <c r="P4" s="1">
        <f t="shared" ref="P4:P12" si="10">AVERAGE($F$3:$F$12)-0.893*AVERAGE($G$3:$G$12)</f>
        <v>27.660933333333332</v>
      </c>
      <c r="Q4" s="40">
        <f t="shared" ref="Q4:Q12" si="11">AVERAGE($G$3:$G$12)*2.574</f>
        <v>17.5032</v>
      </c>
      <c r="R4" s="41">
        <f t="shared" ref="R4:R11" si="12">AVERAGE($G$3:$G$12)</f>
        <v>6.8</v>
      </c>
      <c r="S4" s="43">
        <f t="shared" ref="S4:S12" si="13">AVERAGE($G$3:$G$12)*0</f>
        <v>0</v>
      </c>
      <c r="T4" s="1">
        <f t="shared" ref="T4:T11" si="14">AVERAGE($G$3:$G$12)*2.89</f>
        <v>19.652000000000001</v>
      </c>
      <c r="U4" s="2">
        <f t="shared" ref="U4:U12" si="15">AVERAGE($G$3:$G$12)*2.519</f>
        <v>17.129200000000001</v>
      </c>
      <c r="V4" s="1">
        <f t="shared" ref="V4:V12" si="16">AVERAGE($G$3:$G$12)*2.346</f>
        <v>15.9528</v>
      </c>
    </row>
    <row r="5" spans="2:22" x14ac:dyDescent="0.25">
      <c r="B5" s="1" t="s">
        <v>76</v>
      </c>
      <c r="C5" s="40">
        <v>30</v>
      </c>
      <c r="D5" s="41">
        <v>31</v>
      </c>
      <c r="E5" s="41">
        <v>33</v>
      </c>
      <c r="F5" s="42">
        <f t="shared" si="0"/>
        <v>31.333333333333332</v>
      </c>
      <c r="G5" s="41">
        <f t="shared" si="1"/>
        <v>3</v>
      </c>
      <c r="H5" s="41">
        <f t="shared" si="2"/>
        <v>40.689733333333336</v>
      </c>
      <c r="I5" s="42">
        <f t="shared" si="3"/>
        <v>33.733333333333334</v>
      </c>
      <c r="J5" s="43">
        <f t="shared" si="4"/>
        <v>26.776933333333336</v>
      </c>
      <c r="K5" s="1">
        <f t="shared" si="5"/>
        <v>42.144933333333334</v>
      </c>
      <c r="L5" s="1">
        <f t="shared" si="6"/>
        <v>25.321733333333334</v>
      </c>
      <c r="M5" s="1">
        <f t="shared" si="7"/>
        <v>40.533333333333331</v>
      </c>
      <c r="N5" s="1">
        <f t="shared" si="8"/>
        <v>26.933333333333334</v>
      </c>
      <c r="O5" s="1">
        <f t="shared" si="9"/>
        <v>39.805733333333336</v>
      </c>
      <c r="P5" s="1">
        <f t="shared" si="10"/>
        <v>27.660933333333332</v>
      </c>
      <c r="Q5" s="40">
        <f t="shared" si="11"/>
        <v>17.5032</v>
      </c>
      <c r="R5" s="41">
        <f t="shared" si="12"/>
        <v>6.8</v>
      </c>
      <c r="S5" s="43">
        <f t="shared" si="13"/>
        <v>0</v>
      </c>
      <c r="T5" s="1">
        <f t="shared" si="14"/>
        <v>19.652000000000001</v>
      </c>
      <c r="U5" s="2">
        <f t="shared" si="15"/>
        <v>17.129200000000001</v>
      </c>
      <c r="V5" s="1">
        <f t="shared" si="16"/>
        <v>15.9528</v>
      </c>
    </row>
    <row r="6" spans="2:22" x14ac:dyDescent="0.25">
      <c r="B6" s="1" t="s">
        <v>77</v>
      </c>
      <c r="C6" s="40">
        <v>28</v>
      </c>
      <c r="D6" s="39">
        <v>20</v>
      </c>
      <c r="E6" s="39">
        <v>23</v>
      </c>
      <c r="F6" s="42">
        <f t="shared" si="0"/>
        <v>23.666666666666668</v>
      </c>
      <c r="G6" s="41">
        <f t="shared" si="1"/>
        <v>8</v>
      </c>
      <c r="H6" s="41">
        <f t="shared" si="2"/>
        <v>40.689733333333336</v>
      </c>
      <c r="I6" s="42">
        <f t="shared" si="3"/>
        <v>33.733333333333334</v>
      </c>
      <c r="J6" s="43">
        <f t="shared" si="4"/>
        <v>26.776933333333336</v>
      </c>
      <c r="K6" s="1">
        <f t="shared" si="5"/>
        <v>42.144933333333334</v>
      </c>
      <c r="L6" s="1">
        <f t="shared" si="6"/>
        <v>25.321733333333334</v>
      </c>
      <c r="M6" s="1">
        <f t="shared" si="7"/>
        <v>40.533333333333331</v>
      </c>
      <c r="N6" s="1">
        <f t="shared" si="8"/>
        <v>26.933333333333334</v>
      </c>
      <c r="O6" s="1">
        <f t="shared" si="9"/>
        <v>39.805733333333336</v>
      </c>
      <c r="P6" s="1">
        <f t="shared" si="10"/>
        <v>27.660933333333332</v>
      </c>
      <c r="Q6" s="40">
        <f t="shared" si="11"/>
        <v>17.5032</v>
      </c>
      <c r="R6" s="41">
        <f t="shared" si="12"/>
        <v>6.8</v>
      </c>
      <c r="S6" s="43">
        <f t="shared" si="13"/>
        <v>0</v>
      </c>
      <c r="T6" s="1">
        <f t="shared" si="14"/>
        <v>19.652000000000001</v>
      </c>
      <c r="U6" s="2">
        <f t="shared" si="15"/>
        <v>17.129200000000001</v>
      </c>
      <c r="V6" s="1">
        <f t="shared" si="16"/>
        <v>15.9528</v>
      </c>
    </row>
    <row r="7" spans="2:22" x14ac:dyDescent="0.25">
      <c r="B7" s="1" t="s">
        <v>78</v>
      </c>
      <c r="C7" s="40">
        <v>19</v>
      </c>
      <c r="D7" s="39">
        <v>18</v>
      </c>
      <c r="E7" s="39">
        <v>22</v>
      </c>
      <c r="F7" s="42">
        <f t="shared" si="0"/>
        <v>19.666666666666668</v>
      </c>
      <c r="G7" s="41">
        <f t="shared" si="1"/>
        <v>4</v>
      </c>
      <c r="H7" s="41">
        <f t="shared" si="2"/>
        <v>40.689733333333336</v>
      </c>
      <c r="I7" s="42">
        <f t="shared" si="3"/>
        <v>33.733333333333334</v>
      </c>
      <c r="J7" s="43">
        <f t="shared" si="4"/>
        <v>26.776933333333336</v>
      </c>
      <c r="K7" s="1">
        <f t="shared" si="5"/>
        <v>42.144933333333334</v>
      </c>
      <c r="L7" s="1">
        <f t="shared" si="6"/>
        <v>25.321733333333334</v>
      </c>
      <c r="M7" s="1">
        <f t="shared" si="7"/>
        <v>40.533333333333331</v>
      </c>
      <c r="N7" s="1">
        <f t="shared" si="8"/>
        <v>26.933333333333334</v>
      </c>
      <c r="O7" s="1">
        <f t="shared" si="9"/>
        <v>39.805733333333336</v>
      </c>
      <c r="P7" s="1">
        <f t="shared" si="10"/>
        <v>27.660933333333332</v>
      </c>
      <c r="Q7" s="40">
        <f t="shared" si="11"/>
        <v>17.5032</v>
      </c>
      <c r="R7" s="41">
        <f t="shared" si="12"/>
        <v>6.8</v>
      </c>
      <c r="S7" s="43">
        <f t="shared" si="13"/>
        <v>0</v>
      </c>
      <c r="T7" s="1">
        <f t="shared" si="14"/>
        <v>19.652000000000001</v>
      </c>
      <c r="U7" s="2">
        <f t="shared" si="15"/>
        <v>17.129200000000001</v>
      </c>
      <c r="V7" s="1">
        <f t="shared" si="16"/>
        <v>15.9528</v>
      </c>
    </row>
    <row r="8" spans="2:22" x14ac:dyDescent="0.25">
      <c r="B8" s="1" t="s">
        <v>79</v>
      </c>
      <c r="C8" s="40">
        <v>38</v>
      </c>
      <c r="D8" s="39">
        <v>46</v>
      </c>
      <c r="E8" s="39">
        <v>41</v>
      </c>
      <c r="F8" s="42">
        <f t="shared" si="0"/>
        <v>41.666666666666664</v>
      </c>
      <c r="G8" s="41">
        <f t="shared" si="1"/>
        <v>8</v>
      </c>
      <c r="H8" s="41">
        <f t="shared" si="2"/>
        <v>40.689733333333336</v>
      </c>
      <c r="I8" s="42">
        <f t="shared" si="3"/>
        <v>33.733333333333334</v>
      </c>
      <c r="J8" s="43">
        <f t="shared" si="4"/>
        <v>26.776933333333336</v>
      </c>
      <c r="K8" s="1">
        <f t="shared" si="5"/>
        <v>42.144933333333334</v>
      </c>
      <c r="L8" s="1">
        <f t="shared" si="6"/>
        <v>25.321733333333334</v>
      </c>
      <c r="M8" s="1">
        <f t="shared" si="7"/>
        <v>40.533333333333331</v>
      </c>
      <c r="N8" s="1">
        <f t="shared" si="8"/>
        <v>26.933333333333334</v>
      </c>
      <c r="O8" s="1">
        <f t="shared" si="9"/>
        <v>39.805733333333336</v>
      </c>
      <c r="P8" s="1">
        <f t="shared" si="10"/>
        <v>27.660933333333332</v>
      </c>
      <c r="Q8" s="40">
        <f t="shared" si="11"/>
        <v>17.5032</v>
      </c>
      <c r="R8" s="41">
        <f t="shared" si="12"/>
        <v>6.8</v>
      </c>
      <c r="S8" s="43">
        <f t="shared" si="13"/>
        <v>0</v>
      </c>
      <c r="T8" s="1">
        <f t="shared" si="14"/>
        <v>19.652000000000001</v>
      </c>
      <c r="U8" s="2">
        <f t="shared" si="15"/>
        <v>17.129200000000001</v>
      </c>
      <c r="V8" s="1">
        <f t="shared" si="16"/>
        <v>15.9528</v>
      </c>
    </row>
    <row r="9" spans="2:22" x14ac:dyDescent="0.25">
      <c r="B9" s="1" t="s">
        <v>80</v>
      </c>
      <c r="C9" s="40">
        <v>36</v>
      </c>
      <c r="D9" s="39">
        <v>44</v>
      </c>
      <c r="E9" s="39">
        <v>39</v>
      </c>
      <c r="F9" s="42">
        <f t="shared" si="0"/>
        <v>39.666666666666664</v>
      </c>
      <c r="G9" s="41">
        <f t="shared" si="1"/>
        <v>8</v>
      </c>
      <c r="H9" s="41">
        <f t="shared" si="2"/>
        <v>40.689733333333336</v>
      </c>
      <c r="I9" s="42">
        <f t="shared" si="3"/>
        <v>33.733333333333334</v>
      </c>
      <c r="J9" s="43">
        <f t="shared" si="4"/>
        <v>26.776933333333336</v>
      </c>
      <c r="K9" s="1">
        <f t="shared" si="5"/>
        <v>42.144933333333334</v>
      </c>
      <c r="L9" s="1">
        <f t="shared" si="6"/>
        <v>25.321733333333334</v>
      </c>
      <c r="M9" s="1">
        <f t="shared" si="7"/>
        <v>40.533333333333331</v>
      </c>
      <c r="N9" s="1">
        <f t="shared" si="8"/>
        <v>26.933333333333334</v>
      </c>
      <c r="O9" s="1">
        <f t="shared" si="9"/>
        <v>39.805733333333336</v>
      </c>
      <c r="P9" s="1">
        <f t="shared" si="10"/>
        <v>27.660933333333332</v>
      </c>
      <c r="Q9" s="40">
        <f t="shared" si="11"/>
        <v>17.5032</v>
      </c>
      <c r="R9" s="41">
        <f t="shared" si="12"/>
        <v>6.8</v>
      </c>
      <c r="S9" s="43">
        <f t="shared" si="13"/>
        <v>0</v>
      </c>
      <c r="T9" s="1">
        <f t="shared" si="14"/>
        <v>19.652000000000001</v>
      </c>
      <c r="U9" s="2">
        <f t="shared" si="15"/>
        <v>17.129200000000001</v>
      </c>
      <c r="V9" s="1">
        <f t="shared" si="16"/>
        <v>15.9528</v>
      </c>
    </row>
    <row r="10" spans="2:22" x14ac:dyDescent="0.25">
      <c r="B10" s="1" t="s">
        <v>81</v>
      </c>
      <c r="C10" s="40">
        <v>39</v>
      </c>
      <c r="D10" s="39">
        <v>32</v>
      </c>
      <c r="E10" s="39">
        <v>38</v>
      </c>
      <c r="F10" s="42">
        <f t="shared" si="0"/>
        <v>36.333333333333336</v>
      </c>
      <c r="G10" s="41">
        <f t="shared" si="1"/>
        <v>7</v>
      </c>
      <c r="H10" s="41">
        <f t="shared" si="2"/>
        <v>40.689733333333336</v>
      </c>
      <c r="I10" s="42">
        <f t="shared" si="3"/>
        <v>33.733333333333334</v>
      </c>
      <c r="J10" s="43">
        <f t="shared" si="4"/>
        <v>26.776933333333336</v>
      </c>
      <c r="K10" s="1">
        <f t="shared" si="5"/>
        <v>42.144933333333334</v>
      </c>
      <c r="L10" s="1">
        <f t="shared" si="6"/>
        <v>25.321733333333334</v>
      </c>
      <c r="M10" s="1">
        <f t="shared" si="7"/>
        <v>40.533333333333331</v>
      </c>
      <c r="N10" s="1">
        <f t="shared" si="8"/>
        <v>26.933333333333334</v>
      </c>
      <c r="O10" s="1">
        <f t="shared" si="9"/>
        <v>39.805733333333336</v>
      </c>
      <c r="P10" s="1">
        <f t="shared" si="10"/>
        <v>27.660933333333332</v>
      </c>
      <c r="Q10" s="40">
        <f t="shared" si="11"/>
        <v>17.5032</v>
      </c>
      <c r="R10" s="41">
        <f t="shared" si="12"/>
        <v>6.8</v>
      </c>
      <c r="S10" s="43">
        <f t="shared" si="13"/>
        <v>0</v>
      </c>
      <c r="T10" s="1">
        <f t="shared" si="14"/>
        <v>19.652000000000001</v>
      </c>
      <c r="U10" s="2">
        <f t="shared" si="15"/>
        <v>17.129200000000001</v>
      </c>
      <c r="V10" s="1">
        <f t="shared" si="16"/>
        <v>15.9528</v>
      </c>
    </row>
    <row r="11" spans="2:22" x14ac:dyDescent="0.25">
      <c r="B11" s="1" t="s">
        <v>82</v>
      </c>
      <c r="C11" s="40">
        <v>35</v>
      </c>
      <c r="D11" s="39">
        <v>47</v>
      </c>
      <c r="E11" s="39">
        <v>40</v>
      </c>
      <c r="F11" s="42">
        <f t="shared" si="0"/>
        <v>40.666666666666664</v>
      </c>
      <c r="G11" s="41">
        <f t="shared" si="1"/>
        <v>12</v>
      </c>
      <c r="H11" s="41">
        <f t="shared" si="2"/>
        <v>40.689733333333336</v>
      </c>
      <c r="I11" s="42">
        <f t="shared" si="3"/>
        <v>33.733333333333334</v>
      </c>
      <c r="J11" s="43">
        <f t="shared" si="4"/>
        <v>26.776933333333336</v>
      </c>
      <c r="K11" s="1">
        <f t="shared" si="5"/>
        <v>42.144933333333334</v>
      </c>
      <c r="L11" s="1">
        <f t="shared" si="6"/>
        <v>25.321733333333334</v>
      </c>
      <c r="M11" s="1">
        <f t="shared" si="7"/>
        <v>40.533333333333331</v>
      </c>
      <c r="N11" s="1">
        <f t="shared" si="8"/>
        <v>26.933333333333334</v>
      </c>
      <c r="O11" s="1">
        <f t="shared" si="9"/>
        <v>39.805733333333336</v>
      </c>
      <c r="P11" s="1">
        <f t="shared" si="10"/>
        <v>27.660933333333332</v>
      </c>
      <c r="Q11" s="40">
        <f t="shared" si="11"/>
        <v>17.5032</v>
      </c>
      <c r="R11" s="41">
        <f t="shared" si="12"/>
        <v>6.8</v>
      </c>
      <c r="S11" s="43">
        <f t="shared" si="13"/>
        <v>0</v>
      </c>
      <c r="T11" s="1">
        <f t="shared" si="14"/>
        <v>19.652000000000001</v>
      </c>
      <c r="U11" s="2">
        <f t="shared" si="15"/>
        <v>17.129200000000001</v>
      </c>
      <c r="V11" s="1">
        <f t="shared" si="16"/>
        <v>15.9528</v>
      </c>
    </row>
    <row r="12" spans="2:22" x14ac:dyDescent="0.25">
      <c r="B12" s="1" t="s">
        <v>83</v>
      </c>
      <c r="C12" s="45">
        <v>30</v>
      </c>
      <c r="D12" s="46">
        <v>38</v>
      </c>
      <c r="E12" s="46">
        <v>31</v>
      </c>
      <c r="F12" s="47">
        <f t="shared" si="0"/>
        <v>33</v>
      </c>
      <c r="G12" s="46">
        <f t="shared" si="1"/>
        <v>8</v>
      </c>
      <c r="H12" s="46">
        <f t="shared" si="2"/>
        <v>40.689733333333336</v>
      </c>
      <c r="I12" s="47">
        <f t="shared" si="3"/>
        <v>33.733333333333334</v>
      </c>
      <c r="J12" s="48">
        <f t="shared" si="4"/>
        <v>26.776933333333336</v>
      </c>
      <c r="K12" s="1">
        <f t="shared" si="5"/>
        <v>42.144933333333334</v>
      </c>
      <c r="L12" s="1">
        <f t="shared" si="6"/>
        <v>25.321733333333334</v>
      </c>
      <c r="M12" s="1">
        <f t="shared" si="7"/>
        <v>40.533333333333331</v>
      </c>
      <c r="N12" s="1">
        <f t="shared" si="8"/>
        <v>26.933333333333334</v>
      </c>
      <c r="O12" s="1">
        <f t="shared" si="9"/>
        <v>39.805733333333336</v>
      </c>
      <c r="P12" s="1">
        <f t="shared" si="10"/>
        <v>27.660933333333332</v>
      </c>
      <c r="Q12" s="45">
        <f t="shared" si="11"/>
        <v>17.5032</v>
      </c>
      <c r="R12" s="46">
        <f>AVERAGE($G$3:$G$12)</f>
        <v>6.8</v>
      </c>
      <c r="S12" s="48">
        <f t="shared" si="13"/>
        <v>0</v>
      </c>
      <c r="T12" s="1">
        <f>AVERAGE($G$3:$G$12)*2.89</f>
        <v>19.652000000000001</v>
      </c>
      <c r="U12" s="2">
        <f t="shared" si="15"/>
        <v>17.129200000000001</v>
      </c>
      <c r="V12" s="1">
        <f t="shared" si="16"/>
        <v>15.9528</v>
      </c>
    </row>
    <row r="13" spans="2:22" x14ac:dyDescent="0.25">
      <c r="V13" s="1">
        <f>AVERAGE($G$3:$G$12)*2.346</f>
        <v>15.9528</v>
      </c>
    </row>
  </sheetData>
  <phoneticPr fontId="5" type="noConversion"/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99E2-0132-4243-AB6C-44B8A9983F23}">
  <sheetPr>
    <pageSetUpPr fitToPage="1"/>
  </sheetPr>
  <dimension ref="B7:T24"/>
  <sheetViews>
    <sheetView showGridLines="0" topLeftCell="A10" zoomScaleNormal="100" workbookViewId="0">
      <selection activeCell="T29" sqref="T29"/>
    </sheetView>
  </sheetViews>
  <sheetFormatPr defaultRowHeight="15" x14ac:dyDescent="0.25"/>
  <cols>
    <col min="1" max="1" width="2.140625" style="1" customWidth="1"/>
    <col min="2" max="2" width="16" style="1" customWidth="1"/>
    <col min="3" max="3" width="3.140625" style="1" customWidth="1"/>
    <col min="4" max="4" width="3.5703125" style="1" customWidth="1"/>
    <col min="5" max="5" width="3.7109375" style="1" customWidth="1"/>
    <col min="6" max="6" width="6.42578125" style="44" customWidth="1"/>
    <col min="7" max="7" width="6.42578125" style="1" customWidth="1"/>
    <col min="8" max="8" width="1.5703125" style="2" customWidth="1"/>
    <col min="9" max="11" width="9.140625" style="1"/>
    <col min="12" max="12" width="1.28515625" style="1" customWidth="1"/>
    <col min="13" max="13" width="18.7109375" style="1" bestFit="1" customWidth="1"/>
    <col min="14" max="14" width="18.7109375" style="1" customWidth="1"/>
    <col min="15" max="15" width="1.28515625" style="1" customWidth="1"/>
    <col min="16" max="18" width="9.140625" style="1"/>
    <col min="19" max="19" width="1.42578125" style="1" customWidth="1"/>
    <col min="20" max="20" width="18.7109375" style="2" bestFit="1" customWidth="1"/>
    <col min="21" max="16384" width="9.140625" style="1"/>
  </cols>
  <sheetData>
    <row r="7" spans="2:20" s="57" customFormat="1" ht="12.75" x14ac:dyDescent="0.2">
      <c r="F7" s="58"/>
      <c r="H7" s="59"/>
      <c r="T7" s="59"/>
    </row>
    <row r="8" spans="2:20" s="57" customFormat="1" ht="12.75" x14ac:dyDescent="0.2">
      <c r="F8" s="58"/>
      <c r="H8" s="59"/>
      <c r="T8" s="59"/>
    </row>
    <row r="9" spans="2:20" s="57" customFormat="1" ht="12.75" x14ac:dyDescent="0.2">
      <c r="F9" s="58"/>
      <c r="H9" s="59"/>
      <c r="T9" s="59"/>
    </row>
    <row r="10" spans="2:20" s="57" customFormat="1" ht="12.75" x14ac:dyDescent="0.2">
      <c r="F10" s="58"/>
      <c r="H10" s="59"/>
      <c r="T10" s="59"/>
    </row>
    <row r="11" spans="2:20" s="57" customFormat="1" ht="12.75" x14ac:dyDescent="0.2">
      <c r="F11" s="58"/>
      <c r="H11" s="59"/>
      <c r="T11" s="59"/>
    </row>
    <row r="12" spans="2:20" s="57" customFormat="1" ht="12.75" x14ac:dyDescent="0.2">
      <c r="F12" s="58"/>
      <c r="H12" s="59"/>
      <c r="T12" s="59"/>
    </row>
    <row r="13" spans="2:20" s="57" customFormat="1" ht="12.75" x14ac:dyDescent="0.2">
      <c r="F13" s="58"/>
      <c r="H13" s="59"/>
      <c r="T13" s="59"/>
    </row>
    <row r="14" spans="2:20" s="70" customFormat="1" ht="12.75" x14ac:dyDescent="0.2">
      <c r="B14" s="60" t="s">
        <v>84</v>
      </c>
      <c r="C14" s="60" t="s">
        <v>6</v>
      </c>
      <c r="D14" s="60" t="s">
        <v>7</v>
      </c>
      <c r="E14" s="60" t="s">
        <v>33</v>
      </c>
      <c r="F14" s="61" t="s">
        <v>0</v>
      </c>
      <c r="G14" s="60" t="s">
        <v>8</v>
      </c>
      <c r="H14" s="62"/>
      <c r="I14" s="63" t="s">
        <v>27</v>
      </c>
      <c r="J14" s="64" t="s">
        <v>28</v>
      </c>
      <c r="K14" s="65" t="s">
        <v>29</v>
      </c>
      <c r="L14" s="62"/>
      <c r="M14" s="63" t="s">
        <v>67</v>
      </c>
      <c r="N14" s="65" t="s">
        <v>70</v>
      </c>
      <c r="O14" s="62"/>
      <c r="P14" s="66" t="s">
        <v>30</v>
      </c>
      <c r="Q14" s="67" t="s">
        <v>31</v>
      </c>
      <c r="R14" s="68" t="s">
        <v>32</v>
      </c>
      <c r="S14" s="62"/>
      <c r="T14" s="69" t="s">
        <v>72</v>
      </c>
    </row>
    <row r="15" spans="2:20" s="57" customFormat="1" ht="12.75" x14ac:dyDescent="0.2">
      <c r="B15" s="71" t="s">
        <v>74</v>
      </c>
      <c r="C15" s="71">
        <v>35</v>
      </c>
      <c r="D15" s="71">
        <v>39</v>
      </c>
      <c r="E15" s="71">
        <v>36</v>
      </c>
      <c r="F15" s="72">
        <f>IF(C15="","",AVERAGE(C15:E15))</f>
        <v>36.666666666666664</v>
      </c>
      <c r="G15" s="71">
        <f>MAX(C15:E15)-MIN(C15:E15)</f>
        <v>4</v>
      </c>
      <c r="H15" s="73"/>
      <c r="I15" s="74">
        <f>AVERAGE($F$15:$F$24)+1.023*AVERAGE($G$15:$G$24)</f>
        <v>40.689733333333336</v>
      </c>
      <c r="J15" s="75">
        <f>AVERAGE($F$15:$F$24)</f>
        <v>33.733333333333334</v>
      </c>
      <c r="K15" s="76">
        <f>AVERAGE($F$15:$F$24)-1.023*AVERAGE($G$15:$G$24)</f>
        <v>26.776933333333336</v>
      </c>
      <c r="L15" s="77"/>
      <c r="M15" s="74">
        <f>AVERAGE($F$15:$F$24)+0.893*AVERAGE($G$15:$G$24)</f>
        <v>39.805733333333336</v>
      </c>
      <c r="N15" s="76">
        <f>AVERAGE($F$15:$F$24)-0.893*AVERAGE($G$15:$G$24)</f>
        <v>27.660933333333332</v>
      </c>
      <c r="O15" s="77"/>
      <c r="P15" s="78">
        <f>AVERAGE($G$15:$G$24)*2.574</f>
        <v>17.5032</v>
      </c>
      <c r="Q15" s="77">
        <f>AVERAGE($G$15:$G$24)</f>
        <v>6.8</v>
      </c>
      <c r="R15" s="79">
        <f>AVERAGE($G$15:$G$24)*0</f>
        <v>0</v>
      </c>
      <c r="S15" s="77"/>
      <c r="T15" s="80">
        <f>AVERAGE($G$15:$G$24)*2.519</f>
        <v>17.129200000000001</v>
      </c>
    </row>
    <row r="16" spans="2:20" s="57" customFormat="1" ht="12.75" x14ac:dyDescent="0.2">
      <c r="B16" s="71" t="s">
        <v>75</v>
      </c>
      <c r="C16" s="71">
        <v>31</v>
      </c>
      <c r="D16" s="71">
        <v>37</v>
      </c>
      <c r="E16" s="71">
        <v>36</v>
      </c>
      <c r="F16" s="72">
        <f t="shared" ref="F16:F24" si="0">IF(C16="","",AVERAGE(C16:E16))</f>
        <v>34.666666666666664</v>
      </c>
      <c r="G16" s="71">
        <f t="shared" ref="G16:G24" si="1">MAX(C16:E16)-MIN(C16:E16)</f>
        <v>6</v>
      </c>
      <c r="H16" s="73"/>
      <c r="I16" s="74">
        <f t="shared" ref="I16:I24" si="2">AVERAGE($F$15:$F$24)+1.023*AVERAGE($G$15:$G$24)</f>
        <v>40.689733333333336</v>
      </c>
      <c r="J16" s="75">
        <f t="shared" ref="J16:J24" si="3">AVERAGE($F$15:$F$24)</f>
        <v>33.733333333333334</v>
      </c>
      <c r="K16" s="76">
        <f t="shared" ref="K16:K24" si="4">AVERAGE($F$15:$F$24)-1.023*AVERAGE($G$15:$G$24)</f>
        <v>26.776933333333336</v>
      </c>
      <c r="L16" s="77"/>
      <c r="M16" s="74">
        <f t="shared" ref="M16:M24" si="5">AVERAGE($F$15:$F$24)+0.893*AVERAGE($G$15:$G$24)</f>
        <v>39.805733333333336</v>
      </c>
      <c r="N16" s="76">
        <f t="shared" ref="N16:N24" si="6">AVERAGE($F$15:$F$24)-0.893*AVERAGE($G$15:$G$24)</f>
        <v>27.660933333333332</v>
      </c>
      <c r="O16" s="77"/>
      <c r="P16" s="78">
        <f t="shared" ref="P16:P24" si="7">AVERAGE($G$15:$G$24)*2.574</f>
        <v>17.5032</v>
      </c>
      <c r="Q16" s="77">
        <f t="shared" ref="Q16:Q23" si="8">AVERAGE($G$15:$G$24)</f>
        <v>6.8</v>
      </c>
      <c r="R16" s="79">
        <f t="shared" ref="R16:R24" si="9">AVERAGE($G$15:$G$24)*0</f>
        <v>0</v>
      </c>
      <c r="S16" s="77"/>
      <c r="T16" s="80">
        <f t="shared" ref="T16:T24" si="10">AVERAGE($G$15:$G$24)*2.519</f>
        <v>17.129200000000001</v>
      </c>
    </row>
    <row r="17" spans="2:20" s="57" customFormat="1" ht="12.75" x14ac:dyDescent="0.2">
      <c r="B17" s="71" t="s">
        <v>76</v>
      </c>
      <c r="C17" s="71">
        <v>30</v>
      </c>
      <c r="D17" s="71">
        <v>31</v>
      </c>
      <c r="E17" s="71">
        <v>33</v>
      </c>
      <c r="F17" s="72">
        <f t="shared" si="0"/>
        <v>31.333333333333332</v>
      </c>
      <c r="G17" s="71">
        <f t="shared" si="1"/>
        <v>3</v>
      </c>
      <c r="H17" s="73"/>
      <c r="I17" s="74">
        <f t="shared" si="2"/>
        <v>40.689733333333336</v>
      </c>
      <c r="J17" s="75">
        <f t="shared" si="3"/>
        <v>33.733333333333334</v>
      </c>
      <c r="K17" s="76">
        <f t="shared" si="4"/>
        <v>26.776933333333336</v>
      </c>
      <c r="L17" s="77"/>
      <c r="M17" s="74">
        <f t="shared" si="5"/>
        <v>39.805733333333336</v>
      </c>
      <c r="N17" s="76">
        <f t="shared" si="6"/>
        <v>27.660933333333332</v>
      </c>
      <c r="O17" s="77"/>
      <c r="P17" s="78">
        <f t="shared" si="7"/>
        <v>17.5032</v>
      </c>
      <c r="Q17" s="77">
        <f t="shared" si="8"/>
        <v>6.8</v>
      </c>
      <c r="R17" s="79">
        <f t="shared" si="9"/>
        <v>0</v>
      </c>
      <c r="S17" s="77"/>
      <c r="T17" s="80">
        <f t="shared" si="10"/>
        <v>17.129200000000001</v>
      </c>
    </row>
    <row r="18" spans="2:20" s="57" customFormat="1" ht="12.75" x14ac:dyDescent="0.2">
      <c r="B18" s="71" t="s">
        <v>77</v>
      </c>
      <c r="C18" s="71">
        <v>28</v>
      </c>
      <c r="D18" s="71">
        <v>20</v>
      </c>
      <c r="E18" s="71">
        <v>23</v>
      </c>
      <c r="F18" s="72">
        <f t="shared" si="0"/>
        <v>23.666666666666668</v>
      </c>
      <c r="G18" s="71">
        <f t="shared" si="1"/>
        <v>8</v>
      </c>
      <c r="H18" s="73"/>
      <c r="I18" s="74">
        <f t="shared" si="2"/>
        <v>40.689733333333336</v>
      </c>
      <c r="J18" s="75">
        <f t="shared" si="3"/>
        <v>33.733333333333334</v>
      </c>
      <c r="K18" s="76">
        <f t="shared" si="4"/>
        <v>26.776933333333336</v>
      </c>
      <c r="L18" s="77"/>
      <c r="M18" s="74">
        <f t="shared" si="5"/>
        <v>39.805733333333336</v>
      </c>
      <c r="N18" s="76">
        <f t="shared" si="6"/>
        <v>27.660933333333332</v>
      </c>
      <c r="O18" s="77"/>
      <c r="P18" s="78">
        <f t="shared" si="7"/>
        <v>17.5032</v>
      </c>
      <c r="Q18" s="77">
        <f t="shared" si="8"/>
        <v>6.8</v>
      </c>
      <c r="R18" s="79">
        <f t="shared" si="9"/>
        <v>0</v>
      </c>
      <c r="S18" s="77"/>
      <c r="T18" s="80">
        <f t="shared" si="10"/>
        <v>17.129200000000001</v>
      </c>
    </row>
    <row r="19" spans="2:20" s="57" customFormat="1" ht="12.75" x14ac:dyDescent="0.2">
      <c r="B19" s="71" t="s">
        <v>78</v>
      </c>
      <c r="C19" s="71">
        <v>19</v>
      </c>
      <c r="D19" s="71">
        <v>18</v>
      </c>
      <c r="E19" s="71">
        <v>22</v>
      </c>
      <c r="F19" s="72">
        <f t="shared" si="0"/>
        <v>19.666666666666668</v>
      </c>
      <c r="G19" s="71">
        <f t="shared" si="1"/>
        <v>4</v>
      </c>
      <c r="H19" s="73"/>
      <c r="I19" s="74">
        <f t="shared" si="2"/>
        <v>40.689733333333336</v>
      </c>
      <c r="J19" s="75">
        <f t="shared" si="3"/>
        <v>33.733333333333334</v>
      </c>
      <c r="K19" s="76">
        <f t="shared" si="4"/>
        <v>26.776933333333336</v>
      </c>
      <c r="L19" s="77"/>
      <c r="M19" s="74">
        <f t="shared" si="5"/>
        <v>39.805733333333336</v>
      </c>
      <c r="N19" s="76">
        <f t="shared" si="6"/>
        <v>27.660933333333332</v>
      </c>
      <c r="O19" s="77"/>
      <c r="P19" s="78">
        <f t="shared" si="7"/>
        <v>17.5032</v>
      </c>
      <c r="Q19" s="77">
        <f t="shared" si="8"/>
        <v>6.8</v>
      </c>
      <c r="R19" s="79">
        <f t="shared" si="9"/>
        <v>0</v>
      </c>
      <c r="S19" s="77"/>
      <c r="T19" s="80">
        <f t="shared" si="10"/>
        <v>17.129200000000001</v>
      </c>
    </row>
    <row r="20" spans="2:20" s="57" customFormat="1" ht="12.75" x14ac:dyDescent="0.2">
      <c r="B20" s="71" t="s">
        <v>79</v>
      </c>
      <c r="C20" s="71">
        <v>38</v>
      </c>
      <c r="D20" s="71">
        <v>46</v>
      </c>
      <c r="E20" s="71">
        <v>41</v>
      </c>
      <c r="F20" s="72">
        <f t="shared" si="0"/>
        <v>41.666666666666664</v>
      </c>
      <c r="G20" s="71">
        <f t="shared" si="1"/>
        <v>8</v>
      </c>
      <c r="H20" s="73"/>
      <c r="I20" s="74">
        <f t="shared" si="2"/>
        <v>40.689733333333336</v>
      </c>
      <c r="J20" s="75">
        <f t="shared" si="3"/>
        <v>33.733333333333334</v>
      </c>
      <c r="K20" s="76">
        <f t="shared" si="4"/>
        <v>26.776933333333336</v>
      </c>
      <c r="L20" s="77"/>
      <c r="M20" s="74">
        <f t="shared" si="5"/>
        <v>39.805733333333336</v>
      </c>
      <c r="N20" s="76">
        <f t="shared" si="6"/>
        <v>27.660933333333332</v>
      </c>
      <c r="O20" s="77"/>
      <c r="P20" s="78">
        <f t="shared" si="7"/>
        <v>17.5032</v>
      </c>
      <c r="Q20" s="77">
        <f t="shared" si="8"/>
        <v>6.8</v>
      </c>
      <c r="R20" s="79">
        <f t="shared" si="9"/>
        <v>0</v>
      </c>
      <c r="S20" s="77"/>
      <c r="T20" s="80">
        <f t="shared" si="10"/>
        <v>17.129200000000001</v>
      </c>
    </row>
    <row r="21" spans="2:20" s="57" customFormat="1" ht="12.75" x14ac:dyDescent="0.2">
      <c r="B21" s="71" t="s">
        <v>80</v>
      </c>
      <c r="C21" s="71">
        <v>36</v>
      </c>
      <c r="D21" s="71">
        <v>44</v>
      </c>
      <c r="E21" s="71">
        <v>39</v>
      </c>
      <c r="F21" s="72">
        <f t="shared" si="0"/>
        <v>39.666666666666664</v>
      </c>
      <c r="G21" s="71">
        <f t="shared" si="1"/>
        <v>8</v>
      </c>
      <c r="H21" s="73"/>
      <c r="I21" s="74">
        <f t="shared" si="2"/>
        <v>40.689733333333336</v>
      </c>
      <c r="J21" s="75">
        <f t="shared" si="3"/>
        <v>33.733333333333334</v>
      </c>
      <c r="K21" s="76">
        <f t="shared" si="4"/>
        <v>26.776933333333336</v>
      </c>
      <c r="L21" s="77"/>
      <c r="M21" s="74">
        <f t="shared" si="5"/>
        <v>39.805733333333336</v>
      </c>
      <c r="N21" s="76">
        <f t="shared" si="6"/>
        <v>27.660933333333332</v>
      </c>
      <c r="O21" s="77"/>
      <c r="P21" s="78">
        <f t="shared" si="7"/>
        <v>17.5032</v>
      </c>
      <c r="Q21" s="77">
        <f t="shared" si="8"/>
        <v>6.8</v>
      </c>
      <c r="R21" s="79">
        <f t="shared" si="9"/>
        <v>0</v>
      </c>
      <c r="S21" s="77"/>
      <c r="T21" s="80">
        <f t="shared" si="10"/>
        <v>17.129200000000001</v>
      </c>
    </row>
    <row r="22" spans="2:20" s="57" customFormat="1" ht="12.75" x14ac:dyDescent="0.2">
      <c r="B22" s="71" t="s">
        <v>81</v>
      </c>
      <c r="C22" s="71">
        <v>39</v>
      </c>
      <c r="D22" s="71">
        <v>32</v>
      </c>
      <c r="E22" s="71">
        <v>38</v>
      </c>
      <c r="F22" s="72">
        <f t="shared" si="0"/>
        <v>36.333333333333336</v>
      </c>
      <c r="G22" s="71">
        <f t="shared" si="1"/>
        <v>7</v>
      </c>
      <c r="H22" s="73"/>
      <c r="I22" s="74">
        <f t="shared" si="2"/>
        <v>40.689733333333336</v>
      </c>
      <c r="J22" s="75">
        <f t="shared" si="3"/>
        <v>33.733333333333334</v>
      </c>
      <c r="K22" s="76">
        <f t="shared" si="4"/>
        <v>26.776933333333336</v>
      </c>
      <c r="L22" s="77"/>
      <c r="M22" s="74">
        <f t="shared" si="5"/>
        <v>39.805733333333336</v>
      </c>
      <c r="N22" s="76">
        <f t="shared" si="6"/>
        <v>27.660933333333332</v>
      </c>
      <c r="O22" s="77"/>
      <c r="P22" s="78">
        <f t="shared" si="7"/>
        <v>17.5032</v>
      </c>
      <c r="Q22" s="77">
        <f t="shared" si="8"/>
        <v>6.8</v>
      </c>
      <c r="R22" s="79">
        <f t="shared" si="9"/>
        <v>0</v>
      </c>
      <c r="S22" s="77"/>
      <c r="T22" s="80">
        <f t="shared" si="10"/>
        <v>17.129200000000001</v>
      </c>
    </row>
    <row r="23" spans="2:20" s="57" customFormat="1" ht="12.75" x14ac:dyDescent="0.2">
      <c r="B23" s="71" t="s">
        <v>82</v>
      </c>
      <c r="C23" s="71">
        <v>35</v>
      </c>
      <c r="D23" s="71">
        <v>47</v>
      </c>
      <c r="E23" s="71">
        <v>40</v>
      </c>
      <c r="F23" s="72">
        <f t="shared" si="0"/>
        <v>40.666666666666664</v>
      </c>
      <c r="G23" s="71">
        <f t="shared" si="1"/>
        <v>12</v>
      </c>
      <c r="H23" s="73"/>
      <c r="I23" s="74">
        <f t="shared" si="2"/>
        <v>40.689733333333336</v>
      </c>
      <c r="J23" s="75">
        <f t="shared" si="3"/>
        <v>33.733333333333334</v>
      </c>
      <c r="K23" s="76">
        <f t="shared" si="4"/>
        <v>26.776933333333336</v>
      </c>
      <c r="L23" s="77"/>
      <c r="M23" s="74">
        <f t="shared" si="5"/>
        <v>39.805733333333336</v>
      </c>
      <c r="N23" s="76">
        <f t="shared" si="6"/>
        <v>27.660933333333332</v>
      </c>
      <c r="O23" s="77"/>
      <c r="P23" s="78">
        <f t="shared" si="7"/>
        <v>17.5032</v>
      </c>
      <c r="Q23" s="77">
        <f t="shared" si="8"/>
        <v>6.8</v>
      </c>
      <c r="R23" s="79">
        <f t="shared" si="9"/>
        <v>0</v>
      </c>
      <c r="S23" s="77"/>
      <c r="T23" s="80">
        <f t="shared" si="10"/>
        <v>17.129200000000001</v>
      </c>
    </row>
    <row r="24" spans="2:20" s="57" customFormat="1" ht="12.75" x14ac:dyDescent="0.2">
      <c r="B24" s="71" t="s">
        <v>83</v>
      </c>
      <c r="C24" s="71">
        <v>30</v>
      </c>
      <c r="D24" s="71">
        <v>38</v>
      </c>
      <c r="E24" s="71">
        <v>31</v>
      </c>
      <c r="F24" s="72">
        <f t="shared" si="0"/>
        <v>33</v>
      </c>
      <c r="G24" s="71">
        <f t="shared" si="1"/>
        <v>8</v>
      </c>
      <c r="H24" s="73"/>
      <c r="I24" s="81">
        <f t="shared" si="2"/>
        <v>40.689733333333336</v>
      </c>
      <c r="J24" s="82">
        <f t="shared" si="3"/>
        <v>33.733333333333334</v>
      </c>
      <c r="K24" s="83">
        <f t="shared" si="4"/>
        <v>26.776933333333336</v>
      </c>
      <c r="L24" s="77"/>
      <c r="M24" s="81">
        <f t="shared" si="5"/>
        <v>39.805733333333336</v>
      </c>
      <c r="N24" s="83">
        <f t="shared" si="6"/>
        <v>27.660933333333332</v>
      </c>
      <c r="O24" s="77"/>
      <c r="P24" s="84">
        <f t="shared" si="7"/>
        <v>17.5032</v>
      </c>
      <c r="Q24" s="85">
        <f>AVERAGE($G$15:$G$24)</f>
        <v>6.8</v>
      </c>
      <c r="R24" s="86">
        <f t="shared" si="9"/>
        <v>0</v>
      </c>
      <c r="S24" s="77"/>
      <c r="T24" s="87">
        <f t="shared" si="10"/>
        <v>17.129200000000001</v>
      </c>
    </row>
  </sheetData>
  <pageMargins left="0.25" right="0.25" top="0.75" bottom="0.75" header="0.3" footer="0.3"/>
  <pageSetup scale="84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XmR cumulative</vt:lpstr>
      <vt:lpstr>X-bar R cumulative</vt:lpstr>
      <vt:lpstr>lock limits feature</vt:lpstr>
      <vt:lpstr>ANOM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2022-07-04T16:22:22Z</cp:lastPrinted>
  <dcterms:created xsi:type="dcterms:W3CDTF">2022-04-13T20:54:54Z</dcterms:created>
  <dcterms:modified xsi:type="dcterms:W3CDTF">2022-07-24T21:26:21Z</dcterms:modified>
</cp:coreProperties>
</file>