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SC\Desktop\Optimization\"/>
    </mc:Choice>
  </mc:AlternateContent>
  <xr:revisionPtr revIDLastSave="0" documentId="8_{5DF43CAE-A7FF-4235-A3FD-C43A5BB85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and" sheetId="1" r:id="rId1"/>
    <sheet name="LP Model" sheetId="2" r:id="rId2"/>
    <sheet name="Solver" sheetId="3" r:id="rId3"/>
    <sheet name="Sheet3_STS" sheetId="5" state="veryHidden" r:id="rId4"/>
    <sheet name="Analysis" sheetId="6" r:id="rId5"/>
  </sheets>
  <definedNames>
    <definedName name="ChartData" localSheetId="4">Analysis!$N$5:$N$50</definedName>
    <definedName name="InputValues" localSheetId="4">Analysis!$A$5:$A$50</definedName>
    <definedName name="OutputAddresses" localSheetId="4">Analysis!$B$4:$L$4</definedName>
    <definedName name="OutputValues" localSheetId="4">Analysis!$B$5:$L$50</definedName>
    <definedName name="solver_adj" localSheetId="2" hidden="1">Solver!$B$11:$B$15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Solver!$B$34:$B$38</definedName>
    <definedName name="solver_lhs2" localSheetId="2" hidden="1">Solver!$B$39:$B$40</definedName>
    <definedName name="solver_lhs3" localSheetId="2" hidden="1">Solver!$B$41:$B$45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1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Solver!$B$29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1</definedName>
    <definedName name="solver_rel3" localSheetId="2" hidden="1">1</definedName>
    <definedName name="solver_rhs1" localSheetId="2" hidden="1">Solver!$D$34:$D$38</definedName>
    <definedName name="solver_rhs2" localSheetId="2" hidden="1">Solver!$D$39:$D$40</definedName>
    <definedName name="solver_rhs3" localSheetId="2" hidden="1">Solver!$D$41:$D$45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23" i="3" s="1"/>
  <c r="N1" i="6" l="1"/>
  <c r="M4" i="6"/>
  <c r="N50" i="6" s="1"/>
  <c r="N15" i="6" l="1"/>
  <c r="N27" i="6"/>
  <c r="N39" i="6"/>
  <c r="N16" i="6"/>
  <c r="N40" i="6"/>
  <c r="N17" i="6"/>
  <c r="N41" i="6"/>
  <c r="N18" i="6"/>
  <c r="N42" i="6"/>
  <c r="N19" i="6"/>
  <c r="N43" i="6"/>
  <c r="N10" i="6"/>
  <c r="N28" i="6"/>
  <c r="N5" i="6"/>
  <c r="N29" i="6"/>
  <c r="N6" i="6"/>
  <c r="N30" i="6"/>
  <c r="N7" i="6"/>
  <c r="N31" i="6"/>
  <c r="N8" i="6"/>
  <c r="N20" i="6"/>
  <c r="N32" i="6"/>
  <c r="N44" i="6"/>
  <c r="N9" i="6"/>
  <c r="N21" i="6"/>
  <c r="N33" i="6"/>
  <c r="N45" i="6"/>
  <c r="N22" i="6"/>
  <c r="N34" i="6"/>
  <c r="N46" i="6"/>
  <c r="N11" i="6"/>
  <c r="N23" i="6"/>
  <c r="N35" i="6"/>
  <c r="N47" i="6"/>
  <c r="N12" i="6"/>
  <c r="N24" i="6"/>
  <c r="N36" i="6"/>
  <c r="N48" i="6"/>
  <c r="N13" i="6"/>
  <c r="N25" i="6"/>
  <c r="N37" i="6"/>
  <c r="N49" i="6"/>
  <c r="N14" i="6"/>
  <c r="N26" i="6"/>
  <c r="N38" i="6"/>
  <c r="B45" i="3"/>
  <c r="B44" i="3"/>
  <c r="B43" i="3"/>
  <c r="B41" i="3"/>
  <c r="B42" i="3" l="1"/>
  <c r="B35" i="3"/>
  <c r="B36" i="3"/>
  <c r="B37" i="3"/>
  <c r="B38" i="3"/>
  <c r="B34" i="3"/>
  <c r="B21" i="3"/>
  <c r="B27" i="3" s="1"/>
  <c r="B20" i="3"/>
  <c r="B19" i="3"/>
  <c r="B18" i="3"/>
  <c r="B24" i="3" s="1"/>
  <c r="B40" i="3" l="1"/>
  <c r="B39" i="3"/>
  <c r="B26" i="3"/>
  <c r="B25" i="3"/>
  <c r="B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3B672CD3-BF1E-4571-87EE-7BA948DCF9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2D3AC752-BFA2-4AE5-B148-D40D7C1928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E7584F32-F362-4DA6-91E4-49E0FFB95B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29F3404B-242D-40E6-A60B-2ED8904219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F2859936-168F-4F2C-B63A-B8EDF3B660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3AAB7D03-1AD8-4848-84A2-4DE1B0E63C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BD0B4D5A-688D-4405-9EAB-8B0D8C6792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825E8BBA-0745-4468-8FC4-6B50D1F0A1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E46402C6-3F70-4C01-B492-8987260B93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61FB36D8-9035-4E7D-9AAA-D7572D1DB6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9CB723A5-E517-4919-B4C6-DA65DBDF9E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A1A10F51-3394-458C-AF65-0397608A2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A6EDD396-51C0-4DE6-A73F-CCB840D596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789D5AB3-1F58-4610-8329-E658082473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D06017E6-376B-4738-8B85-CA860AB534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7128CE48-3F31-456C-9D53-FE8F52DFC6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FD8E8FAD-ED41-4DA6-A340-A513DC48DE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5EEE1242-70CE-4424-A569-AEFCF4E9D3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" authorId="0" shapeId="0" xr:uid="{8F3F6BCD-C072-4EF9-8C6A-0C1DA4CE56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A84E4C87-50BB-4AF3-807D-9C829CF293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" authorId="0" shapeId="0" xr:uid="{340B1911-E7D3-4D0D-880D-D3D581179D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" authorId="0" shapeId="0" xr:uid="{6AE13A85-B030-4251-A73E-CA74CB5A26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" authorId="0" shapeId="0" xr:uid="{AB62BBDA-FB44-4476-92A5-4263F9FAA8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" authorId="0" shapeId="0" xr:uid="{FD172C0F-1469-4D79-B6BA-732B6AA14FCB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29" authorId="0" shapeId="0" xr:uid="{1F7FB0B2-65F4-413D-AC18-3FE76F336D86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0" authorId="0" shapeId="0" xr:uid="{ED9E1BDF-144C-4E3B-982F-B720E4485EF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1" authorId="0" shapeId="0" xr:uid="{F8692ED4-8482-4C52-9CD3-6802DE2BCD00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2" authorId="0" shapeId="0" xr:uid="{E293117B-94CF-4F7E-85C8-2D6FED200927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3" authorId="0" shapeId="0" xr:uid="{3DECCB04-0192-4B24-8799-8CD1A68B8E49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4" authorId="0" shapeId="0" xr:uid="{57947C0A-93F8-49E6-8166-BECDF9567442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5" authorId="0" shapeId="0" xr:uid="{0837C391-CD4C-49CD-808F-FE3D89FF576E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6" authorId="0" shapeId="0" xr:uid="{F399859F-44D2-4C1D-912B-35A2598BC44B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7" authorId="0" shapeId="0" xr:uid="{9F8413E7-0C5E-4F82-8AD2-6C65DB3E72C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8" authorId="0" shapeId="0" xr:uid="{7209AFF3-6672-4066-9065-2A4649ED949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39" authorId="0" shapeId="0" xr:uid="{A084E9DD-FFC1-4BAF-8725-962E7B859D6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0" authorId="0" shapeId="0" xr:uid="{8992DEF8-697E-4F02-8927-46332EAB3ED3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1" authorId="0" shapeId="0" xr:uid="{9F2BFF28-4047-4E85-B3E3-27F7934A31A1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2" authorId="0" shapeId="0" xr:uid="{F0A9FFD4-4676-4571-9B75-962CFD73041A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3" authorId="0" shapeId="0" xr:uid="{E60182FB-0FF7-411F-82DC-4D5E6FB1D9EE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4" authorId="0" shapeId="0" xr:uid="{D6092926-EB09-4B09-B881-313F1CC2C74E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5" authorId="0" shapeId="0" xr:uid="{B2648CAB-4668-4BAA-8827-8FAAC7BEEB2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6" authorId="0" shapeId="0" xr:uid="{FAAC619E-37C2-4E5D-81F3-78040D39A7E1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7" authorId="0" shapeId="0" xr:uid="{E6567C62-8880-48D6-A002-CE4A30086C7E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8" authorId="0" shapeId="0" xr:uid="{0423145C-51E5-4032-8191-423DF9170C46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49" authorId="0" shapeId="0" xr:uid="{FD41188E-B15B-4D64-B2B8-79F6E9780434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50" authorId="0" shapeId="0" xr:uid="{62072F7B-02F2-4E77-BB0E-BADF11E580BD}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sharedStrings.xml><?xml version="1.0" encoding="utf-8"?>
<sst xmlns="http://schemas.openxmlformats.org/spreadsheetml/2006/main" count="179" uniqueCount="121">
  <si>
    <t>Price</t>
  </si>
  <si>
    <t>Demand</t>
  </si>
  <si>
    <t>S.no</t>
  </si>
  <si>
    <t>Historical Data for Prices and Demand for Skin lifting treatment</t>
  </si>
  <si>
    <t xml:space="preserve">Historical Data for Prices and Demand for Ayurvedic Facial </t>
  </si>
  <si>
    <t>Historical Data for Prices and Demand for Botanical Facial</t>
  </si>
  <si>
    <t>Historical Data for Prices and Demand for Hair treatment</t>
  </si>
  <si>
    <t>Unit Cost</t>
  </si>
  <si>
    <t>Ayurvedic Facial Unit Price</t>
  </si>
  <si>
    <t>Botanical Facial Unit Price</t>
  </si>
  <si>
    <t xml:space="preserve">Skin Lifting Treatment Unit Price </t>
  </si>
  <si>
    <t>Hair Treatment Unit Price</t>
  </si>
  <si>
    <t xml:space="preserve">Demand Function for Ayurvedic Facial </t>
  </si>
  <si>
    <t>Constant</t>
  </si>
  <si>
    <t xml:space="preserve">Elasticity </t>
  </si>
  <si>
    <t>Demand Funtion for Botanical Facial</t>
  </si>
  <si>
    <t>Demand Funtion for Skin Lifting Treatment</t>
  </si>
  <si>
    <t>Elasticity</t>
  </si>
  <si>
    <t>Demnad Funtion for Hair Color</t>
  </si>
  <si>
    <t>Demand Funtion for Hair Treatment</t>
  </si>
  <si>
    <t>Total profit</t>
  </si>
  <si>
    <t>Unit price for Ayurvedic Facial</t>
  </si>
  <si>
    <t>Unit price for Botanical Facial</t>
  </si>
  <si>
    <t>Unit price for Skin Lifting Treatment</t>
  </si>
  <si>
    <t>Unit price for Hair Color</t>
  </si>
  <si>
    <t>Unit price for Hair Treatment</t>
  </si>
  <si>
    <t>Demand for Ayurvedic Facial</t>
  </si>
  <si>
    <t>Demand for Botanical Facial</t>
  </si>
  <si>
    <t>Demand for Skin Lifting Treatment</t>
  </si>
  <si>
    <t>Demand for Hair Color</t>
  </si>
  <si>
    <t>Demand for Hair Treatment</t>
  </si>
  <si>
    <t>Profit from Hair Treatment</t>
  </si>
  <si>
    <t>Profit from Ayurvedic Facial</t>
  </si>
  <si>
    <t>Profit from Botanical Facial</t>
  </si>
  <si>
    <t>Profit from Skin Lifting Treatment</t>
  </si>
  <si>
    <t>Profit from Hair Color</t>
  </si>
  <si>
    <t>Constraints</t>
  </si>
  <si>
    <t>Price of Ayurvedic Facial</t>
  </si>
  <si>
    <t>Price of Botanical Facial</t>
  </si>
  <si>
    <t>Price of Skin Lifting Treatment</t>
  </si>
  <si>
    <t>Price of Hair Color</t>
  </si>
  <si>
    <t>Price of Hair Treatment</t>
  </si>
  <si>
    <t>Number of Skin Care Products</t>
  </si>
  <si>
    <t>Number of Hair Products</t>
  </si>
  <si>
    <t>LHS</t>
  </si>
  <si>
    <t>RHS</t>
  </si>
  <si>
    <t>&gt;=</t>
  </si>
  <si>
    <t>&lt;=</t>
  </si>
  <si>
    <t>$D$44</t>
  </si>
  <si>
    <t>$B$13:$B$22,$B$28</t>
  </si>
  <si>
    <t>Input</t>
  </si>
  <si>
    <t>Oneway analysis for Solver model in Sheet3 worksheet</t>
  </si>
  <si>
    <t>Input (cell $D$44) values along side, output cell(s) along top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</si>
  <si>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</si>
  <si>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</si>
  <si>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</si>
  <si>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</si>
  <si>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</si>
  <si>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</si>
  <si>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</si>
  <si>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</si>
  <si>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</si>
  <si>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</si>
  <si>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$B$28</t>
  </si>
  <si>
    <t>Data for chart</t>
  </si>
  <si>
    <t>Not feasible</t>
  </si>
  <si>
    <t>Hydra Facial Unit Price</t>
  </si>
  <si>
    <t>Snip</t>
  </si>
  <si>
    <t>Constant Elasticity Demand Function</t>
  </si>
  <si>
    <t xml:space="preserve"> Data for Prices and Demand for Hydra facial</t>
  </si>
  <si>
    <t xml:space="preserve"> Demand Analysis</t>
  </si>
  <si>
    <t>Decision Variables:</t>
  </si>
  <si>
    <t>Paf = Price for Ayurvedic Facial, $</t>
  </si>
  <si>
    <t>Pbf= Price for Botanical Facial, $</t>
  </si>
  <si>
    <t>Pslt= Price for Skin Lifting Treatment, $</t>
  </si>
  <si>
    <t>Phc= Price for Hair Color, $</t>
  </si>
  <si>
    <t>Pht= Price for Hair Treatment, $</t>
  </si>
  <si>
    <t>Inputs:</t>
  </si>
  <si>
    <t xml:space="preserve">Daf = Demand for Ayurvedic Facial based on price, units </t>
  </si>
  <si>
    <r>
      <t xml:space="preserve">       =3,462,658.99x</t>
    </r>
    <r>
      <rPr>
        <vertAlign val="superscript"/>
        <sz val="11"/>
        <color rgb="FF000000"/>
        <rFont val="Calibri"/>
        <family val="2"/>
        <scheme val="minor"/>
      </rPr>
      <t xml:space="preserve">-1.23                             </t>
    </r>
  </si>
  <si>
    <t>Caf = Cost per Ayurvedic Facial ,$764</t>
  </si>
  <si>
    <t xml:space="preserve">Dbf= Demand for Botanical Facial based on price, units </t>
  </si>
  <si>
    <r>
      <t xml:space="preserve">       =69,774.35x</t>
    </r>
    <r>
      <rPr>
        <vertAlign val="superscript"/>
        <sz val="11"/>
        <color rgb="FF000000"/>
        <rFont val="Calibri"/>
        <family val="2"/>
        <scheme val="minor"/>
      </rPr>
      <t>-0.95</t>
    </r>
  </si>
  <si>
    <t>Cbf= Cost per Botanical Facial ,$176</t>
  </si>
  <si>
    <t xml:space="preserve">Dslt= Demand for Skin Lifting Treatment based on price, units </t>
  </si>
  <si>
    <r>
      <t xml:space="preserve">       =62,640,574.88x</t>
    </r>
    <r>
      <rPr>
        <vertAlign val="superscript"/>
        <sz val="11"/>
        <color rgb="FF000000"/>
        <rFont val="Calibri"/>
        <family val="2"/>
        <scheme val="minor"/>
      </rPr>
      <t>-1.60</t>
    </r>
  </si>
  <si>
    <t>Cslt= Cost per Skin Lifting Treatment ,$900</t>
  </si>
  <si>
    <t xml:space="preserve">Dhc= Demand for Hair Color based on price, units </t>
  </si>
  <si>
    <r>
      <t xml:space="preserve">       =19,499,366.96x</t>
    </r>
    <r>
      <rPr>
        <vertAlign val="superscript"/>
        <sz val="11"/>
        <color rgb="FF000000"/>
        <rFont val="Calibri"/>
        <family val="2"/>
        <scheme val="minor"/>
      </rPr>
      <t>-2.06</t>
    </r>
  </si>
  <si>
    <t>Chc= Cost per Hair Color,$195</t>
  </si>
  <si>
    <t xml:space="preserve">Dht= Demand for Hair Treatment based on price, units </t>
  </si>
  <si>
    <r>
      <t xml:space="preserve">       =16,895,610,555.68x</t>
    </r>
    <r>
      <rPr>
        <vertAlign val="superscript"/>
        <sz val="11"/>
        <color rgb="FF000000"/>
        <rFont val="Calibri"/>
        <family val="2"/>
        <scheme val="minor"/>
      </rPr>
      <t>-2.33</t>
    </r>
  </si>
  <si>
    <t>Cht= Cost per Hair Treatment ,$1850</t>
  </si>
  <si>
    <t>Objective:</t>
  </si>
  <si>
    <t>Constraints:</t>
  </si>
  <si>
    <t>Number of Skin Care Products: Daf+Dbf+Dslt&lt;=600</t>
  </si>
  <si>
    <t>Number of Hair Products : Dhc+Dht&lt;=250</t>
  </si>
  <si>
    <t>Price of Ayurvedic Facial,Paf &gt;=764</t>
  </si>
  <si>
    <t>Price of Botanical Facial,Pbf &gt;=176</t>
  </si>
  <si>
    <t>Price of Skin Lifting Treatment,Pslt&gt;=900</t>
  </si>
  <si>
    <t>Price of Hair Color,Phc&gt;=195</t>
  </si>
  <si>
    <t>Price of Hair Treatment,Pht&gt;=1850</t>
  </si>
  <si>
    <t>Price of Botanical Facial, Pbf &lt;= 500</t>
  </si>
  <si>
    <t>Non-negitivity:</t>
  </si>
  <si>
    <t xml:space="preserve">               Paf&gt;=0</t>
  </si>
  <si>
    <t xml:space="preserve">               Pbf&gt;=0</t>
  </si>
  <si>
    <t xml:space="preserve">               Pslt&gt;=0</t>
  </si>
  <si>
    <t xml:space="preserve">               Phc&gt;=0</t>
  </si>
  <si>
    <t xml:space="preserve">               Pht&gt;=0</t>
  </si>
  <si>
    <t>Non- Linear Optimization Model</t>
  </si>
  <si>
    <t>Maximize Profit: max[(Paf-Caf)Daf + (Pbf-Cbf)Dbf + (Pslt-Cslt)Dslt + (Phc- Chc)Dhc + (Pht-Cht)Dht]</t>
  </si>
  <si>
    <r>
      <t>D = ap</t>
    </r>
    <r>
      <rPr>
        <vertAlign val="superscript"/>
        <sz val="20"/>
        <color theme="1"/>
        <rFont val="Baskerville Old Face"/>
        <family val="1"/>
      </rPr>
      <t>b</t>
    </r>
  </si>
  <si>
    <t>The power b of constant elasticity demand funtiuon is elasticity of demand function is the percentage change in demand caused by 1% change in price.</t>
  </si>
  <si>
    <t>Ayurvedic Facial</t>
  </si>
  <si>
    <t>Botenical Facial</t>
  </si>
  <si>
    <r>
      <t>D</t>
    </r>
    <r>
      <rPr>
        <vertAlign val="subscript"/>
        <sz val="20"/>
        <color theme="1"/>
        <rFont val="Baskerville Old Face"/>
        <family val="1"/>
      </rPr>
      <t>pbf</t>
    </r>
    <r>
      <rPr>
        <sz val="20"/>
        <color theme="1"/>
        <rFont val="Baskerville Old Face"/>
        <family val="1"/>
      </rPr>
      <t xml:space="preserve"> = </t>
    </r>
    <r>
      <rPr>
        <sz val="10"/>
        <color theme="1"/>
        <rFont val="Baskerville Old Face"/>
        <family val="1"/>
      </rPr>
      <t xml:space="preserve">69,774.35 P </t>
    </r>
    <r>
      <rPr>
        <vertAlign val="superscript"/>
        <sz val="10"/>
        <color theme="1"/>
        <rFont val="Baskerville Old Face"/>
        <family val="1"/>
      </rPr>
      <t>-0.95</t>
    </r>
  </si>
  <si>
    <r>
      <t>D</t>
    </r>
    <r>
      <rPr>
        <vertAlign val="subscript"/>
        <sz val="20"/>
        <color theme="1"/>
        <rFont val="Baskerville Old Face"/>
        <family val="1"/>
      </rPr>
      <t>paf</t>
    </r>
    <r>
      <rPr>
        <sz val="20"/>
        <color theme="1"/>
        <rFont val="Baskerville Old Face"/>
        <family val="1"/>
      </rPr>
      <t xml:space="preserve"> = </t>
    </r>
    <r>
      <rPr>
        <sz val="10"/>
        <color theme="1"/>
        <rFont val="Baskerville Old Face"/>
        <family val="1"/>
      </rPr>
      <t xml:space="preserve">3,462,658.99 P </t>
    </r>
    <r>
      <rPr>
        <vertAlign val="superscript"/>
        <sz val="10"/>
        <color theme="1"/>
        <rFont val="Baskerville Old Face"/>
        <family val="1"/>
      </rPr>
      <t>-1.23</t>
    </r>
  </si>
  <si>
    <t>LP Model Excel Formulation with Solver</t>
  </si>
  <si>
    <t>Unit Price</t>
  </si>
  <si>
    <t>Unit demand</t>
  </si>
  <si>
    <t>Profits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</si>
</sst>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0"/>
      <color rgb="FF000000"/>
      <name val="Söhne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Baskerville Old Face"/>
      <family val="1"/>
    </font>
    <font>
      <vertAlign val="superscript"/>
      <sz val="20"/>
      <color theme="1"/>
      <name val="Baskerville Old Face"/>
      <family val="1"/>
    </font>
    <font>
      <vertAlign val="subscript"/>
      <sz val="20"/>
      <color theme="1"/>
      <name val="Baskerville Old Face"/>
      <family val="1"/>
    </font>
    <font>
      <sz val="10"/>
      <color theme="1"/>
      <name val="Baskerville Old Face"/>
      <family val="1"/>
    </font>
    <font>
      <vertAlign val="superscript"/>
      <sz val="10"/>
      <color theme="1"/>
      <name val="Baskerville Old Face"/>
      <family val="1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5" fillId="0" borderId="1" xfId="1" applyFont="1" applyBorder="1"/>
    <xf numFmtId="0" fontId="0" fillId="0" borderId="0" xfId="0" applyNumberFormat="1"/>
    <xf numFmtId="6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/>
    <xf numFmtId="0" fontId="3" fillId="0" borderId="1" xfId="0" applyFont="1" applyFill="1" applyBorder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right" textRotation="90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3" borderId="0" xfId="0" applyFill="1" applyAlignment="1">
      <alignment horizontal="right" textRotation="90"/>
    </xf>
    <xf numFmtId="0" fontId="6" fillId="0" borderId="0" xfId="0" applyFont="1"/>
    <xf numFmtId="0" fontId="0" fillId="4" borderId="2" xfId="0" applyFill="1" applyBorder="1"/>
    <xf numFmtId="0" fontId="0" fillId="4" borderId="5" xfId="0" applyFill="1" applyBorder="1"/>
    <xf numFmtId="1" fontId="0" fillId="0" borderId="5" xfId="0" applyNumberFormat="1" applyBorder="1"/>
    <xf numFmtId="0" fontId="0" fillId="0" borderId="0" xfId="0" applyNumberFormat="1" applyBorder="1"/>
    <xf numFmtId="1" fontId="0" fillId="0" borderId="0" xfId="0" applyNumberFormat="1" applyBorder="1"/>
    <xf numFmtId="6" fontId="0" fillId="0" borderId="6" xfId="0" applyNumberFormat="1" applyBorder="1"/>
    <xf numFmtId="1" fontId="0" fillId="0" borderId="7" xfId="0" applyNumberFormat="1" applyBorder="1"/>
    <xf numFmtId="0" fontId="0" fillId="0" borderId="8" xfId="0" applyNumberFormat="1" applyBorder="1"/>
    <xf numFmtId="1" fontId="0" fillId="0" borderId="8" xfId="0" applyNumberFormat="1" applyBorder="1"/>
    <xf numFmtId="6" fontId="0" fillId="0" borderId="9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2" fillId="0" borderId="1" xfId="0" applyNumberFormat="1" applyFont="1" applyBorder="1"/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/>
    <xf numFmtId="0" fontId="1" fillId="2" borderId="0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/>
    <xf numFmtId="0" fontId="2" fillId="0" borderId="0" xfId="0" applyFont="1"/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6" borderId="20" xfId="0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6" borderId="22" xfId="0" applyFill="1" applyBorder="1" applyAlignment="1">
      <alignment horizontal="center" wrapText="1"/>
    </xf>
    <xf numFmtId="0" fontId="11" fillId="5" borderId="18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7" fillId="5" borderId="18" xfId="0" applyFont="1" applyFill="1" applyBorder="1" applyAlignment="1">
      <alignment horizontal="center"/>
    </xf>
    <xf numFmtId="0" fontId="17" fillId="5" borderId="15" xfId="0" applyFont="1" applyFill="1" applyBorder="1" applyAlignment="1">
      <alignment horizontal="center"/>
    </xf>
    <xf numFmtId="0" fontId="17" fillId="5" borderId="19" xfId="0" applyFont="1" applyFill="1" applyBorder="1" applyAlignment="1">
      <alignment horizontal="center"/>
    </xf>
    <xf numFmtId="0" fontId="17" fillId="5" borderId="20" xfId="0" applyFont="1" applyFill="1" applyBorder="1" applyAlignment="1">
      <alignment horizontal="center"/>
    </xf>
    <xf numFmtId="0" fontId="17" fillId="5" borderId="21" xfId="0" applyFont="1" applyFill="1" applyBorder="1" applyAlignment="1">
      <alignment horizontal="center"/>
    </xf>
    <xf numFmtId="0" fontId="17" fillId="5" borderId="22" xfId="0" applyFont="1" applyFill="1" applyBorder="1" applyAlignment="1">
      <alignment horizontal="center"/>
    </xf>
    <xf numFmtId="0" fontId="18" fillId="0" borderId="1" xfId="1" applyFont="1" applyBorder="1"/>
    <xf numFmtId="1" fontId="0" fillId="0" borderId="1" xfId="0" applyNumberFormat="1" applyFont="1" applyBorder="1"/>
    <xf numFmtId="0" fontId="0" fillId="0" borderId="1" xfId="0" applyNumberFormat="1" applyFont="1" applyBorder="1"/>
    <xf numFmtId="6" fontId="0" fillId="0" borderId="1" xfId="0" applyNumberFormat="1" applyFont="1" applyBorder="1"/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</cellXfs>
  <cellStyles count="2">
    <cellStyle name="Normal" xfId="0" builtinId="0"/>
    <cellStyle name="Normal 2" xfId="1" xr:uid="{9B8251D7-4ED3-4654-8C93-66046C3E1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 Graph for Ayurvedic Facial </a:t>
            </a:r>
          </a:p>
        </c:rich>
      </c:tx>
      <c:layout>
        <c:manualLayout>
          <c:xMode val="edge"/>
          <c:yMode val="edge"/>
          <c:x val="0.15753263655807129"/>
          <c:y val="2.7459954233409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0362156204631892"/>
                  <c:y val="1.687453827996900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2225" cap="rnd">
                <a:solidFill>
                  <a:srgbClr val="FF0000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Demand!$B$6:$B$15</c:f>
              <c:numCache>
                <c:formatCode>General</c:formatCode>
                <c:ptCount val="10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  <c:pt idx="6">
                  <c:v>1700</c:v>
                </c:pt>
                <c:pt idx="7">
                  <c:v>1900</c:v>
                </c:pt>
                <c:pt idx="8">
                  <c:v>2100</c:v>
                </c:pt>
                <c:pt idx="9">
                  <c:v>2300</c:v>
                </c:pt>
              </c:numCache>
            </c:numRef>
          </c:xVal>
          <c:yVal>
            <c:numRef>
              <c:f>Demand!$C$6:$C$15</c:f>
              <c:numCache>
                <c:formatCode>General</c:formatCode>
                <c:ptCount val="10"/>
                <c:pt idx="0">
                  <c:v>1350</c:v>
                </c:pt>
                <c:pt idx="1">
                  <c:v>980</c:v>
                </c:pt>
                <c:pt idx="2">
                  <c:v>820</c:v>
                </c:pt>
                <c:pt idx="3">
                  <c:v>750</c:v>
                </c:pt>
                <c:pt idx="4">
                  <c:v>670</c:v>
                </c:pt>
                <c:pt idx="5">
                  <c:v>640</c:v>
                </c:pt>
                <c:pt idx="6">
                  <c:v>440</c:v>
                </c:pt>
                <c:pt idx="7">
                  <c:v>320</c:v>
                </c:pt>
                <c:pt idx="8">
                  <c:v>200</c:v>
                </c:pt>
                <c:pt idx="9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3-4EE6-AC43-DB3C1352B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671"/>
        <c:axId val="622024863"/>
      </c:scatterChart>
      <c:valAx>
        <c:axId val="563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24863"/>
        <c:crosses val="autoZero"/>
        <c:crossBetween val="midCat"/>
      </c:valAx>
      <c:valAx>
        <c:axId val="6220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671"/>
        <c:crosses val="autoZero"/>
        <c:crossBetween val="midCat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 Graph for Botanical Facial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2225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477865266841642"/>
                  <c:y val="0.1091338582677165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Demand!$B$23:$B$32</c:f>
              <c:numCache>
                <c:formatCode>General</c:formatCode>
                <c:ptCount val="10"/>
                <c:pt idx="0">
                  <c:v>100</c:v>
                </c:pt>
                <c:pt idx="1">
                  <c:v>133</c:v>
                </c:pt>
                <c:pt idx="2">
                  <c:v>140</c:v>
                </c:pt>
                <c:pt idx="3">
                  <c:v>175</c:v>
                </c:pt>
                <c:pt idx="4">
                  <c:v>180</c:v>
                </c:pt>
                <c:pt idx="5">
                  <c:v>200</c:v>
                </c:pt>
                <c:pt idx="6">
                  <c:v>230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</c:numCache>
            </c:numRef>
          </c:xVal>
          <c:yVal>
            <c:numRef>
              <c:f>Demand!$C$23:$C$32</c:f>
              <c:numCache>
                <c:formatCode>General</c:formatCode>
                <c:ptCount val="10"/>
                <c:pt idx="0">
                  <c:v>751</c:v>
                </c:pt>
                <c:pt idx="1">
                  <c:v>709</c:v>
                </c:pt>
                <c:pt idx="2">
                  <c:v>690</c:v>
                </c:pt>
                <c:pt idx="3">
                  <c:v>600</c:v>
                </c:pt>
                <c:pt idx="4">
                  <c:v>540</c:v>
                </c:pt>
                <c:pt idx="5">
                  <c:v>500</c:v>
                </c:pt>
                <c:pt idx="6">
                  <c:v>450</c:v>
                </c:pt>
                <c:pt idx="7">
                  <c:v>439</c:v>
                </c:pt>
                <c:pt idx="8">
                  <c:v>300</c:v>
                </c:pt>
                <c:pt idx="9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1-48DB-925D-6AA8DF446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940096"/>
        <c:axId val="1698944672"/>
      </c:scatterChart>
      <c:valAx>
        <c:axId val="169894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44672"/>
        <c:crosses val="autoZero"/>
        <c:crossBetween val="midCat"/>
      </c:valAx>
      <c:valAx>
        <c:axId val="16989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4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 Graph for Skin Lifting Treatment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9486111111111112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2225" cap="rnd">
                <a:solidFill>
                  <a:srgbClr val="00B050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385979877515308"/>
                  <c:y val="-6.3521144525126499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Demand!$B$38:$B$47</c:f>
              <c:numCache>
                <c:formatCode>General</c:formatCode>
                <c:ptCount val="10"/>
                <c:pt idx="0">
                  <c:v>600</c:v>
                </c:pt>
                <c:pt idx="1">
                  <c:v>808</c:v>
                </c:pt>
                <c:pt idx="2">
                  <c:v>1050</c:v>
                </c:pt>
                <c:pt idx="3">
                  <c:v>1230</c:v>
                </c:pt>
                <c:pt idx="4">
                  <c:v>1440</c:v>
                </c:pt>
                <c:pt idx="5">
                  <c:v>1670</c:v>
                </c:pt>
                <c:pt idx="6">
                  <c:v>1800</c:v>
                </c:pt>
                <c:pt idx="7">
                  <c:v>2010</c:v>
                </c:pt>
                <c:pt idx="8">
                  <c:v>2220</c:v>
                </c:pt>
                <c:pt idx="9">
                  <c:v>2410</c:v>
                </c:pt>
              </c:numCache>
            </c:numRef>
          </c:xVal>
          <c:yVal>
            <c:numRef>
              <c:f>Demand!$C$38:$C$47</c:f>
              <c:numCache>
                <c:formatCode>General</c:formatCode>
                <c:ptCount val="10"/>
                <c:pt idx="0">
                  <c:v>1520</c:v>
                </c:pt>
                <c:pt idx="1">
                  <c:v>1390</c:v>
                </c:pt>
                <c:pt idx="2">
                  <c:v>1100</c:v>
                </c:pt>
                <c:pt idx="3">
                  <c:v>900</c:v>
                </c:pt>
                <c:pt idx="4">
                  <c:v>790</c:v>
                </c:pt>
                <c:pt idx="5">
                  <c:v>700</c:v>
                </c:pt>
                <c:pt idx="6">
                  <c:v>400</c:v>
                </c:pt>
                <c:pt idx="7">
                  <c:v>390</c:v>
                </c:pt>
                <c:pt idx="8">
                  <c:v>200</c:v>
                </c:pt>
                <c:pt idx="9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1-4892-9182-493E182BE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250352"/>
        <c:axId val="1536252016"/>
      </c:scatterChart>
      <c:valAx>
        <c:axId val="15362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52016"/>
        <c:crosses val="autoZero"/>
        <c:crossBetween val="midCat"/>
      </c:valAx>
      <c:valAx>
        <c:axId val="15362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Prics vs Demand Graph for Hair Color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2225" cap="rnd">
                <a:solidFill>
                  <a:schemeClr val="accent5">
                    <a:lumMod val="75000"/>
                  </a:schemeClr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695997375328084"/>
                  <c:y val="-4.248942840478264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Demand!$B$55:$B$64</c:f>
              <c:numCache>
                <c:formatCode>General</c:formatCode>
                <c:ptCount val="10"/>
                <c:pt idx="0">
                  <c:v>120</c:v>
                </c:pt>
                <c:pt idx="1">
                  <c:v>140</c:v>
                </c:pt>
                <c:pt idx="2">
                  <c:v>160</c:v>
                </c:pt>
                <c:pt idx="3">
                  <c:v>180</c:v>
                </c:pt>
                <c:pt idx="4">
                  <c:v>200</c:v>
                </c:pt>
                <c:pt idx="5">
                  <c:v>220</c:v>
                </c:pt>
                <c:pt idx="6">
                  <c:v>240</c:v>
                </c:pt>
                <c:pt idx="7">
                  <c:v>260</c:v>
                </c:pt>
                <c:pt idx="8">
                  <c:v>280</c:v>
                </c:pt>
                <c:pt idx="9">
                  <c:v>300</c:v>
                </c:pt>
              </c:numCache>
            </c:numRef>
          </c:xVal>
          <c:yVal>
            <c:numRef>
              <c:f>Demand!$C$55:$C$64</c:f>
              <c:numCache>
                <c:formatCode>General</c:formatCode>
                <c:ptCount val="10"/>
                <c:pt idx="0">
                  <c:v>820</c:v>
                </c:pt>
                <c:pt idx="1">
                  <c:v>780</c:v>
                </c:pt>
                <c:pt idx="2">
                  <c:v>500</c:v>
                </c:pt>
                <c:pt idx="3">
                  <c:v>510</c:v>
                </c:pt>
                <c:pt idx="4">
                  <c:v>460</c:v>
                </c:pt>
                <c:pt idx="5">
                  <c:v>320</c:v>
                </c:pt>
                <c:pt idx="6">
                  <c:v>290</c:v>
                </c:pt>
                <c:pt idx="7">
                  <c:v>220</c:v>
                </c:pt>
                <c:pt idx="8">
                  <c:v>150</c:v>
                </c:pt>
                <c:pt idx="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4-42AB-A870-E91271F12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933024"/>
        <c:axId val="1543544688"/>
      </c:scatterChart>
      <c:valAx>
        <c:axId val="169893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44688"/>
        <c:crosses val="autoZero"/>
        <c:crossBetween val="midCat"/>
      </c:valAx>
      <c:valAx>
        <c:axId val="154354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Prics vs Demand Graph for Hair Treatment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2225" cap="rnd">
                <a:solidFill>
                  <a:schemeClr val="tx2">
                    <a:lumMod val="50000"/>
                  </a:schemeClr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7672025371828521"/>
                  <c:y val="-2.108121901428903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Demand!$B$70:$B$79</c:f>
              <c:numCache>
                <c:formatCode>General</c:formatCode>
                <c:ptCount val="10"/>
                <c:pt idx="0">
                  <c:v>1500</c:v>
                </c:pt>
                <c:pt idx="1">
                  <c:v>1770</c:v>
                </c:pt>
                <c:pt idx="2">
                  <c:v>1980</c:v>
                </c:pt>
                <c:pt idx="3">
                  <c:v>2100</c:v>
                </c:pt>
                <c:pt idx="4">
                  <c:v>2320</c:v>
                </c:pt>
                <c:pt idx="5">
                  <c:v>2510</c:v>
                </c:pt>
                <c:pt idx="6">
                  <c:v>2770</c:v>
                </c:pt>
                <c:pt idx="7">
                  <c:v>2999</c:v>
                </c:pt>
                <c:pt idx="8">
                  <c:v>3199</c:v>
                </c:pt>
                <c:pt idx="9">
                  <c:v>3339</c:v>
                </c:pt>
              </c:numCache>
            </c:numRef>
          </c:xVal>
          <c:yVal>
            <c:numRef>
              <c:f>Demand!$C$70:$C$79</c:f>
              <c:numCache>
                <c:formatCode>General</c:formatCode>
                <c:ptCount val="10"/>
                <c:pt idx="0">
                  <c:v>510</c:v>
                </c:pt>
                <c:pt idx="1">
                  <c:v>490</c:v>
                </c:pt>
                <c:pt idx="2">
                  <c:v>490</c:v>
                </c:pt>
                <c:pt idx="3">
                  <c:v>300</c:v>
                </c:pt>
                <c:pt idx="4">
                  <c:v>250</c:v>
                </c:pt>
                <c:pt idx="5">
                  <c:v>250</c:v>
                </c:pt>
                <c:pt idx="6">
                  <c:v>210</c:v>
                </c:pt>
                <c:pt idx="7">
                  <c:v>170</c:v>
                </c:pt>
                <c:pt idx="8">
                  <c:v>100</c:v>
                </c:pt>
                <c:pt idx="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3-4952-B723-721A3ACBC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950912"/>
        <c:axId val="1698948000"/>
      </c:scatterChart>
      <c:valAx>
        <c:axId val="16989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48000"/>
        <c:crosses val="autoZero"/>
        <c:crossBetween val="midCat"/>
      </c:valAx>
      <c:valAx>
        <c:axId val="16989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5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Analysis!$N$1</c:f>
          <c:strCache>
            <c:ptCount val="1"/>
            <c:pt idx="0">
              <c:v>Sensitivity of $B$28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Analysis!$A$5:$A$50</c:f>
              <c:numCache>
                <c:formatCode>General</c:formatCode>
                <c:ptCount val="4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</c:numCache>
            </c:numRef>
          </c:cat>
          <c:val>
            <c:numRef>
              <c:f>Analysis!$N$5:$N$50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1030602.81</c:v>
                </c:pt>
                <c:pt idx="24">
                  <c:v>1033362.68</c:v>
                </c:pt>
                <c:pt idx="25">
                  <c:v>1035193.64</c:v>
                </c:pt>
                <c:pt idx="26">
                  <c:v>1036270.69</c:v>
                </c:pt>
                <c:pt idx="27">
                  <c:v>1036733.75</c:v>
                </c:pt>
                <c:pt idx="28">
                  <c:v>1036773.32</c:v>
                </c:pt>
                <c:pt idx="29">
                  <c:v>1036773.32</c:v>
                </c:pt>
                <c:pt idx="30">
                  <c:v>1036773.32</c:v>
                </c:pt>
                <c:pt idx="31">
                  <c:v>1036773.32</c:v>
                </c:pt>
                <c:pt idx="32">
                  <c:v>1036773.32</c:v>
                </c:pt>
                <c:pt idx="33">
                  <c:v>1036773.32</c:v>
                </c:pt>
                <c:pt idx="34">
                  <c:v>1036773.32</c:v>
                </c:pt>
                <c:pt idx="35">
                  <c:v>1036773.32</c:v>
                </c:pt>
                <c:pt idx="36">
                  <c:v>1036773.32</c:v>
                </c:pt>
                <c:pt idx="37">
                  <c:v>1036773.32</c:v>
                </c:pt>
                <c:pt idx="38">
                  <c:v>1036773.32</c:v>
                </c:pt>
                <c:pt idx="39">
                  <c:v>1036773.32</c:v>
                </c:pt>
                <c:pt idx="40">
                  <c:v>1036773.32</c:v>
                </c:pt>
                <c:pt idx="41">
                  <c:v>1036773.32</c:v>
                </c:pt>
                <c:pt idx="42">
                  <c:v>1036773.32</c:v>
                </c:pt>
                <c:pt idx="43">
                  <c:v>1036773.32</c:v>
                </c:pt>
                <c:pt idx="44">
                  <c:v>1036773.32</c:v>
                </c:pt>
                <c:pt idx="45">
                  <c:v>1036773.32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1-4FC1-8ED3-B113929D1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94207"/>
        <c:axId val="701483423"/>
      </c:lineChart>
      <c:catAx>
        <c:axId val="190894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($D$44)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483423"/>
        <c:crosses val="autoZero"/>
        <c:auto val="1"/>
        <c:lblAlgn val="ctr"/>
        <c:lblOffset val="100"/>
        <c:noMultiLvlLbl val="0"/>
      </c:catAx>
      <c:valAx>
        <c:axId val="7014834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89420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136223</xdr:colOff>
      <xdr:row>3</xdr:row>
      <xdr:rowOff>134408</xdr:rowOff>
    </xdr:from>
    <xdr:to>
      <xdr:col>17</xdr:col>
      <xdr:colOff>433766</xdr:colOff>
      <xdr:row>18</xdr:row>
      <xdr:rowOff>115358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54224-BB7B-A38F-CF22-EF7856527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113242</xdr:colOff>
      <xdr:row>19</xdr:row>
      <xdr:rowOff>62442</xdr:rowOff>
    </xdr:from>
    <xdr:to>
      <xdr:col>17</xdr:col>
      <xdr:colOff>418042</xdr:colOff>
      <xdr:row>34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66DB50-8AF0-43CA-A2B6-CBCC2E085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121708</xdr:colOff>
      <xdr:row>37</xdr:row>
      <xdr:rowOff>47625</xdr:rowOff>
    </xdr:from>
    <xdr:to>
      <xdr:col>17</xdr:col>
      <xdr:colOff>426508</xdr:colOff>
      <xdr:row>52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260C0-9408-4E4F-BC2D-6EC3ED0B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</xdr:colOff>
      <xdr:row>55</xdr:row>
      <xdr:rowOff>64558</xdr:rowOff>
    </xdr:from>
    <xdr:to>
      <xdr:col>17</xdr:col>
      <xdr:colOff>390525</xdr:colOff>
      <xdr:row>71</xdr:row>
      <xdr:rowOff>45508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2FB492-808E-452E-B6EE-2EAB4134C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103040</xdr:colOff>
      <xdr:row>73</xdr:row>
      <xdr:rowOff>45508</xdr:rowOff>
    </xdr:from>
    <xdr:to>
      <xdr:col>17</xdr:col>
      <xdr:colOff>407841</xdr:colOff>
      <xdr:row>88</xdr:row>
      <xdr:rowOff>24342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DD949C-6288-4FA6-9104-8AFADCE13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513441</xdr:colOff>
      <xdr:row>8</xdr:row>
      <xdr:rowOff>87993</xdr:rowOff>
    </xdr:from>
    <xdr:to>
      <xdr:col>22</xdr:col>
      <xdr:colOff>513442</xdr:colOff>
      <xdr:row>23</xdr:row>
      <xdr:rowOff>180522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39437E73-5610-ED1D-2DFB-FBB82BD7C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495300</xdr:colOff>
      <xdr:row>3</xdr:row>
      <xdr:rowOff>19050</xdr:rowOff>
    </xdr:from>
    <xdr:to>
      <xdr:col>18</xdr:col>
      <xdr:colOff>495300</xdr:colOff>
      <xdr:row>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7C8813-A4F6-6BDE-21F8-007A153D96A4}"/>
            </a:ext>
          </a:extLst>
        </xdr:cNvPr>
        <xdr:cNvSpPr txBox="1"/>
      </xdr:nvSpPr>
      <xdr:spPr>
        <a:xfrm>
          <a:off x="91440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$N$4,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zoomScale="75" workbookViewId="0">
      <selection activeCell="F17" sqref="F17"/>
    </sheetView>
  </sheetViews>
  <sheetFormatPr defaultRowHeight="14.5"/>
  <sheetData>
    <row r="1" spans="1:25" ht="19" thickBot="1">
      <c r="I1" s="43" t="s">
        <v>70</v>
      </c>
      <c r="J1" s="44"/>
      <c r="K1" s="44"/>
      <c r="L1" s="44"/>
      <c r="M1" s="44"/>
      <c r="N1" s="44"/>
      <c r="O1" s="44"/>
      <c r="P1" s="44"/>
      <c r="Q1" s="44"/>
      <c r="R1" s="45"/>
    </row>
    <row r="2" spans="1:25" ht="15" thickBot="1">
      <c r="J2" s="46" t="s">
        <v>68</v>
      </c>
      <c r="K2" s="47"/>
      <c r="L2" s="47"/>
      <c r="M2" s="47"/>
      <c r="N2" s="47"/>
      <c r="O2" s="47"/>
      <c r="P2" s="47"/>
      <c r="Q2" s="48"/>
    </row>
    <row r="4" spans="1:25">
      <c r="A4" s="54" t="s">
        <v>4</v>
      </c>
      <c r="B4" s="54"/>
      <c r="C4" s="54"/>
      <c r="D4" s="54"/>
      <c r="E4" s="54"/>
      <c r="F4" s="54"/>
    </row>
    <row r="5" spans="1:25">
      <c r="A5" s="53" t="s">
        <v>2</v>
      </c>
      <c r="B5" s="53" t="s">
        <v>0</v>
      </c>
      <c r="C5" s="53" t="s">
        <v>1</v>
      </c>
    </row>
    <row r="6" spans="1:25">
      <c r="A6" s="30">
        <v>1</v>
      </c>
      <c r="B6" s="31">
        <v>500</v>
      </c>
      <c r="C6" s="31">
        <v>1350</v>
      </c>
      <c r="D6" s="1"/>
    </row>
    <row r="7" spans="1:25">
      <c r="A7" s="30">
        <v>2</v>
      </c>
      <c r="B7" s="31">
        <v>700</v>
      </c>
      <c r="C7" s="31">
        <v>980</v>
      </c>
      <c r="D7" s="1"/>
    </row>
    <row r="8" spans="1:25">
      <c r="A8" s="30">
        <v>3</v>
      </c>
      <c r="B8" s="31">
        <v>900</v>
      </c>
      <c r="C8" s="31">
        <v>820</v>
      </c>
      <c r="D8" s="1"/>
    </row>
    <row r="9" spans="1:25">
      <c r="A9" s="30">
        <v>4</v>
      </c>
      <c r="B9" s="31">
        <v>1100</v>
      </c>
      <c r="C9" s="31">
        <v>750</v>
      </c>
      <c r="D9" s="1"/>
    </row>
    <row r="10" spans="1:25">
      <c r="A10" s="30">
        <v>5</v>
      </c>
      <c r="B10" s="31">
        <v>1300</v>
      </c>
      <c r="C10" s="31">
        <v>670</v>
      </c>
      <c r="D10" s="1"/>
    </row>
    <row r="11" spans="1:25">
      <c r="A11" s="30">
        <v>6</v>
      </c>
      <c r="B11" s="31">
        <v>1500</v>
      </c>
      <c r="C11" s="31">
        <v>640</v>
      </c>
      <c r="D11" s="1"/>
    </row>
    <row r="12" spans="1:25">
      <c r="A12" s="30">
        <v>7</v>
      </c>
      <c r="B12" s="31">
        <v>1700</v>
      </c>
      <c r="C12" s="31">
        <v>440</v>
      </c>
      <c r="D12" s="1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>
      <c r="A13" s="30">
        <v>8</v>
      </c>
      <c r="B13" s="31">
        <v>1900</v>
      </c>
      <c r="C13" s="31">
        <v>320</v>
      </c>
      <c r="D13" s="1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>
      <c r="A14" s="30">
        <v>9</v>
      </c>
      <c r="B14" s="31">
        <v>2100</v>
      </c>
      <c r="C14" s="31">
        <v>200</v>
      </c>
      <c r="D14" s="1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>
      <c r="A15" s="30">
        <v>10</v>
      </c>
      <c r="B15" s="31">
        <v>2300</v>
      </c>
      <c r="C15" s="31">
        <v>190</v>
      </c>
      <c r="D15" s="1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1"/>
      <c r="B16" s="1"/>
      <c r="C16" s="1"/>
      <c r="D16" s="1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"/>
      <c r="B17" s="1"/>
      <c r="C17" s="1"/>
      <c r="D17" s="1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1"/>
      <c r="B18" s="1"/>
      <c r="C18" s="1"/>
      <c r="D18" s="1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>
      <c r="A19" s="1"/>
      <c r="B19" s="1"/>
      <c r="C19" s="1"/>
      <c r="D19" s="1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>
      <c r="A20" s="1"/>
      <c r="B20" s="1"/>
      <c r="C20" s="1"/>
      <c r="D20" s="1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>
      <c r="A21" s="55" t="s">
        <v>5</v>
      </c>
      <c r="B21" s="56"/>
      <c r="C21" s="56"/>
      <c r="D21" s="56"/>
      <c r="E21" s="56"/>
      <c r="F21" s="57"/>
      <c r="P21" s="15"/>
      <c r="Q21" s="58"/>
      <c r="R21" s="58"/>
      <c r="S21" s="15"/>
      <c r="T21" s="58"/>
      <c r="U21" s="58"/>
      <c r="V21" s="15"/>
      <c r="W21" s="15"/>
      <c r="X21" s="15"/>
      <c r="Y21" s="15"/>
    </row>
    <row r="22" spans="1:25">
      <c r="A22" s="32"/>
      <c r="B22" s="7" t="s">
        <v>0</v>
      </c>
      <c r="C22" s="7" t="s">
        <v>1</v>
      </c>
      <c r="D22" s="1"/>
      <c r="P22" s="15"/>
      <c r="Q22" s="51"/>
      <c r="R22" s="51"/>
      <c r="S22" s="15"/>
      <c r="T22" s="51"/>
      <c r="U22" s="51"/>
      <c r="V22" s="15"/>
      <c r="W22" s="51"/>
      <c r="X22" s="51"/>
      <c r="Y22" s="15"/>
    </row>
    <row r="23" spans="1:25">
      <c r="A23" s="32">
        <v>1</v>
      </c>
      <c r="B23" s="31">
        <v>100</v>
      </c>
      <c r="C23" s="31">
        <v>751</v>
      </c>
      <c r="D23" s="1"/>
      <c r="P23" s="15"/>
      <c r="Q23" s="51"/>
      <c r="R23" s="51"/>
      <c r="S23" s="15"/>
      <c r="T23" s="51"/>
      <c r="U23" s="51"/>
      <c r="V23" s="15"/>
      <c r="W23" s="51"/>
      <c r="X23" s="51"/>
      <c r="Y23" s="15"/>
    </row>
    <row r="24" spans="1:25">
      <c r="A24" s="32">
        <v>2</v>
      </c>
      <c r="B24" s="31">
        <v>133</v>
      </c>
      <c r="C24" s="31">
        <v>709</v>
      </c>
      <c r="D24" s="1"/>
      <c r="P24" s="15"/>
      <c r="Q24" s="51"/>
      <c r="R24" s="51"/>
      <c r="S24" s="15"/>
      <c r="T24" s="51"/>
      <c r="U24" s="51"/>
      <c r="V24" s="15"/>
      <c r="W24" s="51"/>
      <c r="X24" s="51"/>
      <c r="Y24" s="15"/>
    </row>
    <row r="25" spans="1:25">
      <c r="A25" s="32">
        <v>3</v>
      </c>
      <c r="B25" s="31">
        <v>140</v>
      </c>
      <c r="C25" s="31">
        <v>690</v>
      </c>
      <c r="D25" s="1"/>
      <c r="P25" s="15"/>
      <c r="Q25" s="51"/>
      <c r="R25" s="51"/>
      <c r="S25" s="15"/>
      <c r="T25" s="51"/>
      <c r="U25" s="51"/>
      <c r="V25" s="15"/>
      <c r="W25" s="51"/>
      <c r="X25" s="51"/>
      <c r="Y25" s="15"/>
    </row>
    <row r="26" spans="1:25">
      <c r="A26" s="32">
        <v>4</v>
      </c>
      <c r="B26" s="31">
        <v>175</v>
      </c>
      <c r="C26" s="31">
        <v>600</v>
      </c>
      <c r="D26" s="1"/>
      <c r="P26" s="15"/>
      <c r="Q26" s="51"/>
      <c r="R26" s="51"/>
      <c r="S26" s="15"/>
      <c r="T26" s="51"/>
      <c r="U26" s="51"/>
      <c r="V26" s="15"/>
      <c r="W26" s="51"/>
      <c r="X26" s="51"/>
      <c r="Y26" s="15"/>
    </row>
    <row r="27" spans="1:25">
      <c r="A27" s="32">
        <v>5</v>
      </c>
      <c r="B27" s="31">
        <v>180</v>
      </c>
      <c r="C27" s="31">
        <v>540</v>
      </c>
      <c r="D27" s="1"/>
      <c r="P27" s="15"/>
      <c r="Q27" s="51"/>
      <c r="R27" s="51"/>
      <c r="S27" s="15"/>
      <c r="T27" s="51"/>
      <c r="U27" s="51"/>
      <c r="V27" s="15"/>
      <c r="W27" s="51"/>
      <c r="X27" s="51"/>
      <c r="Y27" s="15"/>
    </row>
    <row r="28" spans="1:25">
      <c r="A28" s="32">
        <v>6</v>
      </c>
      <c r="B28" s="31">
        <v>200</v>
      </c>
      <c r="C28" s="31">
        <v>500</v>
      </c>
      <c r="D28" s="1"/>
      <c r="P28" s="15"/>
      <c r="Q28" s="51"/>
      <c r="R28" s="51"/>
      <c r="S28" s="15"/>
      <c r="T28" s="51"/>
      <c r="U28" s="51"/>
      <c r="V28" s="15"/>
      <c r="W28" s="51"/>
      <c r="X28" s="51"/>
      <c r="Y28" s="15"/>
    </row>
    <row r="29" spans="1:25">
      <c r="A29" s="32">
        <v>7</v>
      </c>
      <c r="B29" s="31">
        <v>230</v>
      </c>
      <c r="C29" s="31">
        <v>450</v>
      </c>
      <c r="D29" s="1"/>
      <c r="P29" s="15"/>
      <c r="Q29" s="51"/>
      <c r="R29" s="51"/>
      <c r="S29" s="15"/>
      <c r="T29" s="51"/>
      <c r="U29" s="51"/>
      <c r="V29" s="15"/>
      <c r="W29" s="51"/>
      <c r="X29" s="51"/>
      <c r="Y29" s="15"/>
    </row>
    <row r="30" spans="1:25">
      <c r="A30" s="32">
        <v>8</v>
      </c>
      <c r="B30" s="31">
        <v>240</v>
      </c>
      <c r="C30" s="31">
        <v>439</v>
      </c>
      <c r="D30" s="1"/>
      <c r="P30" s="15"/>
      <c r="Q30" s="51"/>
      <c r="R30" s="51"/>
      <c r="S30" s="15"/>
      <c r="T30" s="51"/>
      <c r="U30" s="51"/>
      <c r="V30" s="15"/>
      <c r="W30" s="51"/>
      <c r="X30" s="51"/>
      <c r="Y30" s="15"/>
    </row>
    <row r="31" spans="1:25">
      <c r="A31" s="32">
        <v>9</v>
      </c>
      <c r="B31" s="31">
        <v>260</v>
      </c>
      <c r="C31" s="31">
        <v>300</v>
      </c>
      <c r="D31" s="1"/>
      <c r="P31" s="15"/>
      <c r="Q31" s="51"/>
      <c r="R31" s="51"/>
      <c r="S31" s="15"/>
      <c r="T31" s="51"/>
      <c r="U31" s="51"/>
      <c r="V31" s="15"/>
      <c r="W31" s="51"/>
      <c r="X31" s="51"/>
      <c r="Y31" s="15"/>
    </row>
    <row r="32" spans="1:25">
      <c r="A32" s="32">
        <v>10</v>
      </c>
      <c r="B32" s="31">
        <v>280</v>
      </c>
      <c r="C32" s="31">
        <v>290</v>
      </c>
      <c r="D32" s="1"/>
    </row>
    <row r="33" spans="1:6">
      <c r="A33" s="1"/>
      <c r="B33" s="1"/>
      <c r="C33" s="1"/>
      <c r="D33" s="1"/>
    </row>
    <row r="34" spans="1:6">
      <c r="A34" s="1"/>
      <c r="B34" s="1"/>
      <c r="C34" s="1"/>
      <c r="D34" s="1"/>
    </row>
    <row r="35" spans="1:6">
      <c r="A35" s="1"/>
      <c r="B35" s="1"/>
      <c r="C35" s="1"/>
      <c r="D35" s="1"/>
    </row>
    <row r="36" spans="1:6">
      <c r="A36" s="54" t="s">
        <v>3</v>
      </c>
      <c r="B36" s="54"/>
      <c r="C36" s="54"/>
      <c r="D36" s="54"/>
      <c r="E36" s="54"/>
      <c r="F36" s="54"/>
    </row>
    <row r="37" spans="1:6">
      <c r="A37" s="49"/>
      <c r="B37" s="53" t="s">
        <v>0</v>
      </c>
      <c r="C37" s="53" t="s">
        <v>1</v>
      </c>
      <c r="D37" s="1"/>
    </row>
    <row r="38" spans="1:6">
      <c r="A38" s="32">
        <v>1</v>
      </c>
      <c r="B38" s="31">
        <v>600</v>
      </c>
      <c r="C38" s="31">
        <v>1520</v>
      </c>
      <c r="D38" s="1"/>
    </row>
    <row r="39" spans="1:6">
      <c r="A39" s="32">
        <v>2</v>
      </c>
      <c r="B39" s="31">
        <v>808</v>
      </c>
      <c r="C39" s="31">
        <v>1390</v>
      </c>
      <c r="D39" s="1"/>
    </row>
    <row r="40" spans="1:6">
      <c r="A40" s="32">
        <v>3</v>
      </c>
      <c r="B40" s="31">
        <v>1050</v>
      </c>
      <c r="C40" s="31">
        <v>1100</v>
      </c>
      <c r="D40" s="1"/>
    </row>
    <row r="41" spans="1:6">
      <c r="A41" s="32">
        <v>4</v>
      </c>
      <c r="B41" s="31">
        <v>1230</v>
      </c>
      <c r="C41" s="31">
        <v>900</v>
      </c>
      <c r="D41" s="1"/>
    </row>
    <row r="42" spans="1:6">
      <c r="A42" s="32">
        <v>5</v>
      </c>
      <c r="B42" s="31">
        <v>1440</v>
      </c>
      <c r="C42" s="31">
        <v>790</v>
      </c>
      <c r="D42" s="1"/>
    </row>
    <row r="43" spans="1:6">
      <c r="A43" s="32">
        <v>6</v>
      </c>
      <c r="B43" s="31">
        <v>1670</v>
      </c>
      <c r="C43" s="31">
        <v>700</v>
      </c>
      <c r="D43" s="1"/>
    </row>
    <row r="44" spans="1:6">
      <c r="A44" s="32">
        <v>7</v>
      </c>
      <c r="B44" s="31">
        <v>1800</v>
      </c>
      <c r="C44" s="31">
        <v>400</v>
      </c>
      <c r="D44" s="1"/>
    </row>
    <row r="45" spans="1:6">
      <c r="A45" s="32">
        <v>8</v>
      </c>
      <c r="B45" s="31">
        <v>2010</v>
      </c>
      <c r="C45" s="31">
        <v>390</v>
      </c>
      <c r="D45" s="1"/>
    </row>
    <row r="46" spans="1:6">
      <c r="A46" s="32">
        <v>9</v>
      </c>
      <c r="B46" s="31">
        <v>2220</v>
      </c>
      <c r="C46" s="31">
        <v>200</v>
      </c>
      <c r="D46" s="1"/>
    </row>
    <row r="47" spans="1:6">
      <c r="A47" s="32">
        <v>10</v>
      </c>
      <c r="B47" s="31">
        <v>2410</v>
      </c>
      <c r="C47" s="31">
        <v>150</v>
      </c>
      <c r="D47" s="1"/>
    </row>
    <row r="48" spans="1:6">
      <c r="A48" s="1"/>
      <c r="B48" s="1"/>
      <c r="C48" s="1"/>
      <c r="D48" s="1"/>
    </row>
    <row r="49" spans="1:22">
      <c r="A49" s="1"/>
      <c r="B49" s="1"/>
      <c r="C49" s="1"/>
      <c r="D49" s="1"/>
    </row>
    <row r="50" spans="1:22">
      <c r="A50" s="1"/>
      <c r="B50" s="1"/>
      <c r="C50" s="1"/>
      <c r="D50" s="1"/>
    </row>
    <row r="51" spans="1:22">
      <c r="A51" s="1"/>
      <c r="B51" s="1"/>
      <c r="C51" s="1"/>
      <c r="D51" s="1"/>
    </row>
    <row r="52" spans="1:22">
      <c r="A52" s="1"/>
      <c r="B52" s="1"/>
      <c r="C52" s="1"/>
      <c r="D52" s="1"/>
    </row>
    <row r="53" spans="1:22">
      <c r="A53" s="52" t="s">
        <v>69</v>
      </c>
      <c r="B53" s="50"/>
      <c r="C53" s="50"/>
      <c r="D53" s="50"/>
      <c r="E53" s="29"/>
      <c r="P53" s="15"/>
      <c r="Q53" s="15"/>
      <c r="R53" s="15"/>
      <c r="S53" s="15"/>
      <c r="T53" s="15"/>
      <c r="U53" s="15"/>
      <c r="V53" s="15"/>
    </row>
    <row r="54" spans="1:22">
      <c r="A54" s="32"/>
      <c r="B54" s="7" t="s">
        <v>0</v>
      </c>
      <c r="C54" s="7" t="s">
        <v>1</v>
      </c>
      <c r="D54" s="1"/>
      <c r="P54" s="15"/>
      <c r="Q54" s="15"/>
      <c r="R54" s="15"/>
      <c r="S54" s="15"/>
      <c r="T54" s="15"/>
      <c r="U54" s="15"/>
      <c r="V54" s="15"/>
    </row>
    <row r="55" spans="1:22">
      <c r="A55" s="32">
        <v>1</v>
      </c>
      <c r="B55" s="31">
        <v>120</v>
      </c>
      <c r="C55" s="31">
        <v>820</v>
      </c>
      <c r="D55" s="1"/>
      <c r="P55" s="15"/>
      <c r="Q55" s="15"/>
      <c r="R55" s="15"/>
      <c r="S55" s="15"/>
      <c r="T55" s="15"/>
      <c r="U55" s="15"/>
      <c r="V55" s="15"/>
    </row>
    <row r="56" spans="1:22">
      <c r="A56" s="32">
        <v>2</v>
      </c>
      <c r="B56" s="31">
        <v>140</v>
      </c>
      <c r="C56" s="31">
        <v>780</v>
      </c>
      <c r="D56" s="1"/>
      <c r="P56" s="15"/>
      <c r="Q56" s="15"/>
      <c r="R56" s="15"/>
      <c r="S56" s="15"/>
      <c r="T56" s="15"/>
      <c r="U56" s="15"/>
      <c r="V56" s="15"/>
    </row>
    <row r="57" spans="1:22">
      <c r="A57" s="32">
        <v>3</v>
      </c>
      <c r="B57" s="31">
        <v>160</v>
      </c>
      <c r="C57" s="31">
        <v>500</v>
      </c>
      <c r="D57" s="1"/>
      <c r="P57" s="15"/>
      <c r="Q57" s="15"/>
      <c r="R57" s="15"/>
      <c r="S57" s="15"/>
      <c r="T57" s="15"/>
      <c r="U57" s="15"/>
      <c r="V57" s="15"/>
    </row>
    <row r="58" spans="1:22">
      <c r="A58" s="32">
        <v>4</v>
      </c>
      <c r="B58" s="31">
        <v>180</v>
      </c>
      <c r="C58" s="31">
        <v>510</v>
      </c>
      <c r="D58" s="1"/>
      <c r="P58" s="15"/>
      <c r="Q58" s="15"/>
      <c r="R58" s="15"/>
      <c r="S58" s="15"/>
      <c r="T58" s="15"/>
      <c r="U58" s="15"/>
      <c r="V58" s="15"/>
    </row>
    <row r="59" spans="1:22">
      <c r="A59" s="32">
        <v>5</v>
      </c>
      <c r="B59" s="31">
        <v>200</v>
      </c>
      <c r="C59" s="31">
        <v>460</v>
      </c>
      <c r="D59" s="1"/>
      <c r="P59" s="15"/>
      <c r="Q59" s="51"/>
      <c r="R59" s="51"/>
      <c r="S59" s="15"/>
      <c r="T59" s="51"/>
      <c r="U59" s="51"/>
      <c r="V59" s="15"/>
    </row>
    <row r="60" spans="1:22">
      <c r="A60" s="32">
        <v>6</v>
      </c>
      <c r="B60" s="31">
        <v>220</v>
      </c>
      <c r="C60" s="31">
        <v>320</v>
      </c>
      <c r="D60" s="1"/>
      <c r="P60" s="15"/>
      <c r="Q60" s="51"/>
      <c r="R60" s="51"/>
      <c r="S60" s="15"/>
      <c r="T60" s="51"/>
      <c r="U60" s="51"/>
      <c r="V60" s="15"/>
    </row>
    <row r="61" spans="1:22">
      <c r="A61" s="32">
        <v>7</v>
      </c>
      <c r="B61" s="31">
        <v>240</v>
      </c>
      <c r="C61" s="31">
        <v>290</v>
      </c>
      <c r="D61" s="1"/>
      <c r="P61" s="15"/>
      <c r="Q61" s="51"/>
      <c r="R61" s="51"/>
      <c r="S61" s="15"/>
      <c r="T61" s="51"/>
      <c r="U61" s="51"/>
      <c r="V61" s="15"/>
    </row>
    <row r="62" spans="1:22">
      <c r="A62" s="32">
        <v>8</v>
      </c>
      <c r="B62" s="31">
        <v>260</v>
      </c>
      <c r="C62" s="31">
        <v>220</v>
      </c>
      <c r="D62" s="1"/>
      <c r="P62" s="15"/>
      <c r="Q62" s="51"/>
      <c r="R62" s="51"/>
      <c r="S62" s="15"/>
      <c r="T62" s="51"/>
      <c r="U62" s="51"/>
      <c r="V62" s="15"/>
    </row>
    <row r="63" spans="1:22">
      <c r="A63" s="32">
        <v>9</v>
      </c>
      <c r="B63" s="31">
        <v>280</v>
      </c>
      <c r="C63" s="31">
        <v>150</v>
      </c>
      <c r="D63" s="1"/>
      <c r="P63" s="15"/>
      <c r="Q63" s="51"/>
      <c r="R63" s="51"/>
      <c r="S63" s="15"/>
      <c r="T63" s="51"/>
      <c r="U63" s="51"/>
      <c r="V63" s="15"/>
    </row>
    <row r="64" spans="1:22">
      <c r="A64" s="32">
        <v>10</v>
      </c>
      <c r="B64" s="31">
        <v>300</v>
      </c>
      <c r="C64" s="31">
        <v>120</v>
      </c>
      <c r="D64" s="1"/>
      <c r="P64" s="15"/>
      <c r="Q64" s="51"/>
      <c r="R64" s="51"/>
      <c r="S64" s="15"/>
      <c r="T64" s="51"/>
      <c r="U64" s="51"/>
      <c r="V64" s="15"/>
    </row>
    <row r="65" spans="1:22">
      <c r="A65" s="1"/>
      <c r="B65" s="1"/>
      <c r="C65" s="1"/>
      <c r="D65" s="1"/>
      <c r="P65" s="15"/>
      <c r="Q65" s="51"/>
      <c r="R65" s="51"/>
      <c r="S65" s="15"/>
      <c r="T65" s="51"/>
      <c r="U65" s="51"/>
      <c r="V65" s="15"/>
    </row>
    <row r="66" spans="1:22">
      <c r="A66" s="1"/>
      <c r="B66" s="1"/>
      <c r="C66" s="1"/>
      <c r="D66" s="1"/>
      <c r="P66" s="15"/>
      <c r="Q66" s="51"/>
      <c r="R66" s="51"/>
      <c r="S66" s="15"/>
      <c r="T66" s="51"/>
      <c r="U66" s="51"/>
      <c r="V66" s="15"/>
    </row>
    <row r="67" spans="1:22">
      <c r="A67" s="1"/>
      <c r="B67" s="1"/>
      <c r="C67" s="1"/>
      <c r="D67" s="1"/>
      <c r="P67" s="15"/>
      <c r="Q67" s="51"/>
      <c r="R67" s="51"/>
      <c r="S67" s="15"/>
      <c r="T67" s="51"/>
      <c r="U67" s="51"/>
      <c r="V67" s="15"/>
    </row>
    <row r="68" spans="1:22">
      <c r="A68" s="1" t="s">
        <v>6</v>
      </c>
      <c r="B68" s="1"/>
      <c r="C68" s="1"/>
      <c r="D68" s="1"/>
      <c r="P68" s="15"/>
      <c r="Q68" s="51"/>
      <c r="R68" s="51"/>
      <c r="S68" s="15"/>
      <c r="T68" s="51"/>
      <c r="U68" s="51"/>
      <c r="V68" s="15"/>
    </row>
    <row r="69" spans="1:22">
      <c r="A69" s="32"/>
      <c r="B69" s="7" t="s">
        <v>0</v>
      </c>
      <c r="C69" s="7" t="s">
        <v>1</v>
      </c>
      <c r="D69" s="1"/>
      <c r="P69" s="15"/>
      <c r="Q69" s="51"/>
      <c r="R69" s="51"/>
      <c r="S69" s="15"/>
      <c r="T69" s="51"/>
      <c r="U69" s="51"/>
      <c r="V69" s="15"/>
    </row>
    <row r="70" spans="1:22">
      <c r="A70" s="32">
        <v>1</v>
      </c>
      <c r="B70" s="31">
        <v>1500</v>
      </c>
      <c r="C70" s="31">
        <v>510</v>
      </c>
      <c r="D70" s="1"/>
      <c r="P70" s="15"/>
      <c r="Q70" s="15"/>
      <c r="R70" s="15"/>
      <c r="S70" s="15"/>
      <c r="T70" s="15"/>
      <c r="U70" s="15"/>
      <c r="V70" s="15"/>
    </row>
    <row r="71" spans="1:22">
      <c r="A71" s="32">
        <v>2</v>
      </c>
      <c r="B71" s="31">
        <v>1770</v>
      </c>
      <c r="C71" s="31">
        <v>490</v>
      </c>
      <c r="D71" s="1"/>
    </row>
    <row r="72" spans="1:22">
      <c r="A72" s="32">
        <v>3</v>
      </c>
      <c r="B72" s="31">
        <v>1980</v>
      </c>
      <c r="C72" s="31">
        <v>490</v>
      </c>
      <c r="D72" s="1"/>
    </row>
    <row r="73" spans="1:22">
      <c r="A73" s="32">
        <v>4</v>
      </c>
      <c r="B73" s="31">
        <v>2100</v>
      </c>
      <c r="C73" s="31">
        <v>300</v>
      </c>
      <c r="D73" s="1"/>
    </row>
    <row r="74" spans="1:22">
      <c r="A74" s="32">
        <v>5</v>
      </c>
      <c r="B74" s="31">
        <v>2320</v>
      </c>
      <c r="C74" s="31">
        <v>250</v>
      </c>
      <c r="D74" s="1"/>
    </row>
    <row r="75" spans="1:22">
      <c r="A75" s="32">
        <v>6</v>
      </c>
      <c r="B75" s="31">
        <v>2510</v>
      </c>
      <c r="C75" s="31">
        <v>250</v>
      </c>
      <c r="D75" s="1"/>
    </row>
    <row r="76" spans="1:22">
      <c r="A76" s="32">
        <v>7</v>
      </c>
      <c r="B76" s="31">
        <v>2770</v>
      </c>
      <c r="C76" s="31">
        <v>210</v>
      </c>
      <c r="D76" s="1"/>
    </row>
    <row r="77" spans="1:22">
      <c r="A77" s="32">
        <v>8</v>
      </c>
      <c r="B77" s="31">
        <v>2999</v>
      </c>
      <c r="C77" s="31">
        <v>170</v>
      </c>
      <c r="D77" s="1"/>
    </row>
    <row r="78" spans="1:22">
      <c r="A78" s="32">
        <v>9</v>
      </c>
      <c r="B78" s="31">
        <v>3199</v>
      </c>
      <c r="C78" s="31">
        <v>100</v>
      </c>
      <c r="D78" s="1"/>
    </row>
    <row r="79" spans="1:22">
      <c r="A79" s="32">
        <v>10</v>
      </c>
      <c r="B79" s="31">
        <v>3339</v>
      </c>
      <c r="C79" s="31">
        <v>75</v>
      </c>
      <c r="D79" s="1"/>
    </row>
    <row r="80" spans="1:22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</sheetData>
  <mergeCells count="5">
    <mergeCell ref="I1:R1"/>
    <mergeCell ref="J2:Q2"/>
    <mergeCell ref="A36:F36"/>
    <mergeCell ref="A21:F21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53BB-B888-4EB4-9B4C-AED825847133}">
  <dimension ref="B1:T31"/>
  <sheetViews>
    <sheetView zoomScale="88" workbookViewId="0">
      <selection activeCell="H1" sqref="H1:N2"/>
    </sheetView>
  </sheetViews>
  <sheetFormatPr defaultRowHeight="14.5"/>
  <sheetData>
    <row r="1" spans="2:20">
      <c r="H1" s="82" t="s">
        <v>109</v>
      </c>
      <c r="I1" s="83"/>
      <c r="J1" s="83"/>
      <c r="K1" s="83"/>
      <c r="L1" s="83"/>
      <c r="M1" s="83"/>
      <c r="N1" s="84"/>
    </row>
    <row r="2" spans="2:20" ht="15" thickBot="1">
      <c r="H2" s="85"/>
      <c r="I2" s="86"/>
      <c r="J2" s="86"/>
      <c r="K2" s="86"/>
      <c r="L2" s="86"/>
      <c r="M2" s="86"/>
      <c r="N2" s="87"/>
    </row>
    <row r="4" spans="2:20" ht="15" thickBot="1"/>
    <row r="5" spans="2:20" ht="19" thickBot="1">
      <c r="B5" s="59" t="s">
        <v>71</v>
      </c>
      <c r="K5" s="61" t="s">
        <v>68</v>
      </c>
      <c r="L5" s="62"/>
      <c r="M5" s="62"/>
      <c r="N5" s="63"/>
      <c r="O5" s="61" t="s">
        <v>113</v>
      </c>
      <c r="P5" s="62"/>
      <c r="Q5" s="63"/>
      <c r="R5" s="61" t="s">
        <v>114</v>
      </c>
      <c r="S5" s="62"/>
      <c r="T5" s="63"/>
    </row>
    <row r="6" spans="2:20" ht="14.5" customHeight="1">
      <c r="B6" s="60" t="s">
        <v>72</v>
      </c>
      <c r="K6" s="64" t="s">
        <v>111</v>
      </c>
      <c r="L6" s="65"/>
      <c r="M6" s="65"/>
      <c r="N6" s="66"/>
      <c r="O6" s="64" t="s">
        <v>116</v>
      </c>
      <c r="P6" s="65"/>
      <c r="Q6" s="66"/>
      <c r="R6" s="67" t="s">
        <v>115</v>
      </c>
      <c r="S6" s="68"/>
      <c r="T6" s="69"/>
    </row>
    <row r="7" spans="2:20" ht="15" thickBot="1">
      <c r="B7" s="60" t="s">
        <v>73</v>
      </c>
      <c r="K7" s="70"/>
      <c r="L7" s="71"/>
      <c r="M7" s="71"/>
      <c r="N7" s="72"/>
      <c r="O7" s="70"/>
      <c r="P7" s="71"/>
      <c r="Q7" s="72"/>
      <c r="R7" s="73"/>
      <c r="S7" s="74"/>
      <c r="T7" s="75"/>
    </row>
    <row r="8" spans="2:20" ht="14.5" customHeight="1">
      <c r="B8" s="60" t="s">
        <v>74</v>
      </c>
      <c r="K8" s="76" t="s">
        <v>112</v>
      </c>
      <c r="L8" s="77"/>
      <c r="M8" s="77"/>
      <c r="N8" s="77"/>
      <c r="O8" s="77"/>
      <c r="P8" s="77"/>
      <c r="Q8" s="77"/>
      <c r="R8" s="77"/>
      <c r="S8" s="77"/>
      <c r="T8" s="78"/>
    </row>
    <row r="9" spans="2:20" ht="15" thickBot="1">
      <c r="B9" s="60" t="s">
        <v>75</v>
      </c>
      <c r="K9" s="79"/>
      <c r="L9" s="80"/>
      <c r="M9" s="80"/>
      <c r="N9" s="80"/>
      <c r="O9" s="80"/>
      <c r="P9" s="80"/>
      <c r="Q9" s="80"/>
      <c r="R9" s="80"/>
      <c r="S9" s="80"/>
      <c r="T9" s="81"/>
    </row>
    <row r="10" spans="2:20">
      <c r="B10" s="60" t="s">
        <v>76</v>
      </c>
    </row>
    <row r="13" spans="2:20" ht="18.5">
      <c r="B13" s="59" t="s">
        <v>77</v>
      </c>
    </row>
    <row r="14" spans="2:20" ht="18.5">
      <c r="B14" s="60" t="s">
        <v>78</v>
      </c>
      <c r="O14" s="59" t="s">
        <v>94</v>
      </c>
    </row>
    <row r="15" spans="2:20" ht="16.5">
      <c r="B15" s="60" t="s">
        <v>79</v>
      </c>
      <c r="O15" s="60" t="s">
        <v>95</v>
      </c>
    </row>
    <row r="16" spans="2:20">
      <c r="B16" s="60" t="s">
        <v>80</v>
      </c>
      <c r="O16" s="60" t="s">
        <v>96</v>
      </c>
    </row>
    <row r="17" spans="2:15">
      <c r="B17" s="60" t="s">
        <v>81</v>
      </c>
      <c r="O17" s="60" t="s">
        <v>97</v>
      </c>
    </row>
    <row r="18" spans="2:15" ht="16.5">
      <c r="B18" s="60" t="s">
        <v>82</v>
      </c>
      <c r="O18" s="60" t="s">
        <v>98</v>
      </c>
    </row>
    <row r="19" spans="2:15">
      <c r="B19" s="60" t="s">
        <v>83</v>
      </c>
      <c r="O19" s="60" t="s">
        <v>99</v>
      </c>
    </row>
    <row r="20" spans="2:15">
      <c r="B20" s="60" t="s">
        <v>84</v>
      </c>
      <c r="O20" s="60" t="s">
        <v>100</v>
      </c>
    </row>
    <row r="21" spans="2:15" ht="16.5">
      <c r="B21" s="60" t="s">
        <v>85</v>
      </c>
      <c r="O21" s="60" t="s">
        <v>101</v>
      </c>
    </row>
    <row r="22" spans="2:15">
      <c r="B22" s="60" t="s">
        <v>86</v>
      </c>
      <c r="O22" s="60" t="s">
        <v>102</v>
      </c>
    </row>
    <row r="23" spans="2:15">
      <c r="B23" s="60" t="s">
        <v>87</v>
      </c>
      <c r="O23" s="60" t="s">
        <v>103</v>
      </c>
    </row>
    <row r="24" spans="2:15" ht="16.5">
      <c r="B24" s="60" t="s">
        <v>88</v>
      </c>
      <c r="O24" s="60" t="s">
        <v>104</v>
      </c>
    </row>
    <row r="25" spans="2:15">
      <c r="B25" s="60" t="s">
        <v>89</v>
      </c>
      <c r="O25" s="60" t="s">
        <v>105</v>
      </c>
    </row>
    <row r="26" spans="2:15">
      <c r="B26" s="60" t="s">
        <v>90</v>
      </c>
      <c r="O26" s="60" t="s">
        <v>106</v>
      </c>
    </row>
    <row r="27" spans="2:15" ht="16.5">
      <c r="B27" s="60" t="s">
        <v>91</v>
      </c>
      <c r="O27" s="60" t="s">
        <v>107</v>
      </c>
    </row>
    <row r="28" spans="2:15">
      <c r="B28" s="60" t="s">
        <v>92</v>
      </c>
      <c r="O28" s="60" t="s">
        <v>108</v>
      </c>
    </row>
    <row r="30" spans="2:15" ht="18.5">
      <c r="L30" s="59" t="s">
        <v>93</v>
      </c>
    </row>
    <row r="31" spans="2:15">
      <c r="L31" s="60" t="s">
        <v>110</v>
      </c>
    </row>
  </sheetData>
  <mergeCells count="8">
    <mergeCell ref="R5:T5"/>
    <mergeCell ref="K6:N7"/>
    <mergeCell ref="O6:Q7"/>
    <mergeCell ref="R6:T7"/>
    <mergeCell ref="K8:T9"/>
    <mergeCell ref="H1:N2"/>
    <mergeCell ref="K5:N5"/>
    <mergeCell ref="O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FA54-FB6F-45D6-B17A-41E1A6EDE709}">
  <dimension ref="A1:Q46"/>
  <sheetViews>
    <sheetView workbookViewId="0">
      <selection activeCell="E18" sqref="E18"/>
    </sheetView>
  </sheetViews>
  <sheetFormatPr defaultRowHeight="14.5"/>
  <cols>
    <col min="1" max="1" width="31.08984375" bestFit="1" customWidth="1"/>
    <col min="2" max="2" width="32.81640625" customWidth="1"/>
    <col min="3" max="3" width="17" customWidth="1"/>
    <col min="7" max="7" width="9.7265625" customWidth="1"/>
    <col min="9" max="9" width="12.26953125" bestFit="1" customWidth="1"/>
    <col min="10" max="10" width="10.36328125" customWidth="1"/>
    <col min="13" max="13" width="12.26953125" bestFit="1" customWidth="1"/>
    <col min="16" max="16" width="15.81640625" bestFit="1" customWidth="1"/>
  </cols>
  <sheetData>
    <row r="1" spans="1:17">
      <c r="B1" s="88" t="s">
        <v>117</v>
      </c>
      <c r="C1" s="89"/>
      <c r="D1" s="89"/>
      <c r="E1" s="89"/>
      <c r="F1" s="89"/>
      <c r="G1" s="89"/>
      <c r="H1" s="89"/>
      <c r="I1" s="90"/>
    </row>
    <row r="2" spans="1:17" ht="15" thickBot="1">
      <c r="B2" s="91"/>
      <c r="C2" s="92"/>
      <c r="D2" s="92"/>
      <c r="E2" s="92"/>
      <c r="F2" s="92"/>
      <c r="G2" s="92"/>
      <c r="H2" s="92"/>
      <c r="I2" s="93"/>
    </row>
    <row r="4" spans="1:17">
      <c r="A4" s="54" t="s">
        <v>8</v>
      </c>
      <c r="B4" s="54"/>
      <c r="D4" s="54" t="s">
        <v>9</v>
      </c>
      <c r="E4" s="54"/>
      <c r="F4" s="54"/>
      <c r="G4" s="54"/>
      <c r="H4" s="54" t="s">
        <v>10</v>
      </c>
      <c r="I4" s="54"/>
      <c r="J4" s="54"/>
      <c r="K4" s="54"/>
      <c r="L4" s="54" t="s">
        <v>66</v>
      </c>
      <c r="M4" s="54"/>
      <c r="N4" s="54"/>
      <c r="O4" s="54" t="s">
        <v>11</v>
      </c>
      <c r="P4" s="54"/>
      <c r="Q4" s="54"/>
    </row>
    <row r="5" spans="1:17">
      <c r="A5" s="29" t="s">
        <v>7</v>
      </c>
      <c r="B5" s="5">
        <v>764</v>
      </c>
      <c r="D5" s="37" t="s">
        <v>7</v>
      </c>
      <c r="E5" s="38"/>
      <c r="F5" s="39">
        <v>176</v>
      </c>
      <c r="G5" s="40"/>
      <c r="H5" s="34" t="s">
        <v>7</v>
      </c>
      <c r="I5" s="34"/>
      <c r="J5" s="35">
        <v>900</v>
      </c>
      <c r="K5" s="35"/>
      <c r="L5" s="29" t="s">
        <v>7</v>
      </c>
      <c r="M5" s="35">
        <v>195</v>
      </c>
      <c r="N5" s="35"/>
      <c r="O5" s="29" t="s">
        <v>7</v>
      </c>
      <c r="P5" s="35">
        <v>1850</v>
      </c>
      <c r="Q5" s="35"/>
    </row>
    <row r="6" spans="1:17">
      <c r="A6" s="34" t="s">
        <v>12</v>
      </c>
      <c r="B6" s="34"/>
      <c r="C6" s="2"/>
      <c r="D6" s="34" t="s">
        <v>15</v>
      </c>
      <c r="E6" s="34"/>
      <c r="F6" s="34"/>
      <c r="G6" s="34"/>
      <c r="H6" s="34" t="s">
        <v>16</v>
      </c>
      <c r="I6" s="34"/>
      <c r="J6" s="34"/>
      <c r="K6" s="34"/>
      <c r="L6" s="34" t="s">
        <v>18</v>
      </c>
      <c r="M6" s="34"/>
      <c r="N6" s="34"/>
      <c r="O6" s="34" t="s">
        <v>19</v>
      </c>
      <c r="P6" s="34"/>
      <c r="Q6" s="34"/>
    </row>
    <row r="7" spans="1:17">
      <c r="A7" s="29" t="s">
        <v>13</v>
      </c>
      <c r="B7" s="33">
        <v>3462658.99</v>
      </c>
      <c r="D7" s="37" t="s">
        <v>13</v>
      </c>
      <c r="E7" s="38"/>
      <c r="F7" s="41">
        <v>69774.350000000006</v>
      </c>
      <c r="G7" s="42"/>
      <c r="H7" s="34" t="s">
        <v>13</v>
      </c>
      <c r="I7" s="34"/>
      <c r="J7" s="36">
        <v>62640574.880000003</v>
      </c>
      <c r="K7" s="36"/>
      <c r="L7" s="29" t="s">
        <v>13</v>
      </c>
      <c r="M7" s="36">
        <v>19499366.960000001</v>
      </c>
      <c r="N7" s="36"/>
      <c r="O7" s="29" t="s">
        <v>13</v>
      </c>
      <c r="P7" s="36">
        <v>16895610555.68</v>
      </c>
      <c r="Q7" s="36"/>
    </row>
    <row r="8" spans="1:17">
      <c r="A8" s="29" t="s">
        <v>14</v>
      </c>
      <c r="B8" s="33">
        <v>-1.23</v>
      </c>
      <c r="D8" s="37" t="s">
        <v>14</v>
      </c>
      <c r="E8" s="38"/>
      <c r="F8" s="41">
        <v>-0.95</v>
      </c>
      <c r="G8" s="42"/>
      <c r="H8" s="34" t="s">
        <v>17</v>
      </c>
      <c r="I8" s="34"/>
      <c r="J8" s="34">
        <v>-1.6</v>
      </c>
      <c r="K8" s="34"/>
      <c r="L8" s="29" t="s">
        <v>17</v>
      </c>
      <c r="M8" s="34">
        <v>-2.06</v>
      </c>
      <c r="N8" s="34"/>
      <c r="O8" s="29" t="s">
        <v>17</v>
      </c>
      <c r="P8" s="34">
        <v>-2.33</v>
      </c>
      <c r="Q8" s="34"/>
    </row>
    <row r="10" spans="1:17">
      <c r="A10" s="55" t="s">
        <v>118</v>
      </c>
      <c r="B10" s="57"/>
    </row>
    <row r="11" spans="1:17">
      <c r="A11" s="94" t="s">
        <v>21</v>
      </c>
      <c r="B11" s="95">
        <v>4000</v>
      </c>
    </row>
    <row r="12" spans="1:17">
      <c r="A12" s="94" t="s">
        <v>22</v>
      </c>
      <c r="B12" s="96">
        <v>1000</v>
      </c>
    </row>
    <row r="13" spans="1:17">
      <c r="A13" s="94" t="s">
        <v>23</v>
      </c>
      <c r="B13" s="95">
        <v>2399.98974609375</v>
      </c>
    </row>
    <row r="14" spans="1:17">
      <c r="A14" s="94" t="s">
        <v>24</v>
      </c>
      <c r="B14" s="95">
        <v>378.951904296875</v>
      </c>
    </row>
    <row r="15" spans="1:17">
      <c r="A15" s="94" t="s">
        <v>25</v>
      </c>
      <c r="B15" s="95">
        <v>3240.955810546875</v>
      </c>
    </row>
    <row r="16" spans="1:17">
      <c r="A16" s="98" t="s">
        <v>119</v>
      </c>
      <c r="B16" s="99"/>
    </row>
    <row r="17" spans="1:2">
      <c r="A17" s="94" t="s">
        <v>26</v>
      </c>
      <c r="B17" s="95">
        <f>B7*B11^B8</f>
        <v>128.49195415402173</v>
      </c>
    </row>
    <row r="18" spans="1:2">
      <c r="A18" s="94" t="s">
        <v>27</v>
      </c>
      <c r="B18" s="95">
        <f>F7*B12^F8</f>
        <v>98.558889026648757</v>
      </c>
    </row>
    <row r="19" spans="1:2">
      <c r="A19" s="94" t="s">
        <v>28</v>
      </c>
      <c r="B19" s="95">
        <f>J7*B13^J8</f>
        <v>244.6361970422291</v>
      </c>
    </row>
    <row r="20" spans="1:2">
      <c r="A20" s="94" t="s">
        <v>29</v>
      </c>
      <c r="B20" s="95">
        <f>M7*B14^M8</f>
        <v>95.090532435396341</v>
      </c>
    </row>
    <row r="21" spans="1:2">
      <c r="A21" s="94" t="s">
        <v>30</v>
      </c>
      <c r="B21" s="95">
        <f>P7*B15^P8</f>
        <v>111.662036711919</v>
      </c>
    </row>
    <row r="22" spans="1:2">
      <c r="A22" s="98" t="s">
        <v>120</v>
      </c>
      <c r="B22" s="99"/>
    </row>
    <row r="23" spans="1:2">
      <c r="A23" s="94" t="s">
        <v>32</v>
      </c>
      <c r="B23" s="97">
        <f>(B11-B5)*B17</f>
        <v>415799.96364241431</v>
      </c>
    </row>
    <row r="24" spans="1:2">
      <c r="A24" s="94" t="s">
        <v>33</v>
      </c>
      <c r="B24" s="97">
        <f>(B12-F5)*B18</f>
        <v>81212.524557958575</v>
      </c>
    </row>
    <row r="25" spans="1:2">
      <c r="A25" s="94" t="s">
        <v>34</v>
      </c>
      <c r="B25" s="97">
        <f>(B13-J5)*B19</f>
        <v>366951.78708671383</v>
      </c>
    </row>
    <row r="26" spans="1:2">
      <c r="A26" s="94" t="s">
        <v>35</v>
      </c>
      <c r="B26" s="97">
        <f>(B14-M5)*B20</f>
        <v>17492.084522094916</v>
      </c>
    </row>
    <row r="27" spans="1:2">
      <c r="A27" s="94" t="s">
        <v>31</v>
      </c>
      <c r="B27" s="97">
        <f>(B15-P5)*B21</f>
        <v>155316.9587819422</v>
      </c>
    </row>
    <row r="28" spans="1:2">
      <c r="A28" s="3"/>
      <c r="B28" s="5"/>
    </row>
    <row r="29" spans="1:2">
      <c r="A29" s="3" t="s">
        <v>20</v>
      </c>
      <c r="B29" s="5">
        <f>SUM(B23:B27)</f>
        <v>1036773.3185911239</v>
      </c>
    </row>
    <row r="33" spans="1:4">
      <c r="A33" s="6" t="s">
        <v>36</v>
      </c>
      <c r="B33" s="6" t="s">
        <v>44</v>
      </c>
      <c r="C33" s="29"/>
      <c r="D33" s="6" t="s">
        <v>45</v>
      </c>
    </row>
    <row r="34" spans="1:4">
      <c r="A34" s="6" t="s">
        <v>37</v>
      </c>
      <c r="B34" s="6">
        <f>B11</f>
        <v>4000</v>
      </c>
      <c r="C34" s="6"/>
      <c r="D34" s="6">
        <v>764</v>
      </c>
    </row>
    <row r="35" spans="1:4">
      <c r="A35" s="6" t="s">
        <v>38</v>
      </c>
      <c r="B35" s="6">
        <f t="shared" ref="B35:B38" si="0">B12</f>
        <v>1000</v>
      </c>
      <c r="C35" s="7" t="s">
        <v>46</v>
      </c>
      <c r="D35" s="6">
        <v>176</v>
      </c>
    </row>
    <row r="36" spans="1:4">
      <c r="A36" s="6" t="s">
        <v>39</v>
      </c>
      <c r="B36" s="6">
        <f t="shared" si="0"/>
        <v>2399.98974609375</v>
      </c>
      <c r="C36" s="7" t="s">
        <v>46</v>
      </c>
      <c r="D36" s="6">
        <v>900</v>
      </c>
    </row>
    <row r="37" spans="1:4">
      <c r="A37" s="6" t="s">
        <v>40</v>
      </c>
      <c r="B37" s="6">
        <f t="shared" si="0"/>
        <v>378.951904296875</v>
      </c>
      <c r="C37" s="7" t="s">
        <v>46</v>
      </c>
      <c r="D37" s="6">
        <v>195</v>
      </c>
    </row>
    <row r="38" spans="1:4">
      <c r="A38" s="6" t="s">
        <v>41</v>
      </c>
      <c r="B38" s="6">
        <f t="shared" si="0"/>
        <v>3240.955810546875</v>
      </c>
      <c r="C38" s="7" t="s">
        <v>46</v>
      </c>
      <c r="D38" s="6">
        <v>1850</v>
      </c>
    </row>
    <row r="39" spans="1:4">
      <c r="A39" s="6" t="s">
        <v>42</v>
      </c>
      <c r="B39" s="6">
        <f>B17+B18+B19</f>
        <v>471.68704022289955</v>
      </c>
      <c r="C39" s="7" t="s">
        <v>46</v>
      </c>
      <c r="D39" s="6">
        <v>600</v>
      </c>
    </row>
    <row r="40" spans="1:4">
      <c r="A40" s="6" t="s">
        <v>43</v>
      </c>
      <c r="B40" s="6">
        <f>B20+B21</f>
        <v>206.75256914731534</v>
      </c>
      <c r="C40" s="7" t="s">
        <v>47</v>
      </c>
      <c r="D40" s="6">
        <v>250</v>
      </c>
    </row>
    <row r="41" spans="1:4">
      <c r="A41" s="6" t="s">
        <v>37</v>
      </c>
      <c r="B41" s="8">
        <f>B11</f>
        <v>4000</v>
      </c>
      <c r="C41" s="7" t="s">
        <v>47</v>
      </c>
      <c r="D41" s="6">
        <v>4000</v>
      </c>
    </row>
    <row r="42" spans="1:4">
      <c r="A42" s="6" t="s">
        <v>38</v>
      </c>
      <c r="B42" s="6">
        <f>B12</f>
        <v>1000</v>
      </c>
      <c r="C42" s="7" t="s">
        <v>47</v>
      </c>
      <c r="D42" s="6">
        <v>1000</v>
      </c>
    </row>
    <row r="43" spans="1:4">
      <c r="A43" s="6" t="s">
        <v>39</v>
      </c>
      <c r="B43" s="8">
        <f>B13</f>
        <v>2399.98974609375</v>
      </c>
      <c r="C43" s="7" t="s">
        <v>47</v>
      </c>
      <c r="D43" s="9">
        <v>2500</v>
      </c>
    </row>
    <row r="44" spans="1:4">
      <c r="A44" s="6" t="s">
        <v>40</v>
      </c>
      <c r="B44" s="8">
        <f>B14</f>
        <v>378.951904296875</v>
      </c>
      <c r="C44" s="7" t="s">
        <v>47</v>
      </c>
      <c r="D44" s="9">
        <v>400</v>
      </c>
    </row>
    <row r="45" spans="1:4">
      <c r="A45" s="6" t="s">
        <v>41</v>
      </c>
      <c r="B45" s="8">
        <f>B15</f>
        <v>3240.955810546875</v>
      </c>
      <c r="C45" s="7" t="s">
        <v>47</v>
      </c>
      <c r="D45" s="9">
        <v>3500</v>
      </c>
    </row>
    <row r="46" spans="1:4">
      <c r="C46" s="7" t="s">
        <v>47</v>
      </c>
    </row>
  </sheetData>
  <mergeCells count="32">
    <mergeCell ref="B1:I2"/>
    <mergeCell ref="A10:B10"/>
    <mergeCell ref="A16:B16"/>
    <mergeCell ref="A22:B22"/>
    <mergeCell ref="D7:E7"/>
    <mergeCell ref="D8:E8"/>
    <mergeCell ref="F7:G7"/>
    <mergeCell ref="F8:G8"/>
    <mergeCell ref="H4:K4"/>
    <mergeCell ref="H6:K6"/>
    <mergeCell ref="O4:Q4"/>
    <mergeCell ref="A6:B6"/>
    <mergeCell ref="A4:B4"/>
    <mergeCell ref="D4:G4"/>
    <mergeCell ref="D6:G6"/>
    <mergeCell ref="D5:E5"/>
    <mergeCell ref="F5:G5"/>
    <mergeCell ref="L4:N4"/>
    <mergeCell ref="J7:K7"/>
    <mergeCell ref="J8:K8"/>
    <mergeCell ref="J5:K5"/>
    <mergeCell ref="H8:I8"/>
    <mergeCell ref="H7:I7"/>
    <mergeCell ref="H5:I5"/>
    <mergeCell ref="O6:Q6"/>
    <mergeCell ref="P5:Q5"/>
    <mergeCell ref="P7:Q7"/>
    <mergeCell ref="P8:Q8"/>
    <mergeCell ref="M5:N5"/>
    <mergeCell ref="M7:N7"/>
    <mergeCell ref="M8:N8"/>
    <mergeCell ref="L6:N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CF88-032A-42B7-B7C0-F9AECABE64A3}">
  <dimension ref="A1:B15"/>
  <sheetViews>
    <sheetView workbookViewId="0"/>
  </sheetViews>
  <sheetFormatPr defaultRowHeight="14.5"/>
  <sheetData>
    <row r="1" spans="1:2">
      <c r="A1">
        <v>1</v>
      </c>
    </row>
    <row r="2" spans="1:2">
      <c r="A2" t="s">
        <v>48</v>
      </c>
    </row>
    <row r="3" spans="1:2">
      <c r="A3">
        <v>1</v>
      </c>
    </row>
    <row r="4" spans="1:2">
      <c r="A4">
        <v>500</v>
      </c>
    </row>
    <row r="5" spans="1:2">
      <c r="A5">
        <v>5000</v>
      </c>
    </row>
    <row r="6" spans="1:2">
      <c r="A6">
        <v>100</v>
      </c>
    </row>
    <row r="8" spans="1:2">
      <c r="A8" s="10"/>
      <c r="B8" s="10"/>
    </row>
    <row r="9" spans="1:2">
      <c r="A9" t="s">
        <v>49</v>
      </c>
    </row>
    <row r="10" spans="1:2">
      <c r="A10" t="s">
        <v>50</v>
      </c>
    </row>
    <row r="15" spans="1:2">
      <c r="B1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9E1D-D17C-4AF4-90C0-563F199147A4}">
  <dimension ref="A1:Q50"/>
  <sheetViews>
    <sheetView zoomScale="70" zoomScaleNormal="70" workbookViewId="0">
      <selection activeCell="Z19" sqref="Z19"/>
    </sheetView>
  </sheetViews>
  <sheetFormatPr defaultRowHeight="14.5"/>
  <cols>
    <col min="12" max="12" width="10.36328125" bestFit="1" customWidth="1"/>
  </cols>
  <sheetData>
    <row r="1" spans="1:14">
      <c r="A1" s="11" t="s">
        <v>51</v>
      </c>
      <c r="N1" s="18" t="str">
        <f>CONCATENATE("Sensitivity of ",$N$4," to ","Input")</f>
        <v>Sensitivity of $B$28 to Input</v>
      </c>
    </row>
    <row r="3" spans="1:14">
      <c r="A3" t="s">
        <v>52</v>
      </c>
      <c r="N3" t="s">
        <v>64</v>
      </c>
    </row>
    <row r="4" spans="1:14" ht="32.5"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61</v>
      </c>
      <c r="K4" s="12" t="s">
        <v>62</v>
      </c>
      <c r="L4" s="12" t="s">
        <v>63</v>
      </c>
      <c r="M4" s="18">
        <f>MATCH($N$4,OutputAddresses,0)</f>
        <v>11</v>
      </c>
      <c r="N4" s="17" t="s">
        <v>63</v>
      </c>
    </row>
    <row r="5" spans="1:14">
      <c r="A5" s="4">
        <v>500</v>
      </c>
      <c r="B5" s="19" t="s">
        <v>65</v>
      </c>
      <c r="C5" s="13"/>
      <c r="D5" s="13"/>
      <c r="E5" s="13"/>
      <c r="F5" s="13"/>
      <c r="G5" s="13"/>
      <c r="H5" s="13"/>
      <c r="I5" s="13"/>
      <c r="J5" s="13"/>
      <c r="K5" s="13"/>
      <c r="L5" s="14"/>
      <c r="N5">
        <f>INDEX(OutputValues,1,$M$4)</f>
        <v>0</v>
      </c>
    </row>
    <row r="6" spans="1:14">
      <c r="A6" s="4">
        <v>600</v>
      </c>
      <c r="B6" s="20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6"/>
      <c r="N6">
        <f>INDEX(OutputValues,2,$M$4)</f>
        <v>0</v>
      </c>
    </row>
    <row r="7" spans="1:14">
      <c r="A7" s="4">
        <v>700</v>
      </c>
      <c r="B7" s="20" t="s">
        <v>65</v>
      </c>
      <c r="C7" s="15"/>
      <c r="D7" s="15"/>
      <c r="E7" s="15"/>
      <c r="F7" s="15"/>
      <c r="G7" s="15"/>
      <c r="H7" s="15"/>
      <c r="I7" s="15"/>
      <c r="J7" s="15"/>
      <c r="K7" s="15"/>
      <c r="L7" s="16"/>
      <c r="N7">
        <f>INDEX(OutputValues,3,$M$4)</f>
        <v>0</v>
      </c>
    </row>
    <row r="8" spans="1:14">
      <c r="A8" s="4">
        <v>800</v>
      </c>
      <c r="B8" s="20" t="s">
        <v>65</v>
      </c>
      <c r="C8" s="15"/>
      <c r="D8" s="15"/>
      <c r="E8" s="15"/>
      <c r="F8" s="15"/>
      <c r="G8" s="15"/>
      <c r="H8" s="15"/>
      <c r="I8" s="15"/>
      <c r="J8" s="15"/>
      <c r="K8" s="15"/>
      <c r="L8" s="16"/>
      <c r="N8">
        <f>INDEX(OutputValues,4,$M$4)</f>
        <v>0</v>
      </c>
    </row>
    <row r="9" spans="1:14">
      <c r="A9" s="4">
        <v>900</v>
      </c>
      <c r="B9" s="20" t="s">
        <v>65</v>
      </c>
      <c r="C9" s="15"/>
      <c r="D9" s="15"/>
      <c r="E9" s="15"/>
      <c r="F9" s="15"/>
      <c r="G9" s="15"/>
      <c r="H9" s="15"/>
      <c r="I9" s="15"/>
      <c r="J9" s="15"/>
      <c r="K9" s="15"/>
      <c r="L9" s="16"/>
      <c r="N9">
        <f>INDEX(OutputValues,5,$M$4)</f>
        <v>0</v>
      </c>
    </row>
    <row r="10" spans="1:14">
      <c r="A10" s="4">
        <v>1000</v>
      </c>
      <c r="B10" s="20" t="s">
        <v>65</v>
      </c>
      <c r="C10" s="15"/>
      <c r="D10" s="15"/>
      <c r="E10" s="15"/>
      <c r="F10" s="15"/>
      <c r="G10" s="15"/>
      <c r="H10" s="15"/>
      <c r="I10" s="15"/>
      <c r="J10" s="15"/>
      <c r="K10" s="15"/>
      <c r="L10" s="16"/>
      <c r="N10">
        <f>INDEX(OutputValues,6,$M$4)</f>
        <v>0</v>
      </c>
    </row>
    <row r="11" spans="1:14">
      <c r="A11" s="4">
        <v>1100</v>
      </c>
      <c r="B11" s="20" t="s">
        <v>65</v>
      </c>
      <c r="C11" s="15"/>
      <c r="D11" s="15"/>
      <c r="E11" s="15"/>
      <c r="F11" s="15"/>
      <c r="G11" s="15"/>
      <c r="H11" s="15"/>
      <c r="I11" s="15"/>
      <c r="J11" s="15"/>
      <c r="K11" s="15"/>
      <c r="L11" s="16"/>
      <c r="N11">
        <f>INDEX(OutputValues,7,$M$4)</f>
        <v>0</v>
      </c>
    </row>
    <row r="12" spans="1:14">
      <c r="A12" s="4">
        <v>1200</v>
      </c>
      <c r="B12" s="20" t="s">
        <v>65</v>
      </c>
      <c r="C12" s="15"/>
      <c r="D12" s="15"/>
      <c r="E12" s="15"/>
      <c r="F12" s="15"/>
      <c r="G12" s="15"/>
      <c r="H12" s="15"/>
      <c r="I12" s="15"/>
      <c r="J12" s="15"/>
      <c r="K12" s="15"/>
      <c r="L12" s="16"/>
      <c r="N12">
        <f>INDEX(OutputValues,8,$M$4)</f>
        <v>0</v>
      </c>
    </row>
    <row r="13" spans="1:14">
      <c r="A13" s="4">
        <v>1300</v>
      </c>
      <c r="B13" s="20" t="s">
        <v>65</v>
      </c>
      <c r="C13" s="15"/>
      <c r="D13" s="15"/>
      <c r="E13" s="15"/>
      <c r="F13" s="15"/>
      <c r="G13" s="15"/>
      <c r="H13" s="15"/>
      <c r="I13" s="15"/>
      <c r="J13" s="15"/>
      <c r="K13" s="15"/>
      <c r="L13" s="16"/>
      <c r="N13">
        <f>INDEX(OutputValues,9,$M$4)</f>
        <v>0</v>
      </c>
    </row>
    <row r="14" spans="1:14">
      <c r="A14" s="4">
        <v>1400</v>
      </c>
      <c r="B14" s="20" t="s">
        <v>65</v>
      </c>
      <c r="C14" s="15"/>
      <c r="D14" s="15"/>
      <c r="E14" s="15"/>
      <c r="F14" s="15"/>
      <c r="G14" s="15"/>
      <c r="H14" s="15"/>
      <c r="I14" s="15"/>
      <c r="J14" s="15"/>
      <c r="K14" s="15"/>
      <c r="L14" s="16"/>
      <c r="N14">
        <f>INDEX(OutputValues,10,$M$4)</f>
        <v>0</v>
      </c>
    </row>
    <row r="15" spans="1:14">
      <c r="A15" s="4">
        <v>1500</v>
      </c>
      <c r="B15" s="20" t="s">
        <v>65</v>
      </c>
      <c r="C15" s="15"/>
      <c r="D15" s="15"/>
      <c r="E15" s="15"/>
      <c r="F15" s="15"/>
      <c r="G15" s="15"/>
      <c r="H15" s="15"/>
      <c r="I15" s="15"/>
      <c r="J15" s="15"/>
      <c r="K15" s="15"/>
      <c r="L15" s="16"/>
      <c r="N15">
        <f>INDEX(OutputValues,11,$M$4)</f>
        <v>0</v>
      </c>
    </row>
    <row r="16" spans="1:14">
      <c r="A16" s="4">
        <v>1600</v>
      </c>
      <c r="B16" s="20" t="s">
        <v>65</v>
      </c>
      <c r="C16" s="15"/>
      <c r="D16" s="15"/>
      <c r="E16" s="15"/>
      <c r="F16" s="15"/>
      <c r="G16" s="15"/>
      <c r="H16" s="15"/>
      <c r="I16" s="15"/>
      <c r="J16" s="15"/>
      <c r="K16" s="15"/>
      <c r="L16" s="16"/>
      <c r="N16">
        <f>INDEX(OutputValues,12,$M$4)</f>
        <v>0</v>
      </c>
    </row>
    <row r="17" spans="1:17">
      <c r="A17" s="4">
        <v>1700</v>
      </c>
      <c r="B17" s="20" t="s">
        <v>65</v>
      </c>
      <c r="C17" s="15"/>
      <c r="D17" s="15"/>
      <c r="E17" s="15"/>
      <c r="F17" s="15"/>
      <c r="G17" s="15"/>
      <c r="H17" s="15"/>
      <c r="I17" s="15"/>
      <c r="J17" s="15"/>
      <c r="K17" s="15"/>
      <c r="L17" s="16"/>
      <c r="N17">
        <f>INDEX(OutputValues,13,$M$4)</f>
        <v>0</v>
      </c>
    </row>
    <row r="18" spans="1:17">
      <c r="A18" s="4">
        <v>1800</v>
      </c>
      <c r="B18" s="20" t="s">
        <v>65</v>
      </c>
      <c r="C18" s="15"/>
      <c r="D18" s="15"/>
      <c r="E18" s="15"/>
      <c r="F18" s="15"/>
      <c r="G18" s="15"/>
      <c r="H18" s="15"/>
      <c r="I18" s="15"/>
      <c r="J18" s="15"/>
      <c r="K18" s="15"/>
      <c r="L18" s="16"/>
      <c r="N18">
        <f>INDEX(OutputValues,14,$M$4)</f>
        <v>0</v>
      </c>
    </row>
    <row r="19" spans="1:17">
      <c r="A19" s="4">
        <v>1900</v>
      </c>
      <c r="B19" s="20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6"/>
      <c r="N19">
        <f>INDEX(OutputValues,15,$M$4)</f>
        <v>0</v>
      </c>
    </row>
    <row r="20" spans="1:17">
      <c r="A20" s="4">
        <v>2000</v>
      </c>
      <c r="B20" s="20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6"/>
      <c r="N20">
        <f>INDEX(OutputValues,16,$M$4)</f>
        <v>0</v>
      </c>
    </row>
    <row r="21" spans="1:17">
      <c r="A21" s="4">
        <v>2100</v>
      </c>
      <c r="B21" s="20" t="s">
        <v>65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  <c r="N21">
        <f>INDEX(OutputValues,17,$M$4)</f>
        <v>0</v>
      </c>
    </row>
    <row r="22" spans="1:17">
      <c r="A22" s="4">
        <v>2200</v>
      </c>
      <c r="B22" s="20" t="s">
        <v>65</v>
      </c>
      <c r="C22" s="15"/>
      <c r="D22" s="15"/>
      <c r="E22" s="15"/>
      <c r="F22" s="15"/>
      <c r="G22" s="15"/>
      <c r="H22" s="15"/>
      <c r="I22" s="15"/>
      <c r="J22" s="15"/>
      <c r="K22" s="15"/>
      <c r="L22" s="16"/>
      <c r="N22">
        <f>INDEX(OutputValues,18,$M$4)</f>
        <v>0</v>
      </c>
    </row>
    <row r="23" spans="1:17">
      <c r="A23" s="4">
        <v>2300</v>
      </c>
      <c r="B23" s="20" t="s">
        <v>65</v>
      </c>
      <c r="C23" s="15"/>
      <c r="D23" s="15"/>
      <c r="E23" s="15"/>
      <c r="F23" s="15"/>
      <c r="G23" s="15"/>
      <c r="H23" s="15"/>
      <c r="I23" s="15"/>
      <c r="J23" s="15"/>
      <c r="K23" s="15"/>
      <c r="L23" s="16"/>
      <c r="N23">
        <f>INDEX(OutputValues,19,$M$4)</f>
        <v>0</v>
      </c>
    </row>
    <row r="24" spans="1:17">
      <c r="A24" s="4">
        <v>2400</v>
      </c>
      <c r="B24" s="20" t="s">
        <v>65</v>
      </c>
      <c r="C24" s="15"/>
      <c r="D24" s="15"/>
      <c r="E24" s="15"/>
      <c r="F24" s="15"/>
      <c r="G24" s="15"/>
      <c r="H24" s="15"/>
      <c r="I24" s="15"/>
      <c r="J24" s="15"/>
      <c r="K24" s="15"/>
      <c r="L24" s="16"/>
      <c r="N24">
        <f>INDEX(OutputValues,20,$M$4)</f>
        <v>0</v>
      </c>
    </row>
    <row r="25" spans="1:17">
      <c r="A25" s="4">
        <v>2500</v>
      </c>
      <c r="B25" s="20" t="s">
        <v>65</v>
      </c>
      <c r="C25" s="15"/>
      <c r="D25" s="15"/>
      <c r="E25" s="15"/>
      <c r="F25" s="15"/>
      <c r="G25" s="15"/>
      <c r="H25" s="15"/>
      <c r="I25" s="15"/>
      <c r="J25" s="15"/>
      <c r="K25" s="15"/>
      <c r="L25" s="16"/>
      <c r="N25">
        <f>INDEX(OutputValues,21,$M$4)</f>
        <v>0</v>
      </c>
    </row>
    <row r="26" spans="1:17">
      <c r="A26" s="4">
        <v>2600</v>
      </c>
      <c r="B26" s="20" t="s">
        <v>65</v>
      </c>
      <c r="C26" s="15"/>
      <c r="D26" s="15"/>
      <c r="E26" s="15"/>
      <c r="F26" s="15"/>
      <c r="G26" s="15"/>
      <c r="H26" s="15"/>
      <c r="I26" s="15"/>
      <c r="J26" s="15"/>
      <c r="K26" s="15"/>
      <c r="L26" s="16"/>
      <c r="N26">
        <f>INDEX(OutputValues,22,$M$4)</f>
        <v>0</v>
      </c>
    </row>
    <row r="27" spans="1:17">
      <c r="A27" s="4">
        <v>2700</v>
      </c>
      <c r="B27" s="20" t="s">
        <v>65</v>
      </c>
      <c r="C27" s="15"/>
      <c r="D27" s="15"/>
      <c r="E27" s="15"/>
      <c r="F27" s="15"/>
      <c r="G27" s="15"/>
      <c r="H27" s="15"/>
      <c r="I27" s="15"/>
      <c r="J27" s="15"/>
      <c r="K27" s="15"/>
      <c r="L27" s="16"/>
      <c r="N27">
        <f>INDEX(OutputValues,23,$M$4)</f>
        <v>0</v>
      </c>
    </row>
    <row r="28" spans="1:17">
      <c r="A28" s="4">
        <v>2800</v>
      </c>
      <c r="B28" s="21">
        <v>4000</v>
      </c>
      <c r="C28" s="22">
        <v>1000</v>
      </c>
      <c r="D28" s="23">
        <v>2399.9999982516301</v>
      </c>
      <c r="E28" s="23">
        <v>383.06063681536773</v>
      </c>
      <c r="F28" s="23">
        <v>2800</v>
      </c>
      <c r="G28" s="23">
        <v>128.49195415402173</v>
      </c>
      <c r="H28" s="23">
        <v>98.558889026648757</v>
      </c>
      <c r="I28" s="23">
        <v>244.63452501175996</v>
      </c>
      <c r="J28" s="23">
        <v>93.001383273040346</v>
      </c>
      <c r="K28" s="23">
        <v>156.99856303231917</v>
      </c>
      <c r="L28" s="24">
        <v>1030602.81</v>
      </c>
      <c r="N28">
        <f>INDEX(OutputValues,24,$M$4)</f>
        <v>1030602.81</v>
      </c>
      <c r="Q28" t="s">
        <v>67</v>
      </c>
    </row>
    <row r="29" spans="1:17">
      <c r="A29" s="4">
        <v>2900</v>
      </c>
      <c r="B29" s="21">
        <v>4000</v>
      </c>
      <c r="C29" s="22">
        <v>1000</v>
      </c>
      <c r="D29" s="23">
        <v>2399.8493155600891</v>
      </c>
      <c r="E29" s="23">
        <v>378.89642507388714</v>
      </c>
      <c r="F29" s="23">
        <v>2900</v>
      </c>
      <c r="G29" s="23">
        <v>128.49195415402173</v>
      </c>
      <c r="H29" s="23">
        <v>98.558889026648757</v>
      </c>
      <c r="I29" s="23">
        <v>244.65910181016673</v>
      </c>
      <c r="J29" s="23">
        <v>95.119216986886414</v>
      </c>
      <c r="K29" s="23">
        <v>144.67268956244183</v>
      </c>
      <c r="L29" s="24">
        <v>1033362.68</v>
      </c>
      <c r="N29">
        <f>INDEX(OutputValues,25,$M$4)</f>
        <v>1033362.68</v>
      </c>
    </row>
    <row r="30" spans="1:17">
      <c r="A30" s="4">
        <v>3000</v>
      </c>
      <c r="B30" s="21">
        <v>4000</v>
      </c>
      <c r="C30" s="22">
        <v>1000</v>
      </c>
      <c r="D30" s="23">
        <v>2400.0054015132428</v>
      </c>
      <c r="E30" s="23">
        <v>378.95433507009807</v>
      </c>
      <c r="F30" s="23">
        <v>3000</v>
      </c>
      <c r="G30" s="23">
        <v>128.49195415402173</v>
      </c>
      <c r="H30" s="23">
        <v>98.558889026648757</v>
      </c>
      <c r="I30" s="23">
        <v>244.6336437981131</v>
      </c>
      <c r="J30" s="23">
        <v>95.089275940910198</v>
      </c>
      <c r="K30" s="23">
        <v>133.68459570253654</v>
      </c>
      <c r="L30" s="24">
        <v>1035193.64</v>
      </c>
      <c r="N30">
        <f>INDEX(OutputValues,26,$M$4)</f>
        <v>1035193.64</v>
      </c>
    </row>
    <row r="31" spans="1:17">
      <c r="A31" s="4">
        <v>3100</v>
      </c>
      <c r="B31" s="21">
        <v>4000</v>
      </c>
      <c r="C31" s="22">
        <v>1000</v>
      </c>
      <c r="D31" s="23">
        <v>2400.0052137557263</v>
      </c>
      <c r="E31" s="23">
        <v>378.95419479492364</v>
      </c>
      <c r="F31" s="23">
        <v>3100</v>
      </c>
      <c r="G31" s="23">
        <v>128.49195415402173</v>
      </c>
      <c r="H31" s="23">
        <v>98.558889026648757</v>
      </c>
      <c r="I31" s="23">
        <v>244.63367441925075</v>
      </c>
      <c r="J31" s="23">
        <v>95.08934845008217</v>
      </c>
      <c r="K31" s="23">
        <v>123.85146378789921</v>
      </c>
      <c r="L31" s="24">
        <v>1036270.69</v>
      </c>
      <c r="N31">
        <f>INDEX(OutputValues,27,$M$4)</f>
        <v>1036270.69</v>
      </c>
    </row>
    <row r="32" spans="1:17">
      <c r="A32" s="4">
        <v>3200</v>
      </c>
      <c r="B32" s="21">
        <v>4000</v>
      </c>
      <c r="C32" s="22">
        <v>1000</v>
      </c>
      <c r="D32" s="23">
        <v>2400.0069351218895</v>
      </c>
      <c r="E32" s="23">
        <v>378.95569835174666</v>
      </c>
      <c r="F32" s="23">
        <v>3200</v>
      </c>
      <c r="G32" s="23">
        <v>128.49195415402173</v>
      </c>
      <c r="H32" s="23">
        <v>98.558889026648757</v>
      </c>
      <c r="I32" s="23">
        <v>244.63339368403626</v>
      </c>
      <c r="J32" s="23">
        <v>95.088571255825329</v>
      </c>
      <c r="K32" s="23">
        <v>115.02028542769307</v>
      </c>
      <c r="L32" s="24">
        <v>1036733.75</v>
      </c>
      <c r="N32">
        <f>INDEX(OutputValues,28,$M$4)</f>
        <v>1036733.75</v>
      </c>
    </row>
    <row r="33" spans="1:14">
      <c r="A33" s="4">
        <v>3300</v>
      </c>
      <c r="B33" s="21">
        <v>4000</v>
      </c>
      <c r="C33" s="22">
        <v>1000</v>
      </c>
      <c r="D33" s="23">
        <v>2399.98974609375</v>
      </c>
      <c r="E33" s="23">
        <v>378.951904296875</v>
      </c>
      <c r="F33" s="23">
        <v>3240.955810546875</v>
      </c>
      <c r="G33" s="23">
        <v>128.49195415402173</v>
      </c>
      <c r="H33" s="23">
        <v>98.558889026648757</v>
      </c>
      <c r="I33" s="23">
        <v>244.6361970422291</v>
      </c>
      <c r="J33" s="23">
        <v>95.090532435396341</v>
      </c>
      <c r="K33" s="23">
        <v>111.662036711919</v>
      </c>
      <c r="L33" s="24">
        <v>1036773.32</v>
      </c>
      <c r="N33">
        <f>INDEX(OutputValues,29,$M$4)</f>
        <v>1036773.32</v>
      </c>
    </row>
    <row r="34" spans="1:14">
      <c r="A34" s="4">
        <v>3400</v>
      </c>
      <c r="B34" s="21">
        <v>4000</v>
      </c>
      <c r="C34" s="22">
        <v>1000</v>
      </c>
      <c r="D34" s="23">
        <v>2399.98974609375</v>
      </c>
      <c r="E34" s="23">
        <v>378.951904296875</v>
      </c>
      <c r="F34" s="23">
        <v>3240.955810546875</v>
      </c>
      <c r="G34" s="23">
        <v>128.49195415402173</v>
      </c>
      <c r="H34" s="23">
        <v>98.558889026648757</v>
      </c>
      <c r="I34" s="23">
        <v>244.6361970422291</v>
      </c>
      <c r="J34" s="23">
        <v>95.090532435396341</v>
      </c>
      <c r="K34" s="23">
        <v>111.662036711919</v>
      </c>
      <c r="L34" s="24">
        <v>1036773.32</v>
      </c>
      <c r="N34">
        <f>INDEX(OutputValues,30,$M$4)</f>
        <v>1036773.32</v>
      </c>
    </row>
    <row r="35" spans="1:14">
      <c r="A35" s="4">
        <v>3500</v>
      </c>
      <c r="B35" s="21">
        <v>4000</v>
      </c>
      <c r="C35" s="22">
        <v>1000</v>
      </c>
      <c r="D35" s="23">
        <v>2399.98974609375</v>
      </c>
      <c r="E35" s="23">
        <v>378.951904296875</v>
      </c>
      <c r="F35" s="23">
        <v>3240.955810546875</v>
      </c>
      <c r="G35" s="23">
        <v>128.49195415402173</v>
      </c>
      <c r="H35" s="23">
        <v>98.558889026648757</v>
      </c>
      <c r="I35" s="23">
        <v>244.6361970422291</v>
      </c>
      <c r="J35" s="23">
        <v>95.090532435396341</v>
      </c>
      <c r="K35" s="23">
        <v>111.662036711919</v>
      </c>
      <c r="L35" s="24">
        <v>1036773.32</v>
      </c>
      <c r="N35">
        <f>INDEX(OutputValues,31,$M$4)</f>
        <v>1036773.32</v>
      </c>
    </row>
    <row r="36" spans="1:14">
      <c r="A36" s="4">
        <v>3600</v>
      </c>
      <c r="B36" s="21">
        <v>4000</v>
      </c>
      <c r="C36" s="22">
        <v>1000</v>
      </c>
      <c r="D36" s="23">
        <v>2399.98974609375</v>
      </c>
      <c r="E36" s="23">
        <v>378.951904296875</v>
      </c>
      <c r="F36" s="23">
        <v>3240.955810546875</v>
      </c>
      <c r="G36" s="23">
        <v>128.49195415402173</v>
      </c>
      <c r="H36" s="23">
        <v>98.558889026648757</v>
      </c>
      <c r="I36" s="23">
        <v>244.6361970422291</v>
      </c>
      <c r="J36" s="23">
        <v>95.090532435396341</v>
      </c>
      <c r="K36" s="23">
        <v>111.662036711919</v>
      </c>
      <c r="L36" s="24">
        <v>1036773.32</v>
      </c>
      <c r="N36">
        <f>INDEX(OutputValues,32,$M$4)</f>
        <v>1036773.32</v>
      </c>
    </row>
    <row r="37" spans="1:14">
      <c r="A37" s="4">
        <v>3700</v>
      </c>
      <c r="B37" s="21">
        <v>4000</v>
      </c>
      <c r="C37" s="22">
        <v>1000</v>
      </c>
      <c r="D37" s="23">
        <v>2399.98974609375</v>
      </c>
      <c r="E37" s="23">
        <v>378.951904296875</v>
      </c>
      <c r="F37" s="23">
        <v>3240.955810546875</v>
      </c>
      <c r="G37" s="23">
        <v>128.49195415402173</v>
      </c>
      <c r="H37" s="23">
        <v>98.558889026648757</v>
      </c>
      <c r="I37" s="23">
        <v>244.6361970422291</v>
      </c>
      <c r="J37" s="23">
        <v>95.090532435396341</v>
      </c>
      <c r="K37" s="23">
        <v>111.662036711919</v>
      </c>
      <c r="L37" s="24">
        <v>1036773.32</v>
      </c>
      <c r="N37">
        <f>INDEX(OutputValues,33,$M$4)</f>
        <v>1036773.32</v>
      </c>
    </row>
    <row r="38" spans="1:14">
      <c r="A38" s="4">
        <v>3800</v>
      </c>
      <c r="B38" s="21">
        <v>4000</v>
      </c>
      <c r="C38" s="22">
        <v>1000</v>
      </c>
      <c r="D38" s="23">
        <v>2399.98974609375</v>
      </c>
      <c r="E38" s="23">
        <v>378.951904296875</v>
      </c>
      <c r="F38" s="23">
        <v>3240.955810546875</v>
      </c>
      <c r="G38" s="23">
        <v>128.49195415402173</v>
      </c>
      <c r="H38" s="23">
        <v>98.558889026648757</v>
      </c>
      <c r="I38" s="23">
        <v>244.6361970422291</v>
      </c>
      <c r="J38" s="23">
        <v>95.090532435396341</v>
      </c>
      <c r="K38" s="23">
        <v>111.662036711919</v>
      </c>
      <c r="L38" s="24">
        <v>1036773.32</v>
      </c>
      <c r="N38">
        <f>INDEX(OutputValues,34,$M$4)</f>
        <v>1036773.32</v>
      </c>
    </row>
    <row r="39" spans="1:14">
      <c r="A39" s="4">
        <v>3900</v>
      </c>
      <c r="B39" s="21">
        <v>4000</v>
      </c>
      <c r="C39" s="22">
        <v>1000</v>
      </c>
      <c r="D39" s="23">
        <v>2399.98974609375</v>
      </c>
      <c r="E39" s="23">
        <v>378.951904296875</v>
      </c>
      <c r="F39" s="23">
        <v>3240.955810546875</v>
      </c>
      <c r="G39" s="23">
        <v>128.49195415402173</v>
      </c>
      <c r="H39" s="23">
        <v>98.558889026648757</v>
      </c>
      <c r="I39" s="23">
        <v>244.6361970422291</v>
      </c>
      <c r="J39" s="23">
        <v>95.090532435396341</v>
      </c>
      <c r="K39" s="23">
        <v>111.662036711919</v>
      </c>
      <c r="L39" s="24">
        <v>1036773.32</v>
      </c>
      <c r="N39">
        <f>INDEX(OutputValues,35,$M$4)</f>
        <v>1036773.32</v>
      </c>
    </row>
    <row r="40" spans="1:14">
      <c r="A40" s="4">
        <v>4000</v>
      </c>
      <c r="B40" s="21">
        <v>4000</v>
      </c>
      <c r="C40" s="22">
        <v>1000</v>
      </c>
      <c r="D40" s="23">
        <v>2399.98974609375</v>
      </c>
      <c r="E40" s="23">
        <v>378.951904296875</v>
      </c>
      <c r="F40" s="23">
        <v>3240.955810546875</v>
      </c>
      <c r="G40" s="23">
        <v>128.49195415402173</v>
      </c>
      <c r="H40" s="23">
        <v>98.558889026648757</v>
      </c>
      <c r="I40" s="23">
        <v>244.6361970422291</v>
      </c>
      <c r="J40" s="23">
        <v>95.090532435396341</v>
      </c>
      <c r="K40" s="23">
        <v>111.662036711919</v>
      </c>
      <c r="L40" s="24">
        <v>1036773.32</v>
      </c>
      <c r="N40">
        <f>INDEX(OutputValues,36,$M$4)</f>
        <v>1036773.32</v>
      </c>
    </row>
    <row r="41" spans="1:14">
      <c r="A41" s="4">
        <v>4100</v>
      </c>
      <c r="B41" s="21">
        <v>4000</v>
      </c>
      <c r="C41" s="22">
        <v>1000</v>
      </c>
      <c r="D41" s="23">
        <v>2399.98974609375</v>
      </c>
      <c r="E41" s="23">
        <v>378.951904296875</v>
      </c>
      <c r="F41" s="23">
        <v>3240.955810546875</v>
      </c>
      <c r="G41" s="23">
        <v>128.49195415402173</v>
      </c>
      <c r="H41" s="23">
        <v>98.558889026648757</v>
      </c>
      <c r="I41" s="23">
        <v>244.6361970422291</v>
      </c>
      <c r="J41" s="23">
        <v>95.090532435396341</v>
      </c>
      <c r="K41" s="23">
        <v>111.662036711919</v>
      </c>
      <c r="L41" s="24">
        <v>1036773.32</v>
      </c>
      <c r="N41">
        <f>INDEX(OutputValues,37,$M$4)</f>
        <v>1036773.32</v>
      </c>
    </row>
    <row r="42" spans="1:14">
      <c r="A42" s="4">
        <v>4200</v>
      </c>
      <c r="B42" s="21">
        <v>4000</v>
      </c>
      <c r="C42" s="22">
        <v>1000</v>
      </c>
      <c r="D42" s="23">
        <v>2399.98974609375</v>
      </c>
      <c r="E42" s="23">
        <v>378.951904296875</v>
      </c>
      <c r="F42" s="23">
        <v>3240.955810546875</v>
      </c>
      <c r="G42" s="23">
        <v>128.49195415402173</v>
      </c>
      <c r="H42" s="23">
        <v>98.558889026648757</v>
      </c>
      <c r="I42" s="23">
        <v>244.6361970422291</v>
      </c>
      <c r="J42" s="23">
        <v>95.090532435396341</v>
      </c>
      <c r="K42" s="23">
        <v>111.662036711919</v>
      </c>
      <c r="L42" s="24">
        <v>1036773.32</v>
      </c>
      <c r="N42">
        <f>INDEX(OutputValues,38,$M$4)</f>
        <v>1036773.32</v>
      </c>
    </row>
    <row r="43" spans="1:14">
      <c r="A43" s="4">
        <v>4300</v>
      </c>
      <c r="B43" s="21">
        <v>4000</v>
      </c>
      <c r="C43" s="22">
        <v>1000</v>
      </c>
      <c r="D43" s="23">
        <v>2399.98974609375</v>
      </c>
      <c r="E43" s="23">
        <v>378.951904296875</v>
      </c>
      <c r="F43" s="23">
        <v>3240.955810546875</v>
      </c>
      <c r="G43" s="23">
        <v>128.49195415402173</v>
      </c>
      <c r="H43" s="23">
        <v>98.558889026648757</v>
      </c>
      <c r="I43" s="23">
        <v>244.6361970422291</v>
      </c>
      <c r="J43" s="23">
        <v>95.090532435396341</v>
      </c>
      <c r="K43" s="23">
        <v>111.662036711919</v>
      </c>
      <c r="L43" s="24">
        <v>1036773.32</v>
      </c>
      <c r="N43">
        <f>INDEX(OutputValues,39,$M$4)</f>
        <v>1036773.32</v>
      </c>
    </row>
    <row r="44" spans="1:14">
      <c r="A44" s="4">
        <v>4400</v>
      </c>
      <c r="B44" s="21">
        <v>4000</v>
      </c>
      <c r="C44" s="22">
        <v>1000</v>
      </c>
      <c r="D44" s="23">
        <v>2399.98974609375</v>
      </c>
      <c r="E44" s="23">
        <v>378.951904296875</v>
      </c>
      <c r="F44" s="23">
        <v>3240.955810546875</v>
      </c>
      <c r="G44" s="23">
        <v>128.49195415402173</v>
      </c>
      <c r="H44" s="23">
        <v>98.558889026648757</v>
      </c>
      <c r="I44" s="23">
        <v>244.6361970422291</v>
      </c>
      <c r="J44" s="23">
        <v>95.090532435396341</v>
      </c>
      <c r="K44" s="23">
        <v>111.662036711919</v>
      </c>
      <c r="L44" s="24">
        <v>1036773.32</v>
      </c>
      <c r="N44">
        <f>INDEX(OutputValues,40,$M$4)</f>
        <v>1036773.32</v>
      </c>
    </row>
    <row r="45" spans="1:14">
      <c r="A45" s="4">
        <v>4500</v>
      </c>
      <c r="B45" s="21">
        <v>4000</v>
      </c>
      <c r="C45" s="22">
        <v>1000</v>
      </c>
      <c r="D45" s="23">
        <v>2399.98974609375</v>
      </c>
      <c r="E45" s="23">
        <v>378.951904296875</v>
      </c>
      <c r="F45" s="23">
        <v>3240.955810546875</v>
      </c>
      <c r="G45" s="23">
        <v>128.49195415402173</v>
      </c>
      <c r="H45" s="23">
        <v>98.558889026648757</v>
      </c>
      <c r="I45" s="23">
        <v>244.6361970422291</v>
      </c>
      <c r="J45" s="23">
        <v>95.090532435396341</v>
      </c>
      <c r="K45" s="23">
        <v>111.662036711919</v>
      </c>
      <c r="L45" s="24">
        <v>1036773.32</v>
      </c>
      <c r="N45">
        <f>INDEX(OutputValues,41,$M$4)</f>
        <v>1036773.32</v>
      </c>
    </row>
    <row r="46" spans="1:14">
      <c r="A46" s="4">
        <v>4600</v>
      </c>
      <c r="B46" s="21">
        <v>4000</v>
      </c>
      <c r="C46" s="22">
        <v>1000</v>
      </c>
      <c r="D46" s="23">
        <v>2399.98974609375</v>
      </c>
      <c r="E46" s="23">
        <v>378.951904296875</v>
      </c>
      <c r="F46" s="23">
        <v>3240.955810546875</v>
      </c>
      <c r="G46" s="23">
        <v>128.49195415402173</v>
      </c>
      <c r="H46" s="23">
        <v>98.558889026648757</v>
      </c>
      <c r="I46" s="23">
        <v>244.6361970422291</v>
      </c>
      <c r="J46" s="23">
        <v>95.090532435396341</v>
      </c>
      <c r="K46" s="23">
        <v>111.662036711919</v>
      </c>
      <c r="L46" s="24">
        <v>1036773.32</v>
      </c>
      <c r="N46">
        <f>INDEX(OutputValues,42,$M$4)</f>
        <v>1036773.32</v>
      </c>
    </row>
    <row r="47" spans="1:14">
      <c r="A47" s="4">
        <v>4700</v>
      </c>
      <c r="B47" s="21">
        <v>4000</v>
      </c>
      <c r="C47" s="22">
        <v>1000</v>
      </c>
      <c r="D47" s="23">
        <v>2399.98974609375</v>
      </c>
      <c r="E47" s="23">
        <v>378.951904296875</v>
      </c>
      <c r="F47" s="23">
        <v>3240.955810546875</v>
      </c>
      <c r="G47" s="23">
        <v>128.49195415402173</v>
      </c>
      <c r="H47" s="23">
        <v>98.558889026648757</v>
      </c>
      <c r="I47" s="23">
        <v>244.6361970422291</v>
      </c>
      <c r="J47" s="23">
        <v>95.090532435396341</v>
      </c>
      <c r="K47" s="23">
        <v>111.662036711919</v>
      </c>
      <c r="L47" s="24">
        <v>1036773.32</v>
      </c>
      <c r="N47">
        <f>INDEX(OutputValues,43,$M$4)</f>
        <v>1036773.32</v>
      </c>
    </row>
    <row r="48" spans="1:14">
      <c r="A48" s="4">
        <v>4800</v>
      </c>
      <c r="B48" s="21">
        <v>4000</v>
      </c>
      <c r="C48" s="22">
        <v>1000</v>
      </c>
      <c r="D48" s="23">
        <v>2399.98974609375</v>
      </c>
      <c r="E48" s="23">
        <v>378.951904296875</v>
      </c>
      <c r="F48" s="23">
        <v>3240.955810546875</v>
      </c>
      <c r="G48" s="23">
        <v>128.49195415402173</v>
      </c>
      <c r="H48" s="23">
        <v>98.558889026648757</v>
      </c>
      <c r="I48" s="23">
        <v>244.6361970422291</v>
      </c>
      <c r="J48" s="23">
        <v>95.090532435396341</v>
      </c>
      <c r="K48" s="23">
        <v>111.662036711919</v>
      </c>
      <c r="L48" s="24">
        <v>1036773.32</v>
      </c>
      <c r="N48">
        <f>INDEX(OutputValues,44,$M$4)</f>
        <v>1036773.32</v>
      </c>
    </row>
    <row r="49" spans="1:14">
      <c r="A49" s="4">
        <v>4900</v>
      </c>
      <c r="B49" s="21">
        <v>4000</v>
      </c>
      <c r="C49" s="22">
        <v>1000</v>
      </c>
      <c r="D49" s="23">
        <v>2399.98974609375</v>
      </c>
      <c r="E49" s="23">
        <v>378.951904296875</v>
      </c>
      <c r="F49" s="23">
        <v>3240.955810546875</v>
      </c>
      <c r="G49" s="23">
        <v>128.49195415402173</v>
      </c>
      <c r="H49" s="23">
        <v>98.558889026648757</v>
      </c>
      <c r="I49" s="23">
        <v>244.6361970422291</v>
      </c>
      <c r="J49" s="23">
        <v>95.090532435396341</v>
      </c>
      <c r="K49" s="23">
        <v>111.662036711919</v>
      </c>
      <c r="L49" s="24">
        <v>1036773.32</v>
      </c>
      <c r="N49">
        <f>INDEX(OutputValues,45,$M$4)</f>
        <v>1036773.32</v>
      </c>
    </row>
    <row r="50" spans="1:14">
      <c r="A50" s="4">
        <v>5000</v>
      </c>
      <c r="B50" s="25">
        <v>4000</v>
      </c>
      <c r="C50" s="26">
        <v>1000</v>
      </c>
      <c r="D50" s="27">
        <v>2399.98974609375</v>
      </c>
      <c r="E50" s="27">
        <v>378.951904296875</v>
      </c>
      <c r="F50" s="27">
        <v>3240.955810546875</v>
      </c>
      <c r="G50" s="27">
        <v>128.49195415402173</v>
      </c>
      <c r="H50" s="27">
        <v>98.558889026648757</v>
      </c>
      <c r="I50" s="27">
        <v>244.6361970422291</v>
      </c>
      <c r="J50" s="27">
        <v>95.090532435396341</v>
      </c>
      <c r="K50" s="27">
        <v>111.662036711919</v>
      </c>
      <c r="L50" s="28">
        <v>1036773.32</v>
      </c>
      <c r="N50">
        <f>INDEX(OutputValues,46,$M$4)</f>
        <v>1036773.32</v>
      </c>
    </row>
  </sheetData>
  <dataValidations count="1">
    <dataValidation type="list" allowBlank="1" showInputMessage="1" showErrorMessage="1" sqref="N4" xr:uid="{282869D1-8B2E-44CE-97C0-04AAD584230B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Demand</vt:lpstr>
      <vt:lpstr>LP Model</vt:lpstr>
      <vt:lpstr>Solver</vt:lpstr>
      <vt:lpstr>Analysis</vt:lpstr>
      <vt:lpstr>Analysis!ChartData</vt:lpstr>
      <vt:lpstr>Analysis!InputValues</vt:lpstr>
      <vt:lpstr>Analysis!OutputAddresses</vt:lpstr>
      <vt:lpstr>Analysis!OutputValues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2015-06-05T18:17:20Z</dcterms:created>
  <dcterms:modified xsi:type="dcterms:W3CDTF">2023-03-13T06:25:51Z</dcterms:modified>
</cp:coreProperties>
</file>