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Bonds" state="visible" r:id="rId4"/>
  </sheets>
  <calcPr calcId="171027"/>
</workbook>
</file>

<file path=xl/sharedStrings.xml><?xml version="1.0" encoding="utf-8"?>
<sst xmlns="http://schemas.openxmlformats.org/spreadsheetml/2006/main" count="2350" uniqueCount="638">
  <si>
    <t>Ticker type</t>
  </si>
  <si>
    <t>Ticker</t>
  </si>
  <si>
    <t>Name</t>
  </si>
  <si>
    <t>Theme</t>
  </si>
  <si>
    <t>Jurisdiction</t>
  </si>
  <si>
    <t>Jurisdiction type</t>
  </si>
  <si>
    <t>Issuer</t>
  </si>
  <si>
    <t>Issuer type</t>
  </si>
  <si>
    <t>Bond Currency</t>
  </si>
  <si>
    <t>Volume in Bond Currency</t>
  </si>
  <si>
    <t>Volume in USD</t>
  </si>
  <si>
    <t>Issuance date</t>
  </si>
  <si>
    <t>Maturity date</t>
  </si>
  <si>
    <t>Link to Bond</t>
  </si>
  <si>
    <t>Link to Program</t>
  </si>
  <si>
    <t>Link to Framework</t>
  </si>
  <si>
    <t>ISIN</t>
  </si>
  <si>
    <t>PAL3009913F1</t>
  </si>
  <si>
    <t>CIFI Serie F</t>
  </si>
  <si>
    <t>Panama</t>
  </si>
  <si>
    <t>country</t>
  </si>
  <si>
    <t>Corporación Interamericana para el Financiamiento de Infraestructura (CIFI)</t>
  </si>
  <si>
    <t>Financial Corporate</t>
  </si>
  <si>
    <t>USD</t>
  </si>
  <si>
    <t/>
  </si>
  <si>
    <t>NFB-2-N1C-23</t>
  </si>
  <si>
    <t>Bono Verde BDP I - Emisión I: Serie C</t>
  </si>
  <si>
    <t>green</t>
  </si>
  <si>
    <t>Bolivia</t>
  </si>
  <si>
    <t>Banco de Desarrollo Productivo- S.A.M</t>
  </si>
  <si>
    <t>Development Bank</t>
  </si>
  <si>
    <t>BOB</t>
  </si>
  <si>
    <t>US058942AA15</t>
  </si>
  <si>
    <t>Sicredi Green Bond</t>
  </si>
  <si>
    <t>Brazil</t>
  </si>
  <si>
    <t>Banco Cooperativo Sicredi S.A.</t>
  </si>
  <si>
    <t>PEP11100M336</t>
  </si>
  <si>
    <t>Bono Verde COFIDE</t>
  </si>
  <si>
    <t>Peru</t>
  </si>
  <si>
    <t>Cofide</t>
  </si>
  <si>
    <t>PEN</t>
  </si>
  <si>
    <t>WREL#1 Note D</t>
  </si>
  <si>
    <t>Barbados</t>
  </si>
  <si>
    <t>Williams Caribbean Capital</t>
  </si>
  <si>
    <t>Non-Financial Corporate</t>
  </si>
  <si>
    <t>BBD</t>
  </si>
  <si>
    <t>BRBEVELFNAX0</t>
  </si>
  <si>
    <t>LF série 2</t>
  </si>
  <si>
    <t>Banco BV S.A.</t>
  </si>
  <si>
    <t>BRL</t>
  </si>
  <si>
    <t>XS2577780021</t>
  </si>
  <si>
    <t>Second Blue Bond</t>
  </si>
  <si>
    <t>blue</t>
  </si>
  <si>
    <t>Supranational</t>
  </si>
  <si>
    <t>supranational</t>
  </si>
  <si>
    <t>Central American Bank for Economic Integration (CABEI)</t>
  </si>
  <si>
    <t>JPY</t>
  </si>
  <si>
    <t>ARZUAM560013</t>
  </si>
  <si>
    <t>ZUAMAR S.A - BONO VERDE ON SERIE I</t>
  </si>
  <si>
    <t>Argentina</t>
  </si>
  <si>
    <t>ZUAMAR S.A.</t>
  </si>
  <si>
    <t>ARS</t>
  </si>
  <si>
    <t>US168863DN50</t>
  </si>
  <si>
    <t>Chile - USD 2032</t>
  </si>
  <si>
    <t>Chile</t>
  </si>
  <si>
    <t>Ministry of Finance of the Republic of Chile</t>
  </si>
  <si>
    <t>Sovereign</t>
  </si>
  <si>
    <t>ARCPMA560017</t>
  </si>
  <si>
    <t>Clase I</t>
  </si>
  <si>
    <t>CP Los Olivos y CP Manque</t>
  </si>
  <si>
    <t>MXCDBA0300A2</t>
  </si>
  <si>
    <t>Bancomext Senior Notes 21x</t>
  </si>
  <si>
    <t>sustainability</t>
  </si>
  <si>
    <t>Mexico</t>
  </si>
  <si>
    <t>Bancomext</t>
  </si>
  <si>
    <t>MXN</t>
  </si>
  <si>
    <t>USP14623AC98</t>
  </si>
  <si>
    <t>Banco Nacional de Costa Rica 2021</t>
  </si>
  <si>
    <t>Costa Rica</t>
  </si>
  <si>
    <t>Banco Nacional de Costa Rica</t>
  </si>
  <si>
    <t>US05973JAA88</t>
  </si>
  <si>
    <t>BANCOMEXT Sustainable Tier2 10NC5</t>
  </si>
  <si>
    <t>ARLUZT560039</t>
  </si>
  <si>
    <t>Luz de Tres Picos - clase 3</t>
  </si>
  <si>
    <t>Luz de Tres Picos</t>
  </si>
  <si>
    <t>MX90GC040026</t>
  </si>
  <si>
    <t>GCDMXCB 18V</t>
  </si>
  <si>
    <t>Gobierno de la Ciudad de México</t>
  </si>
  <si>
    <t>Local government</t>
  </si>
  <si>
    <t>NFB-2-N1B-23</t>
  </si>
  <si>
    <t>Bono Verde BDP I - Emisión I: Serie B</t>
  </si>
  <si>
    <t>WREL#1 Note F</t>
  </si>
  <si>
    <t>CH1191066278</t>
  </si>
  <si>
    <t>Second Swiss Green Bond</t>
  </si>
  <si>
    <t>CHF</t>
  </si>
  <si>
    <t>NFB-2-N1A-23</t>
  </si>
  <si>
    <t>Bono Verde BDP I - Emisión I: Seria A</t>
  </si>
  <si>
    <t>BROMGEDBS051</t>
  </si>
  <si>
    <t>OMGE22</t>
  </si>
  <si>
    <t>Omega Energia</t>
  </si>
  <si>
    <t>XS2327851874</t>
  </si>
  <si>
    <t>Chile - USD 2053</t>
  </si>
  <si>
    <t>BRNEOEDBS047</t>
  </si>
  <si>
    <t>Neoenergia - 6ª emissão de debêntures</t>
  </si>
  <si>
    <t>Grupo Neoenergia</t>
  </si>
  <si>
    <t>PEP50420M017</t>
  </si>
  <si>
    <t>Green Bond Protisa Perú, CMPC</t>
  </si>
  <si>
    <t>PROTISA Perú</t>
  </si>
  <si>
    <t>BRATAMDBS010</t>
  </si>
  <si>
    <t>Attend Ambiental 2026</t>
  </si>
  <si>
    <t>Attend Ambiental S.A.</t>
  </si>
  <si>
    <t>BRRANIDBS023</t>
  </si>
  <si>
    <t>Irani Green Bond 2025</t>
  </si>
  <si>
    <t>Irani Papel e Embalagem S.A.</t>
  </si>
  <si>
    <t>WREL#1_C</t>
  </si>
  <si>
    <t>WREL#1 Note C</t>
  </si>
  <si>
    <t>US30315XAB01</t>
  </si>
  <si>
    <t>1st Green Bond FS</t>
  </si>
  <si>
    <t>FS Agribusiness</t>
  </si>
  <si>
    <t>BRITMGDBS028</t>
  </si>
  <si>
    <t>Green Bond Rio Energy Itarema Wind Complex</t>
  </si>
  <si>
    <t>Rio Energy Participações</t>
  </si>
  <si>
    <t>MXCDBA0300B0</t>
  </si>
  <si>
    <t>Bancomext Senior Notes 21 2x</t>
  </si>
  <si>
    <t>BRSMTODBS013</t>
  </si>
  <si>
    <t>4ª Emissão de Debêntures - 1ª Série - São Martinho</t>
  </si>
  <si>
    <t>São Martinho</t>
  </si>
  <si>
    <t>COB07CB00587</t>
  </si>
  <si>
    <t>Bancolombia Bono Verde 1</t>
  </si>
  <si>
    <t>Colombia</t>
  </si>
  <si>
    <t>Grupo Bancolombia</t>
  </si>
  <si>
    <t>COP</t>
  </si>
  <si>
    <t>DO2020300110</t>
  </si>
  <si>
    <t>Emisión 1 del Fideicomiso de Oferta Pública de Valores Larimar I No. 04 – FP</t>
  </si>
  <si>
    <t>Dominican Republic</t>
  </si>
  <si>
    <t>EGE Haina, S.A</t>
  </si>
  <si>
    <t>BRJTEEDBS010</t>
  </si>
  <si>
    <t>Segunda Emissão Janaúba</t>
  </si>
  <si>
    <t>TAESA</t>
  </si>
  <si>
    <t>BRVERTCRA2X9</t>
  </si>
  <si>
    <t>CRA ComBio Green Bond 2030</t>
  </si>
  <si>
    <t>ComBio Energia</t>
  </si>
  <si>
    <t>PR_PL_ATHON</t>
  </si>
  <si>
    <t>Athon Geração Distribuída Green Bond</t>
  </si>
  <si>
    <t>Grupo Athon</t>
  </si>
  <si>
    <t>PAL3009913C8</t>
  </si>
  <si>
    <t>CIFI Serie C</t>
  </si>
  <si>
    <t>BRGAIACRA0G3</t>
  </si>
  <si>
    <t>CRA FS Bioenergia</t>
  </si>
  <si>
    <t>Opea Capital Plataforma de securitização</t>
  </si>
  <si>
    <t>ARPAMP5600C6</t>
  </si>
  <si>
    <t>Pampa Energía - ON Clase 8</t>
  </si>
  <si>
    <t>Pampa Energía</t>
  </si>
  <si>
    <t>PAL3009913I5</t>
  </si>
  <si>
    <t>CIFI Serie I</t>
  </si>
  <si>
    <t>BRRSANDBS048</t>
  </si>
  <si>
    <t>Título Sustentável Rio Grande do Sul 1</t>
  </si>
  <si>
    <t>COMPANHIA RIOGRANDENSE DE SANEAMENTO - CORSAN</t>
  </si>
  <si>
    <t>COE15CB00287</t>
  </si>
  <si>
    <t>Tramo 14 Serie A9</t>
  </si>
  <si>
    <t>ISA - Interconexión Eléctrica S.A. E.S.P.</t>
  </si>
  <si>
    <t>BR0CM4CTF004</t>
  </si>
  <si>
    <t>GREEN SOLFACIL IV FIDC</t>
  </si>
  <si>
    <t>SOLFÁCIL ENERGIA SOLAR TECNOLOGIA E SERVIÇOS FINANCEIROS LTDA.</t>
  </si>
  <si>
    <t>BRTSMMDBS009</t>
  </si>
  <si>
    <t>TSM - Transmissora Serra da Mantiqueira S.A.</t>
  </si>
  <si>
    <t>TSM Transmissora Serra da Mantiqueira SA</t>
  </si>
  <si>
    <t>BRVERTCRA2K6</t>
  </si>
  <si>
    <t>CRA ComBio Green Bond 2028</t>
  </si>
  <si>
    <t>BRTRPLDBS071</t>
  </si>
  <si>
    <t>ISA CTEEP - 7ª Emissão</t>
  </si>
  <si>
    <t>CTEEP - Companhia de Transmissão de Energia Elétrica Paulista</t>
  </si>
  <si>
    <t>BRAPCSCRI606</t>
  </si>
  <si>
    <t>CRI H2energy</t>
  </si>
  <si>
    <t>H2energy Consultoria, Soluções e Instalações Fotovoltaicas Ltda</t>
  </si>
  <si>
    <t>XS2264186524</t>
  </si>
  <si>
    <t>BTG Pactual Green Bond- Private Placement</t>
  </si>
  <si>
    <t>BTG Pactual</t>
  </si>
  <si>
    <t>MXCDBA0300G9</t>
  </si>
  <si>
    <t>Bancomext Senior Notes 23x</t>
  </si>
  <si>
    <t>MXCDBA0300F1</t>
  </si>
  <si>
    <t>Bancomext Senior Notes 22x</t>
  </si>
  <si>
    <t>BRVERTCRA286</t>
  </si>
  <si>
    <t>CRA TEREOS</t>
  </si>
  <si>
    <t>VERT Companhia Securitizadora</t>
  </si>
  <si>
    <t>USP2867KAL00</t>
  </si>
  <si>
    <t>COLBUN 2032</t>
  </si>
  <si>
    <t>Colbún</t>
  </si>
  <si>
    <t>ARPETQ560069</t>
  </si>
  <si>
    <t>PCR - Class 2</t>
  </si>
  <si>
    <t>Petroquimica Comodoro Rivadavia</t>
  </si>
  <si>
    <t>BDMGBZ</t>
  </si>
  <si>
    <t>BDMG Sustainable Bond</t>
  </si>
  <si>
    <t>BDMG</t>
  </si>
  <si>
    <t>BRECOACRA1I9</t>
  </si>
  <si>
    <t>Suzano CRA Verde 2016</t>
  </si>
  <si>
    <t>Suzano Papel e Celulose</t>
  </si>
  <si>
    <t>BRHITCDBS001</t>
  </si>
  <si>
    <t>Debêntures 12.431 - Central Hidrelétrica Palmeiras do Tocantins</t>
  </si>
  <si>
    <t>ZX Participações S.A</t>
  </si>
  <si>
    <t>BROMNGDBS011</t>
  </si>
  <si>
    <t>OMNG12</t>
  </si>
  <si>
    <t>MX95FE040186</t>
  </si>
  <si>
    <t>FEFA 18V</t>
  </si>
  <si>
    <t>Fondo Especial para Financiamientos Agropecuarios (FEFA)</t>
  </si>
  <si>
    <t>BRTAEEDBS0I1</t>
  </si>
  <si>
    <t>Oitava Emissão de Debêntures da Taesa</t>
  </si>
  <si>
    <t>COB07CB00611</t>
  </si>
  <si>
    <t>Bancolombia Bono Sostenible</t>
  </si>
  <si>
    <t>MXCDNA0R0060</t>
  </si>
  <si>
    <t>NAFF 21X</t>
  </si>
  <si>
    <t>Nafin</t>
  </si>
  <si>
    <t>COB63CB00440</t>
  </si>
  <si>
    <t>Finandina Serie A Subserie A36</t>
  </si>
  <si>
    <t>Banco Finandina BIC</t>
  </si>
  <si>
    <t>BRTAEEDBS0R2</t>
  </si>
  <si>
    <t>3ª série Decima Segunda Emissão Taesa</t>
  </si>
  <si>
    <t>PAL3009913E4</t>
  </si>
  <si>
    <t>CIFI Serie E</t>
  </si>
  <si>
    <t>MX95FE0401J4</t>
  </si>
  <si>
    <t>FEFA 19V</t>
  </si>
  <si>
    <t>PR_PL_Nicefield</t>
  </si>
  <si>
    <t>Campo Palomas</t>
  </si>
  <si>
    <t>Uruguay</t>
  </si>
  <si>
    <t>Invenergy</t>
  </si>
  <si>
    <t>CL0002521988</t>
  </si>
  <si>
    <t>BAGUA-AE</t>
  </si>
  <si>
    <t>Aguas Andinas</t>
  </si>
  <si>
    <t>CLF</t>
  </si>
  <si>
    <t>COB01CB00135</t>
  </si>
  <si>
    <t>Primera Emisión Bono Verde Banco de Bogotá</t>
  </si>
  <si>
    <t>Banco de Bogotá</t>
  </si>
  <si>
    <t>XS2081543204</t>
  </si>
  <si>
    <t>CAF EUR BENCHMARK 7Y</t>
  </si>
  <si>
    <t>CAF - Banco de Desarrollo de America Latina</t>
  </si>
  <si>
    <t>EUR</t>
  </si>
  <si>
    <t>31572UAF3</t>
  </si>
  <si>
    <t>Fibria Green Bond 2027</t>
  </si>
  <si>
    <t>BR0A0LCTF006</t>
  </si>
  <si>
    <t>GREEN SOLFACIL II FIDC</t>
  </si>
  <si>
    <t>PAL3014421C5</t>
  </si>
  <si>
    <t>Serie C</t>
  </si>
  <si>
    <t>Banco Promerica de Costa Rica</t>
  </si>
  <si>
    <t>CRA021000GR</t>
  </si>
  <si>
    <t>CRA Produzindo Certo</t>
  </si>
  <si>
    <t>BRANEMDBS007</t>
  </si>
  <si>
    <t>ANEMUS 2039</t>
  </si>
  <si>
    <t>Anemus Wind Holding S.A.</t>
  </si>
  <si>
    <t>US833636AL76</t>
  </si>
  <si>
    <t>SQM Green Bond 2051</t>
  </si>
  <si>
    <t>Sociedad Química y Minera de Chile S.A.</t>
  </si>
  <si>
    <t>MXCDNA0R0037</t>
  </si>
  <si>
    <t>NAFF 16V</t>
  </si>
  <si>
    <t>ARLUZT560021</t>
  </si>
  <si>
    <t>Luz de Tres Picos - Clase 2</t>
  </si>
  <si>
    <t>BRPASNDBS018</t>
  </si>
  <si>
    <t>Título Sustentável Paranaguá</t>
  </si>
  <si>
    <t>Iguá Saneamento</t>
  </si>
  <si>
    <t>CL0002435833</t>
  </si>
  <si>
    <t>BAGUA-AC</t>
  </si>
  <si>
    <t>ARLUZT560047</t>
  </si>
  <si>
    <t>Luz de Tres Picos - clase 4</t>
  </si>
  <si>
    <t>BRBEVELFN810</t>
  </si>
  <si>
    <t>LF Privada</t>
  </si>
  <si>
    <t>XS1459407026</t>
  </si>
  <si>
    <t>Uridashi "Best Effort" Green Bond</t>
  </si>
  <si>
    <t>ZAR</t>
  </si>
  <si>
    <t>XS2567239053</t>
  </si>
  <si>
    <t>First Blue Bond Japan Tranche 1</t>
  </si>
  <si>
    <t>AUD</t>
  </si>
  <si>
    <t>USP46756BA25</t>
  </si>
  <si>
    <t>Global Secured Green Bond - Series XXXI</t>
  </si>
  <si>
    <t>Genneia S.A.</t>
  </si>
  <si>
    <t>BRAPCSCRI8Y6</t>
  </si>
  <si>
    <t>Green CRI Órigo</t>
  </si>
  <si>
    <t>Albion Capital Ltda</t>
  </si>
  <si>
    <t>COB31CB00280</t>
  </si>
  <si>
    <t>BONO VERDE BANCÓLDEX</t>
  </si>
  <si>
    <t>Bancoldex</t>
  </si>
  <si>
    <t>FIGI</t>
  </si>
  <si>
    <t>BBG000GZL6P0</t>
  </si>
  <si>
    <t>Banco Pichincha Green Bond -Issue 1</t>
  </si>
  <si>
    <t>Ecuador</t>
  </si>
  <si>
    <t>Banco Pichincha SA</t>
  </si>
  <si>
    <t>PAL3009913A2</t>
  </si>
  <si>
    <t>CIFI Serie A</t>
  </si>
  <si>
    <t>BRPTMIDBS003</t>
  </si>
  <si>
    <t>PTMI11</t>
  </si>
  <si>
    <t>ARCPMA560025</t>
  </si>
  <si>
    <t>Clase II</t>
  </si>
  <si>
    <t>PAL3014421B7</t>
  </si>
  <si>
    <t>Serie B</t>
  </si>
  <si>
    <t>BRSSCFDBS006</t>
  </si>
  <si>
    <t>SOLFÁCIL SECURITIZADORA DE CRÉDITOS FINANCEIROS S.A.</t>
  </si>
  <si>
    <t>BRTAEEDBS0M3</t>
  </si>
  <si>
    <t>Decima Emissão de Debêntures da Taesa</t>
  </si>
  <si>
    <t>BRTRPLDBS0D1</t>
  </si>
  <si>
    <t>ISA CTEEP - 9ª Emissão (2ª Serie)</t>
  </si>
  <si>
    <t>USP5875NAB93</t>
  </si>
  <si>
    <t>Inversiones Latin America Power RegS Note</t>
  </si>
  <si>
    <t>Inversiones Latin America Power (ILAP)</t>
  </si>
  <si>
    <t>DO2020300227</t>
  </si>
  <si>
    <t>Emisión 2 del Fideicomiso de Oferta Pública de Valores Larimar I No. 04 – FP</t>
  </si>
  <si>
    <t>CH0553331882.</t>
  </si>
  <si>
    <t>CHF GREEN BOND BENCHMARK</t>
  </si>
  <si>
    <t>PAL3009913G9</t>
  </si>
  <si>
    <t>CIFI Serie G</t>
  </si>
  <si>
    <t>BRESB1DBS004</t>
  </si>
  <si>
    <t>E1 ENERGIA GREEN BOND</t>
  </si>
  <si>
    <t>E1 Energia, Brasil</t>
  </si>
  <si>
    <t>WREL#2_A</t>
  </si>
  <si>
    <t>XS2567238675</t>
  </si>
  <si>
    <t>First Blue Bond Japan Market Tranche 2</t>
  </si>
  <si>
    <t>US90363PAA49</t>
  </si>
  <si>
    <t>UEP Penonome II</t>
  </si>
  <si>
    <t>UEP Penonome II, S.A.</t>
  </si>
  <si>
    <t>BRIMWLCRA0N2</t>
  </si>
  <si>
    <t>Certificado de Recebimento do Agronegócio (CRA)</t>
  </si>
  <si>
    <t>SLC Agrícola S.A.</t>
  </si>
  <si>
    <t>ARAESA560032</t>
  </si>
  <si>
    <t>AES Argentina Green Bond</t>
  </si>
  <si>
    <t>AES Argentina S.A</t>
  </si>
  <si>
    <t>MX91AG050018</t>
  </si>
  <si>
    <t>AGUA 17-2x</t>
  </si>
  <si>
    <t>Grupo Rotoplas SAB</t>
  </si>
  <si>
    <t>BRTRPLDBS0E9</t>
  </si>
  <si>
    <t>ISA CTEEP - 10ª Emissão</t>
  </si>
  <si>
    <t>BRIGSNDBS044</t>
  </si>
  <si>
    <t>Título Sustentável Cuiabá</t>
  </si>
  <si>
    <t>BRSAQIDBS008</t>
  </si>
  <si>
    <t>Sabará Green Bond</t>
  </si>
  <si>
    <t>Sabará Químicos e Ingredientes S.A.</t>
  </si>
  <si>
    <t>MXCDBA0300J3</t>
  </si>
  <si>
    <t>Bancomext Senior Notes 23 4x</t>
  </si>
  <si>
    <t>BRRBRACRA1T9</t>
  </si>
  <si>
    <t>CRA Dori</t>
  </si>
  <si>
    <t>AREMGA5600P1</t>
  </si>
  <si>
    <t>Local Green Bond XXXVII</t>
  </si>
  <si>
    <t>BRTAEEDBS0P6</t>
  </si>
  <si>
    <t>1ª série Decima Segunda Emissão Taesa</t>
  </si>
  <si>
    <t>US05971AAG67</t>
  </si>
  <si>
    <t>BTG Pactual Green Bond</t>
  </si>
  <si>
    <t>COB07CB00603</t>
  </si>
  <si>
    <t>Bancolombia Bono Verde 2</t>
  </si>
  <si>
    <t>US059514AF65</t>
  </si>
  <si>
    <t>Bono Sostenible Subordinado Banco de Bogotá</t>
  </si>
  <si>
    <t>USA35155AB50</t>
  </si>
  <si>
    <t>Klabin 2049</t>
  </si>
  <si>
    <t>Klabin S.A.</t>
  </si>
  <si>
    <t>BR07S4CTF001</t>
  </si>
  <si>
    <t>Green FIDC Solar GD Órigo</t>
  </si>
  <si>
    <t>COL17CT03797</t>
  </si>
  <si>
    <t>Bono verde soberano Colombia (TES)</t>
  </si>
  <si>
    <t>Ministry of Finance of the Republic of Colombia</t>
  </si>
  <si>
    <t>BRGAFLCRA0Z3</t>
  </si>
  <si>
    <t>CRA Tabôa Fortalecimento</t>
  </si>
  <si>
    <t>Grupo Gaia</t>
  </si>
  <si>
    <t>BRTRPLDBS089</t>
  </si>
  <si>
    <t>ISA CTEEP - 8ª Emissão</t>
  </si>
  <si>
    <t>CH1231312682</t>
  </si>
  <si>
    <t>Third Swiss Green Bond</t>
  </si>
  <si>
    <t>XS2424489958</t>
  </si>
  <si>
    <t>BCI - JPY 2027</t>
  </si>
  <si>
    <t>Banco de Crédito e Inversiones</t>
  </si>
  <si>
    <t>BROMGEDBS044</t>
  </si>
  <si>
    <t>OMGE12</t>
  </si>
  <si>
    <t>BR0EGCCTF000</t>
  </si>
  <si>
    <t>GREEN SOLFACIL V FIDC</t>
  </si>
  <si>
    <t>USL5828LAB55</t>
  </si>
  <si>
    <t>Klabin 2027</t>
  </si>
  <si>
    <t>BRGAFLCRI009</t>
  </si>
  <si>
    <t>CRI MAGIK</t>
  </si>
  <si>
    <t>PR_PL_Jacinta</t>
  </si>
  <si>
    <t>La Jacinta</t>
  </si>
  <si>
    <t>US00105DAG07</t>
  </si>
  <si>
    <t>AES Gener Green Bond</t>
  </si>
  <si>
    <t>AES Andes</t>
  </si>
  <si>
    <t>PAL3009913J3</t>
  </si>
  <si>
    <t>CIFI Serie J</t>
  </si>
  <si>
    <t>CRA021000RZ</t>
  </si>
  <si>
    <t>CRA Solinftec II</t>
  </si>
  <si>
    <t>WREL#1 Note E</t>
  </si>
  <si>
    <t>MXCDBA0300I5</t>
  </si>
  <si>
    <t>Bancomext Senior Notes 23 3x</t>
  </si>
  <si>
    <t>BROCTSCRA3A5</t>
  </si>
  <si>
    <t>CRA Eucalipto</t>
  </si>
  <si>
    <t>XS2318617185</t>
  </si>
  <si>
    <t>BCI - USD 2029</t>
  </si>
  <si>
    <t>PAL3009913B0</t>
  </si>
  <si>
    <t>CIFI Serie B</t>
  </si>
  <si>
    <t>ARPLAZ560060</t>
  </si>
  <si>
    <t>Sustainable Bond ON C6</t>
  </si>
  <si>
    <t>Plaza Logística</t>
  </si>
  <si>
    <t>UVA</t>
  </si>
  <si>
    <t>BRGRBALBO021</t>
  </si>
  <si>
    <t>Primeira Emissão de CRA Verde da Usina São Francisco S/A</t>
  </si>
  <si>
    <t>Usina São Francisco S/A</t>
  </si>
  <si>
    <t>BRNITADBS003</t>
  </si>
  <si>
    <t>Neoenergia Itabapoana - 1ª Emissão de Debêntures</t>
  </si>
  <si>
    <t>BRESVHDBS002</t>
  </si>
  <si>
    <t>Eólica Serra das Vacas Holding II S.A.</t>
  </si>
  <si>
    <t>Engeform - Eólica Serra das Vacas Holding II S.A</t>
  </si>
  <si>
    <t>PAL3014421A9</t>
  </si>
  <si>
    <t>Serie A</t>
  </si>
  <si>
    <t>PR_PL_ERGONPERU</t>
  </si>
  <si>
    <t>ERGON PERÚ - BONO VERDE</t>
  </si>
  <si>
    <t>Ergon Perú S.A.C</t>
  </si>
  <si>
    <t>XS2133606637</t>
  </si>
  <si>
    <t>Banco Votorantim</t>
  </si>
  <si>
    <t>CRA019004MY</t>
  </si>
  <si>
    <t>CRA Solinftec</t>
  </si>
  <si>
    <t>CRA0200018J</t>
  </si>
  <si>
    <t>CRA Coopan</t>
  </si>
  <si>
    <t>BRTAEEDBS0Q4</t>
  </si>
  <si>
    <t>2ª série Decima Segunda Emissão Taesa</t>
  </si>
  <si>
    <t>CRBPDC0V7859</t>
  </si>
  <si>
    <t>BP010</t>
  </si>
  <si>
    <t>Banco Popular y de Desarrollo Comunal</t>
  </si>
  <si>
    <t>CRC</t>
  </si>
  <si>
    <t>BRTAEEDBS0G5</t>
  </si>
  <si>
    <t>Sexta Emissão de Debêntures da Taesa</t>
  </si>
  <si>
    <t>MXCDNA0Q00B9</t>
  </si>
  <si>
    <t>NAFR 21X</t>
  </si>
  <si>
    <t>ARLUZT560013</t>
  </si>
  <si>
    <t>Luz de Tres Picos - Clase 1</t>
  </si>
  <si>
    <t>BRSUCUDBS001</t>
  </si>
  <si>
    <t>Debêntures 12.431 - Central Hidrelétrica Sucuri</t>
  </si>
  <si>
    <t>BRERENDBS073</t>
  </si>
  <si>
    <t>Terceira Emissão De Debêntures Simples Da Eren Dracena Participações S.A.</t>
  </si>
  <si>
    <t>Total Eren</t>
  </si>
  <si>
    <t>MXCDBA0300C8</t>
  </si>
  <si>
    <t>Bancomext Senior Notes 21 3x</t>
  </si>
  <si>
    <t>BRGASFCTF006</t>
  </si>
  <si>
    <t>FIDC GREEN ANGÁ-SOLFÁCIL</t>
  </si>
  <si>
    <t>MXCDBA0300H7</t>
  </si>
  <si>
    <t>Bancomext Senior Notes 23x 2x</t>
  </si>
  <si>
    <t>ARENEY560019</t>
  </si>
  <si>
    <t>ON 360 ENERGY SOLAR CLASE 1</t>
  </si>
  <si>
    <t>360 Energy Solar S.A.</t>
  </si>
  <si>
    <t>USP58072AL66</t>
  </si>
  <si>
    <t>Green Bond CMPC 2017</t>
  </si>
  <si>
    <t>CMPC</t>
  </si>
  <si>
    <t>PR_PL_DAVIVIEND</t>
  </si>
  <si>
    <t>Green Bond 2017 - Davivienda</t>
  </si>
  <si>
    <t>Davivienda</t>
  </si>
  <si>
    <t>US168863DL94</t>
  </si>
  <si>
    <t>Chile - USD 2050</t>
  </si>
  <si>
    <t>BRSFCLDBS001</t>
  </si>
  <si>
    <t>SOLFÁCIL SECURITIZADORA DE CRÉDITOS DO AGRONEGÓCIO S.A.</t>
  </si>
  <si>
    <t>BBG0149HJGY0</t>
  </si>
  <si>
    <t>Local Green Bond - Series XXXV</t>
  </si>
  <si>
    <t>US168863DV76</t>
  </si>
  <si>
    <t>Chile - USD 2034</t>
  </si>
  <si>
    <t>CH1142512339</t>
  </si>
  <si>
    <t>BCI - CHF 2027</t>
  </si>
  <si>
    <t>BRCGEPDBS000</t>
  </si>
  <si>
    <t>Green Bond Rio Energy Serra da Babilonia Wind Complex</t>
  </si>
  <si>
    <t>MXCDBA0300D6</t>
  </si>
  <si>
    <t>Bancomext Senior Notes 22 2x</t>
  </si>
  <si>
    <t>BRTAEEDBS0H3</t>
  </si>
  <si>
    <t>Sétima Emissão de Debêntures da Taesa</t>
  </si>
  <si>
    <t>XS1843433639</t>
  </si>
  <si>
    <t>Chile -EUR 2031</t>
  </si>
  <si>
    <t>MX95FE0401P1</t>
  </si>
  <si>
    <t>FEFA 20V</t>
  </si>
  <si>
    <t>US02265WAA36</t>
  </si>
  <si>
    <t>AMAGGI Sustainability Bond</t>
  </si>
  <si>
    <t>Amaggi Luxembourg International S.a r.l.</t>
  </si>
  <si>
    <t>BRALGEDBS037</t>
  </si>
  <si>
    <t>First Climate Bond Issuance of Aliança Energia S.A.</t>
  </si>
  <si>
    <t>Aliança Geração de Energia S.A.</t>
  </si>
  <si>
    <t>BRDNBGDBS017</t>
  </si>
  <si>
    <t>Primeiro Título Verde da Diana Bioenergia-DIAN14</t>
  </si>
  <si>
    <t>Diana Bioenergia Avanhandava S.A</t>
  </si>
  <si>
    <t>PR_PL_MLP</t>
  </si>
  <si>
    <t>Mesa La Paz Green Bond</t>
  </si>
  <si>
    <t>Mesa La Paz</t>
  </si>
  <si>
    <t>XS2045838039</t>
  </si>
  <si>
    <t>CABEI´s 2019 Green Bond</t>
  </si>
  <si>
    <t>USP5R70LAA96</t>
  </si>
  <si>
    <t>ISA Interchile Bono verde</t>
  </si>
  <si>
    <t>ISA Interchile</t>
  </si>
  <si>
    <t>WREL#1_B</t>
  </si>
  <si>
    <t>WREL#1 Note B</t>
  </si>
  <si>
    <t>US46556M2A90</t>
  </si>
  <si>
    <t>Tier 2 Subordinated Sustainable Notes</t>
  </si>
  <si>
    <t>Itau-Unibanco</t>
  </si>
  <si>
    <t>CL0002564384</t>
  </si>
  <si>
    <t>BSOND-J</t>
  </si>
  <si>
    <t>SONDA SA</t>
  </si>
  <si>
    <t>US168863DW59</t>
  </si>
  <si>
    <t>Chile - USD 2052</t>
  </si>
  <si>
    <t>XS2108987517</t>
  </si>
  <si>
    <t>Chile - EUR 2040</t>
  </si>
  <si>
    <t>COB07CBBO198</t>
  </si>
  <si>
    <t>Bancolombia Bono Sostenible 2021</t>
  </si>
  <si>
    <t>BRSMTODBS005</t>
  </si>
  <si>
    <t>3ª Emissão de Debêntures - Série Única - São Martinho</t>
  </si>
  <si>
    <t>MXCDBA0300E4</t>
  </si>
  <si>
    <t>Bancomext Senior Notes 22 3x</t>
  </si>
  <si>
    <t>US629598AS28</t>
  </si>
  <si>
    <t>NAFIN Green Bond USD</t>
  </si>
  <si>
    <t>BRRBRACRI713</t>
  </si>
  <si>
    <t>CRI Credit Suisse</t>
  </si>
  <si>
    <t>PR_PL_BICE</t>
  </si>
  <si>
    <t>Bono sostenible BICE</t>
  </si>
  <si>
    <t>Banco de Inversión y Comercio Exterior</t>
  </si>
  <si>
    <t>BRDNBGDBS025</t>
  </si>
  <si>
    <t>Primeiro Título Verde da Diana Bioenergia - DIAN24</t>
  </si>
  <si>
    <t>ARENEY560027</t>
  </si>
  <si>
    <t>ON 360 ENERGY SOLAR CLASE 2</t>
  </si>
  <si>
    <t>BROMGEDBS069</t>
  </si>
  <si>
    <t>OMGE13</t>
  </si>
  <si>
    <t>CH1148308716</t>
  </si>
  <si>
    <t>First Swiss Green Bond</t>
  </si>
  <si>
    <t>COL06CB00026</t>
  </si>
  <si>
    <t>Bono Sostenible Findeter Tramo 2</t>
  </si>
  <si>
    <t>Financiera de Desarrollo Territorial S.A. Findeter</t>
  </si>
  <si>
    <t>US210314AB60</t>
  </si>
  <si>
    <t>ISA CTM</t>
  </si>
  <si>
    <t>ISA CTM - Consorcio Transmantaro S.A.</t>
  </si>
  <si>
    <t>EC0C311200A4</t>
  </si>
  <si>
    <t>Banco Guayaquil's green bond</t>
  </si>
  <si>
    <t>Banco Guayaquil</t>
  </si>
  <si>
    <t>BRECOACRA7P1</t>
  </si>
  <si>
    <t>CRA Verde XP 2021</t>
  </si>
  <si>
    <t>PR_PL_SOLARIA</t>
  </si>
  <si>
    <t>Natelu Yarnel Solar Uruguay Trust</t>
  </si>
  <si>
    <t>Solaria Energía y Medio Ambiente SA</t>
  </si>
  <si>
    <t>MX90GC040018</t>
  </si>
  <si>
    <t>GCDMXCB 17X</t>
  </si>
  <si>
    <t>CRCOOPGV0027</t>
  </si>
  <si>
    <t>Bonos verdes colones - COOPEGUANACASTE</t>
  </si>
  <si>
    <t>Coopeguanacaste, R.L.</t>
  </si>
  <si>
    <t>COE15CB00295</t>
  </si>
  <si>
    <t>Tramo 14 Serie G20</t>
  </si>
  <si>
    <t>ARMGCZ520013</t>
  </si>
  <si>
    <t>LETRAS SVS GODOY CRUZ SERIE I</t>
  </si>
  <si>
    <t>Municipalidad de Godoy Cruz</t>
  </si>
  <si>
    <t>USP14486AM92</t>
  </si>
  <si>
    <t>BNDES Green Bond 2017</t>
  </si>
  <si>
    <t>BNDES</t>
  </si>
  <si>
    <t>BBG0149HK0D6</t>
  </si>
  <si>
    <t>Local Green Bond - Series XXXVI</t>
  </si>
  <si>
    <t>WREL#1_A</t>
  </si>
  <si>
    <t>WREL#1 Note A</t>
  </si>
  <si>
    <t>USL79090AC78</t>
  </si>
  <si>
    <t>Rumo 2028</t>
  </si>
  <si>
    <t>Rumo S.A.</t>
  </si>
  <si>
    <t>BRRANIDBS031</t>
  </si>
  <si>
    <t>Irani Green Bond 2029</t>
  </si>
  <si>
    <t>PR_PL_Tealov</t>
  </si>
  <si>
    <t>Cardal</t>
  </si>
  <si>
    <t>AR0329026279</t>
  </si>
  <si>
    <t>Local Green Bond - Series XLII</t>
  </si>
  <si>
    <t>COB63CB00457</t>
  </si>
  <si>
    <t>Finandina Serie D Subserie D24</t>
  </si>
  <si>
    <t>CH1151526238</t>
  </si>
  <si>
    <t>CHF GREEN BOND BENCHMARK (2nd)</t>
  </si>
  <si>
    <t>ARYPFE5600G5</t>
  </si>
  <si>
    <t>YPF Luz Series X Bond</t>
  </si>
  <si>
    <t>YPF Luz</t>
  </si>
  <si>
    <t>US46137NAC20</t>
  </si>
  <si>
    <t>Inversiones Latin America Power 144A Note</t>
  </si>
  <si>
    <t>PR_PV_BRADESCO</t>
  </si>
  <si>
    <t>Bradesco Climate Bond - 2020</t>
  </si>
  <si>
    <t>Bradesco</t>
  </si>
  <si>
    <t>BRGCIIDBS014</t>
  </si>
  <si>
    <t>VIVENDA</t>
  </si>
  <si>
    <t>—</t>
  </si>
  <si>
    <t>PEP11100M351</t>
  </si>
  <si>
    <t>Bono Sostenible COFIDE</t>
  </si>
  <si>
    <t>ARENEY560035</t>
  </si>
  <si>
    <t>ON 360 ENERGY SOLAR CLASE 3</t>
  </si>
  <si>
    <t>US191241AJ70</t>
  </si>
  <si>
    <t>Coca-Cola FEMSA Green Bond</t>
  </si>
  <si>
    <t>Coca-Cola FEMSA</t>
  </si>
  <si>
    <t>BRMGPRDBS068</t>
  </si>
  <si>
    <t>9ª EMISSÃO DE DEBÊNTURES DA CONCESSÃO METROVIÁRIA DO RIO DE JANEIRO S.A.</t>
  </si>
  <si>
    <t>Concessão Metroviária do Rio de Janeiro S.A.</t>
  </si>
  <si>
    <t>US168863DX33</t>
  </si>
  <si>
    <t>Chile - USD 2027</t>
  </si>
  <si>
    <t>BRBEVELFNAW2</t>
  </si>
  <si>
    <t>LF serie 1</t>
  </si>
  <si>
    <t>BRRSANDBS055</t>
  </si>
  <si>
    <t>Título Sustentável Rio Grande do Sul 2</t>
  </si>
  <si>
    <t>XS2553215521</t>
  </si>
  <si>
    <t>First EUR Green Bond</t>
  </si>
  <si>
    <t>COL06CB00034</t>
  </si>
  <si>
    <t>Bono Sostenible Findeter Tramo 1</t>
  </si>
  <si>
    <t>US05674XAA90</t>
  </si>
  <si>
    <t>Suzano Papel e Celulose Green Bond 2026</t>
  </si>
  <si>
    <t>USP09110AB65</t>
  </si>
  <si>
    <t>Banco Continental Sustainable Bond</t>
  </si>
  <si>
    <t>Paraguay</t>
  </si>
  <si>
    <t>Banco Continental SAECA</t>
  </si>
  <si>
    <t>PAL3009913K1</t>
  </si>
  <si>
    <t>CIFI Serie K</t>
  </si>
  <si>
    <t>ARMUCO320161</t>
  </si>
  <si>
    <t>TITULOS DE DEUDA SERIE I - BONO VERDE -DE LA MUNICIPALIDAD DE LA CIUDAD DE CORDOBA</t>
  </si>
  <si>
    <t>Municipalidad de Córdoba</t>
  </si>
  <si>
    <t>LTTE15</t>
  </si>
  <si>
    <t>Gemini Energy - Linhas de Taubaté Transmissora de Energia S.A</t>
  </si>
  <si>
    <t>Gemini Energy S.A.</t>
  </si>
  <si>
    <t>PAL3009913D6</t>
  </si>
  <si>
    <t>CIFI Serie D</t>
  </si>
  <si>
    <t>PAL3009913H7</t>
  </si>
  <si>
    <t>CIFI Serie H</t>
  </si>
  <si>
    <t>BRTRPLDBS0G4</t>
  </si>
  <si>
    <t>ISA CTEEP - 11ª Emissão (1ª e 2ª Serie)</t>
  </si>
  <si>
    <t>BRCTGEDBS010</t>
  </si>
  <si>
    <t>COMPANHIA DE GERACAO E TRANSMISSAO DE ENERGIA ELETRICA DO SUL DO BRASIL</t>
  </si>
  <si>
    <t>CGT Eletrosul</t>
  </si>
  <si>
    <t>BBG0123NW8B5</t>
  </si>
  <si>
    <t>Local Green Bond - Series XXXII</t>
  </si>
  <si>
    <t>CRI_ATHON1</t>
  </si>
  <si>
    <t>CRI Athon ESG I</t>
  </si>
  <si>
    <t>AREMGA5600Q9</t>
  </si>
  <si>
    <t>Local Green Bond - Series XXXVIII</t>
  </si>
  <si>
    <t>BRSMTODBS021</t>
  </si>
  <si>
    <t>4ª Emissão de Debêntures - 2ª Série - São Martinho</t>
  </si>
  <si>
    <t>BR0FWRCTF044</t>
  </si>
  <si>
    <t>GREEN SOLFÁCIL III FIDC</t>
  </si>
  <si>
    <t>BRPVSCCRA013</t>
  </si>
  <si>
    <t>CRA SoluBio</t>
  </si>
  <si>
    <t>Solubio</t>
  </si>
  <si>
    <t>BRAMSCDBS018</t>
  </si>
  <si>
    <t>AMAZÔNIA SOLAR COMPANHIA SECURITIZADORA DE CRÉDITOS FINANCEIROS</t>
  </si>
  <si>
    <t>BROCTSCRA3B3</t>
  </si>
  <si>
    <t>CRA Eucalipto 2</t>
  </si>
  <si>
    <t>MX90GC040000</t>
  </si>
  <si>
    <t>GCDMXCB 16V</t>
  </si>
  <si>
    <t>CRICE00B0226</t>
  </si>
  <si>
    <t>BONOS G-3 V</t>
  </si>
  <si>
    <t>Instituto Costarricense de Electricidad</t>
  </si>
  <si>
    <t>MX91CA130053</t>
  </si>
  <si>
    <t>CADU 20V</t>
  </si>
  <si>
    <t>CADU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</si>
</sst>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 MMM YY"/>
  </numFmts>
  <fonts count="3" x14ac:knownFonts="1">
    <font>
      <color theme="1"/>
      <family val="2"/>
      <scheme val="minor"/>
      <sz val="11"/>
      <name val="Calibri"/>
    </font>
    <font>
      <u/>
      <color rgb="FF0000FF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0" xfId="0" applyFon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FormatPr defaultRowHeight="15" outlineLevelRow="0" outlineLevelCol="0" x14ac:dyDescent="55"/>
  <cols>
    <col min="1" max="1" width="12" customWidth="1"/>
    <col min="2" max="2" width="20" customWidth="1"/>
    <col min="3" max="3" width="55" customWidth="1"/>
    <col min="4" max="4" width="20" customWidth="1"/>
    <col min="5" max="5" width="13" customWidth="1"/>
    <col min="6" max="6" width="20" customWidth="1"/>
    <col min="7" max="8" width="30" customWidth="1"/>
    <col min="9" max="9" width="15" customWidth="1"/>
    <col min="10" max="11" width="23" customWidth="1"/>
    <col min="12" max="13" width="13" style="1" customWidth="1"/>
    <col min="14" max="16" width="32" style="2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t="s">
        <v>16</v>
      </c>
      <c r="B2" t="s">
        <v>17</v>
      </c>
      <c r="C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>
        <v>1000000</v>
      </c>
      <c r="K2">
        <v>1000000</v>
      </c>
      <c r="L2" s="1">
        <v>43887</v>
      </c>
      <c r="M2" s="1">
        <v>44985</v>
      </c>
      <c r="N2" s="2">
        <f>HYPERLINK("https://www.greenbondtransparency.com/bond-info/?handle=009d5aef8eb040e39ea6ab6db3788d97","PAL3009913F1")</f>
      </c>
      <c r="O2" s="2">
        <f>HYPERLINK("https://www.greenbondtransparency.com/bond-info/?handle=c8db70a600e4496aa0bdff98338e72ee","CIFI_GB")</f>
      </c>
      <c r="P2" s="2" t="s">
        <v>24</v>
      </c>
    </row>
    <row r="3" spans="1:16" x14ac:dyDescent="0.25">
      <c r="A3" t="s">
        <v>1</v>
      </c>
      <c r="B3" t="s">
        <v>25</v>
      </c>
      <c r="C3" t="s">
        <v>26</v>
      </c>
      <c r="D3" t="s">
        <v>27</v>
      </c>
      <c r="E3" t="s">
        <v>28</v>
      </c>
      <c r="F3" t="s">
        <v>20</v>
      </c>
      <c r="G3" t="s">
        <v>29</v>
      </c>
      <c r="H3" t="s">
        <v>30</v>
      </c>
      <c r="I3" t="s">
        <v>31</v>
      </c>
      <c r="J3">
        <v>46305000</v>
      </c>
      <c r="K3">
        <v>6653017</v>
      </c>
      <c r="L3" s="1">
        <v>45280</v>
      </c>
      <c r="M3" s="1">
        <v>48160</v>
      </c>
      <c r="N3" s="2">
        <f>HYPERLINK("https://www.greenbondtransparency.com/bond-info/?handle=0133ec302c0d41be9bb813367a29b518","NFB-2-N1C-23")</f>
      </c>
      <c r="O3" s="2">
        <f>HYPERLINK("https://www.greenbondtransparency.com/bond-info/?handle=22b1953e5bdd4aa58a7099a976f2ea89","Bono Verde BDP")</f>
      </c>
      <c r="P3" s="2">
        <f>HYPERLINK("https://www.greenbondtransparency.com/download-document/?entity=Framework&amp;handle=d6700b8c707544c78fa5f4e5a0b6c1e4","Marco de Uso de Fondo para la Emisión de Bonos Verdes, Sociales o Sostenibles BDP I")</f>
      </c>
    </row>
    <row r="4" spans="1:16" x14ac:dyDescent="0.25">
      <c r="A4" t="s">
        <v>16</v>
      </c>
      <c r="B4" t="s">
        <v>32</v>
      </c>
      <c r="C4" t="s">
        <v>33</v>
      </c>
      <c r="D4" t="s">
        <v>27</v>
      </c>
      <c r="E4" t="s">
        <v>34</v>
      </c>
      <c r="F4" t="s">
        <v>20</v>
      </c>
      <c r="G4" t="s">
        <v>35</v>
      </c>
      <c r="H4" t="s">
        <v>22</v>
      </c>
      <c r="I4" t="s">
        <v>23</v>
      </c>
      <c r="J4">
        <v>100000000</v>
      </c>
      <c r="K4">
        <v>100000000</v>
      </c>
      <c r="L4" s="1">
        <v>44582</v>
      </c>
      <c r="M4" s="1">
        <v>48234</v>
      </c>
      <c r="N4" s="2">
        <f>HYPERLINK("https://www.greenbondtransparency.com/bond-info/?handle=038f99e1b7f6427aafac6439088698c1","US058942AA15")</f>
      </c>
      <c r="O4" s="2" t="s">
        <v>24</v>
      </c>
      <c r="P4" s="2">
        <f>HYPERLINK("https://www.greenbondtransparency.com/download-document/?entity=Framework&amp;handle=f77734da4e7947ce9ee14e628edae0c0","Sicredi Green Bond Framework")</f>
      </c>
    </row>
    <row r="5" spans="1:16" x14ac:dyDescent="0.25">
      <c r="A5" t="s">
        <v>16</v>
      </c>
      <c r="B5" t="s">
        <v>36</v>
      </c>
      <c r="C5" t="s">
        <v>37</v>
      </c>
      <c r="E5" t="s">
        <v>38</v>
      </c>
      <c r="F5" t="s">
        <v>20</v>
      </c>
      <c r="G5" t="s">
        <v>39</v>
      </c>
      <c r="H5" t="s">
        <v>30</v>
      </c>
      <c r="I5" t="s">
        <v>40</v>
      </c>
      <c r="J5">
        <v>100000000</v>
      </c>
      <c r="K5">
        <v>30012004</v>
      </c>
      <c r="L5" s="1">
        <v>43581</v>
      </c>
      <c r="M5" s="1">
        <v>44677</v>
      </c>
      <c r="N5" s="2">
        <f>HYPERLINK("https://www.greenbondtransparency.com/bond-info/?handle=039a805a3e354fb9abc557d41eaf0c0a","PEP11100M336")</f>
      </c>
      <c r="O5" s="2" t="s">
        <v>24</v>
      </c>
      <c r="P5" s="2">
        <f>HYPERLINK("https://www.greenbondtransparency.com/download-document/?entity=Framework&amp;handle=04e21c087086494eb8ed28a377b70eee","Marco del Bono Verde")</f>
      </c>
    </row>
    <row r="6" spans="1:16" x14ac:dyDescent="0.25">
      <c r="A6" t="s">
        <v>1</v>
      </c>
      <c r="B6" t="s">
        <v>41</v>
      </c>
      <c r="C6" t="s">
        <v>41</v>
      </c>
      <c r="E6" t="s">
        <v>42</v>
      </c>
      <c r="F6" t="s">
        <v>20</v>
      </c>
      <c r="G6" t="s">
        <v>43</v>
      </c>
      <c r="H6" t="s">
        <v>44</v>
      </c>
      <c r="I6" t="s">
        <v>45</v>
      </c>
      <c r="J6">
        <v>4000000</v>
      </c>
      <c r="K6">
        <v>2000000</v>
      </c>
      <c r="L6" s="1">
        <v>44196</v>
      </c>
      <c r="M6" s="1">
        <v>44926</v>
      </c>
      <c r="N6" s="2">
        <f>HYPERLINK("https://www.greenbondtransparency.com/bond-info/?handle=03be22eb7b4543fd9e05fab58d3a22db","WREL#1 Note D")</f>
      </c>
      <c r="O6" s="2">
        <f>HYPERLINK("https://www.greenbondtransparency.com/bond-info/?handle=857a2aaaa36240d4ac4b2f568bca4a42","WREL#1")</f>
      </c>
      <c r="P6" s="2" t="s">
        <v>24</v>
      </c>
    </row>
    <row r="7" spans="1:16" x14ac:dyDescent="0.25">
      <c r="A7" t="s">
        <v>16</v>
      </c>
      <c r="B7" t="s">
        <v>46</v>
      </c>
      <c r="C7" t="s">
        <v>47</v>
      </c>
      <c r="D7" t="s">
        <v>27</v>
      </c>
      <c r="E7" t="s">
        <v>34</v>
      </c>
      <c r="F7" t="s">
        <v>20</v>
      </c>
      <c r="G7" t="s">
        <v>48</v>
      </c>
      <c r="H7" t="s">
        <v>22</v>
      </c>
      <c r="I7" t="s">
        <v>49</v>
      </c>
      <c r="J7">
        <v>416700000</v>
      </c>
      <c r="K7">
        <v>82842942</v>
      </c>
      <c r="L7" s="1">
        <v>44365</v>
      </c>
      <c r="M7" s="1">
        <v>46554</v>
      </c>
      <c r="N7" s="2">
        <f>HYPERLINK("https://www.greenbondtransparency.com/bond-info/?handle=04294fc06e364f34ab5f14d4404902f1","BRBEVELFNAX0")</f>
      </c>
      <c r="O7" s="2" t="s">
        <v>24</v>
      </c>
      <c r="P7" s="2" t="s">
        <v>24</v>
      </c>
    </row>
    <row r="8" spans="1:16" x14ac:dyDescent="0.25">
      <c r="A8" t="s">
        <v>16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t="s">
        <v>30</v>
      </c>
      <c r="I8" t="s">
        <v>56</v>
      </c>
      <c r="J8">
        <v>7000000000</v>
      </c>
      <c r="K8">
        <v>53110773.9</v>
      </c>
      <c r="L8" s="1">
        <v>44957</v>
      </c>
      <c r="M8" s="1">
        <v>48610</v>
      </c>
      <c r="N8" s="2">
        <f>HYPERLINK("https://www.greenbondtransparency.com/bond-info/?handle=04fc276ef8034164bc420f1e04ee9cab","XS2577780021")</f>
      </c>
      <c r="O8" s="2" t="s">
        <v>24</v>
      </c>
      <c r="P8" s="2">
        <f>HYPERLINK("https://www.greenbondtransparency.com/download-document/?entity=Framework&amp;handle=9baf8156464a428da24a03b589461dec","CABEI´s Green and Blue Bond Framework")</f>
      </c>
    </row>
    <row r="9" spans="1:16" x14ac:dyDescent="0.25">
      <c r="A9" t="s">
        <v>16</v>
      </c>
      <c r="B9" t="s">
        <v>57</v>
      </c>
      <c r="C9" t="s">
        <v>58</v>
      </c>
      <c r="D9" t="s">
        <v>27</v>
      </c>
      <c r="E9" t="s">
        <v>59</v>
      </c>
      <c r="F9" t="s">
        <v>20</v>
      </c>
      <c r="G9" t="s">
        <v>60</v>
      </c>
      <c r="H9" t="s">
        <v>44</v>
      </c>
      <c r="I9" t="s">
        <v>61</v>
      </c>
      <c r="J9">
        <v>115000000</v>
      </c>
      <c r="K9">
        <v>1127672</v>
      </c>
      <c r="L9" s="1">
        <v>44547</v>
      </c>
      <c r="M9" s="1">
        <v>45643</v>
      </c>
      <c r="N9" s="2">
        <f>HYPERLINK("https://www.greenbondtransparency.com/bond-info/?handle=070039e58a2142adbcc6777258457e5e","ARZUAM560013")</f>
      </c>
      <c r="O9" s="2" t="s">
        <v>24</v>
      </c>
      <c r="P9" s="2" t="s">
        <v>24</v>
      </c>
    </row>
    <row r="10" spans="1:16" x14ac:dyDescent="0.25">
      <c r="A10" t="s">
        <v>16</v>
      </c>
      <c r="B10" t="s">
        <v>62</v>
      </c>
      <c r="C10" t="s">
        <v>63</v>
      </c>
      <c r="D10" t="s">
        <v>27</v>
      </c>
      <c r="E10" t="s">
        <v>64</v>
      </c>
      <c r="F10" t="s">
        <v>20</v>
      </c>
      <c r="G10" t="s">
        <v>65</v>
      </c>
      <c r="H10" t="s">
        <v>66</v>
      </c>
      <c r="I10" t="s">
        <v>23</v>
      </c>
      <c r="J10">
        <v>1500000000</v>
      </c>
      <c r="K10">
        <v>1500000000</v>
      </c>
      <c r="L10" s="1">
        <v>43852</v>
      </c>
      <c r="M10" s="1">
        <v>48240</v>
      </c>
      <c r="N10" s="2">
        <f>HYPERLINK("https://www.greenbondtransparency.com/bond-info/?handle=08736641da994e8497cd2ef0703f97f4","US168863DN50")</f>
      </c>
      <c r="O10" s="2">
        <f>HYPERLINK("https://www.greenbondtransparency.com/bond-info/?handle=fd47a3cbf44c4c7bb9c69c5ad3fcc8e0","CBI_Chile")</f>
      </c>
      <c r="P10" s="2">
        <f>HYPERLINK("https://www.greenbondtransparency.com/download-document/?entity=Framework&amp;handle=b25746bc73674469a979cd1218fc9355","Chile's Sustainable Bond Framework")</f>
      </c>
    </row>
    <row r="11" spans="1:16" x14ac:dyDescent="0.25">
      <c r="A11" t="s">
        <v>16</v>
      </c>
      <c r="B11" t="s">
        <v>67</v>
      </c>
      <c r="C11" t="s">
        <v>68</v>
      </c>
      <c r="E11" t="s">
        <v>59</v>
      </c>
      <c r="F11" t="s">
        <v>20</v>
      </c>
      <c r="G11" t="s">
        <v>69</v>
      </c>
      <c r="H11" t="s">
        <v>44</v>
      </c>
      <c r="I11" t="s">
        <v>23</v>
      </c>
      <c r="J11">
        <v>35160000</v>
      </c>
      <c r="K11">
        <v>35160000</v>
      </c>
      <c r="L11" s="1">
        <v>44076</v>
      </c>
      <c r="M11" s="1">
        <v>45171</v>
      </c>
      <c r="N11" s="2">
        <f>HYPERLINK("https://www.greenbondtransparency.com/bond-info/?handle=0a375fceacec416eab4e7bd776b260c3","ARCPMA560017")</f>
      </c>
      <c r="O11" s="2" t="s">
        <v>24</v>
      </c>
      <c r="P11" s="2" t="s">
        <v>24</v>
      </c>
    </row>
    <row r="12" spans="1:16" x14ac:dyDescent="0.25">
      <c r="A12" t="s">
        <v>16</v>
      </c>
      <c r="B12" t="s">
        <v>70</v>
      </c>
      <c r="C12" t="s">
        <v>71</v>
      </c>
      <c r="D12" t="s">
        <v>72</v>
      </c>
      <c r="E12" t="s">
        <v>73</v>
      </c>
      <c r="F12" t="s">
        <v>20</v>
      </c>
      <c r="G12" t="s">
        <v>74</v>
      </c>
      <c r="H12" t="s">
        <v>30</v>
      </c>
      <c r="I12" t="s">
        <v>75</v>
      </c>
      <c r="J12">
        <v>3000000000</v>
      </c>
      <c r="K12">
        <v>147597845</v>
      </c>
      <c r="L12" s="1">
        <v>44495</v>
      </c>
      <c r="M12" s="1">
        <v>45590</v>
      </c>
      <c r="N12" s="2">
        <f>HYPERLINK("https://www.greenbondtransparency.com/bond-info/?handle=0ed1b474d025484781d9dddf7b4e395a","MXCDBA0300A2")</f>
      </c>
      <c r="O12" s="2">
        <f>HYPERLINK("https://www.greenbondtransparency.com/bond-info/?handle=1403dbb9be5b4892b8984de9f4461536","BNCMXT CEBUR21")</f>
      </c>
      <c r="P12" s="2">
        <f>HYPERLINK("https://www.greenbondtransparency.com/download-document/?entity=Framework&amp;handle=41f78746078d444787f9a1f78b30153c","Bancomext Sustainability Bond Framework")</f>
      </c>
    </row>
    <row r="13" spans="1:16" x14ac:dyDescent="0.25">
      <c r="A13" t="s">
        <v>16</v>
      </c>
      <c r="B13" t="s">
        <v>76</v>
      </c>
      <c r="C13" t="s">
        <v>77</v>
      </c>
      <c r="E13" t="s">
        <v>78</v>
      </c>
      <c r="F13" t="s">
        <v>20</v>
      </c>
      <c r="G13" t="s">
        <v>79</v>
      </c>
      <c r="H13" t="s">
        <v>30</v>
      </c>
      <c r="I13" t="s">
        <v>23</v>
      </c>
      <c r="J13">
        <v>500000000</v>
      </c>
      <c r="K13">
        <v>500000000</v>
      </c>
      <c r="L13" s="1">
        <v>42485</v>
      </c>
      <c r="M13" s="1">
        <v>44311</v>
      </c>
      <c r="N13" s="2">
        <f>HYPERLINK("https://www.greenbondtransparency.com/bond-info/?handle=0f91b88562524743ad5ecf105cddab89","USP14623AC98")</f>
      </c>
      <c r="O13" s="2" t="s">
        <v>24</v>
      </c>
      <c r="P13" s="2" t="s">
        <v>24</v>
      </c>
    </row>
    <row r="14" spans="1:16" x14ac:dyDescent="0.25">
      <c r="A14" t="s">
        <v>16</v>
      </c>
      <c r="B14" t="s">
        <v>80</v>
      </c>
      <c r="C14" t="s">
        <v>81</v>
      </c>
      <c r="D14" t="s">
        <v>72</v>
      </c>
      <c r="E14" t="s">
        <v>73</v>
      </c>
      <c r="F14" t="s">
        <v>20</v>
      </c>
      <c r="G14" t="s">
        <v>74</v>
      </c>
      <c r="H14" t="s">
        <v>30</v>
      </c>
      <c r="I14" t="s">
        <v>23</v>
      </c>
      <c r="J14">
        <v>500000000</v>
      </c>
      <c r="K14">
        <v>500000000</v>
      </c>
      <c r="L14" s="1">
        <v>44419</v>
      </c>
      <c r="M14" s="1">
        <v>48071</v>
      </c>
      <c r="N14" s="2">
        <f>HYPERLINK("https://www.greenbondtransparency.com/bond-info/?handle=10f66d4ac1cc40dcb68e1b9385431c90","US05973JAA88")</f>
      </c>
      <c r="O14" s="2" t="s">
        <v>24</v>
      </c>
      <c r="P14" s="2">
        <f>HYPERLINK("https://www.greenbondtransparency.com/download-document/?entity=Framework&amp;handle=41f78746078d444787f9a1f78b30153c","Bancomext Sustainability Bond Framework")</f>
      </c>
    </row>
    <row r="15" spans="1:16" x14ac:dyDescent="0.25">
      <c r="A15" t="s">
        <v>16</v>
      </c>
      <c r="B15" t="s">
        <v>82</v>
      </c>
      <c r="C15" t="s">
        <v>83</v>
      </c>
      <c r="D15" t="s">
        <v>27</v>
      </c>
      <c r="E15" t="s">
        <v>59</v>
      </c>
      <c r="F15" t="s">
        <v>20</v>
      </c>
      <c r="G15" t="s">
        <v>84</v>
      </c>
      <c r="H15" t="s">
        <v>44</v>
      </c>
      <c r="I15" t="s">
        <v>23</v>
      </c>
      <c r="J15">
        <v>62536958</v>
      </c>
      <c r="K15">
        <v>62536958</v>
      </c>
      <c r="L15" s="1">
        <v>44686</v>
      </c>
      <c r="M15" s="1">
        <v>48339</v>
      </c>
      <c r="N15" s="2">
        <f>HYPERLINK("https://www.greenbondtransparency.com/bond-info/?handle=12c30d017c6c42079eb376acbc94e798","ARLUZT560039")</f>
      </c>
      <c r="O15" s="2" t="s">
        <v>24</v>
      </c>
      <c r="P15" s="2" t="s">
        <v>24</v>
      </c>
    </row>
    <row r="16" spans="1:16" x14ac:dyDescent="0.25">
      <c r="A16" t="s">
        <v>16</v>
      </c>
      <c r="B16" t="s">
        <v>85</v>
      </c>
      <c r="C16" t="s">
        <v>86</v>
      </c>
      <c r="D16" t="s">
        <v>27</v>
      </c>
      <c r="E16" t="s">
        <v>73</v>
      </c>
      <c r="F16" t="s">
        <v>20</v>
      </c>
      <c r="G16" t="s">
        <v>87</v>
      </c>
      <c r="H16" t="s">
        <v>88</v>
      </c>
      <c r="I16" t="s">
        <v>75</v>
      </c>
      <c r="J16">
        <v>1100000000</v>
      </c>
      <c r="K16">
        <v>54449245.87</v>
      </c>
      <c r="L16" s="1">
        <v>43425</v>
      </c>
      <c r="M16" s="1">
        <v>47078</v>
      </c>
      <c r="N16" s="2">
        <f>HYPERLINK("https://www.greenbondtransparency.com/bond-info/?handle=13db022e186047ecbb817d21fa259364","MX90GC040026")</f>
      </c>
      <c r="O16" s="2" t="s">
        <v>24</v>
      </c>
      <c r="P16" s="2">
        <f>HYPERLINK("https://www.greenbondtransparency.com/download-document/?entity=Framework&amp;handle=3bed31a8a09f4c65bf9b9e10a3a99d43","Marco de Referencia del Bono Verde de la Ciudad de México")</f>
      </c>
    </row>
    <row r="17" spans="1:16" x14ac:dyDescent="0.25">
      <c r="A17" t="s">
        <v>1</v>
      </c>
      <c r="B17" t="s">
        <v>89</v>
      </c>
      <c r="C17" t="s">
        <v>90</v>
      </c>
      <c r="D17" t="s">
        <v>27</v>
      </c>
      <c r="E17" t="s">
        <v>28</v>
      </c>
      <c r="F17" t="s">
        <v>20</v>
      </c>
      <c r="G17" t="s">
        <v>29</v>
      </c>
      <c r="H17" t="s">
        <v>30</v>
      </c>
      <c r="I17" t="s">
        <v>31</v>
      </c>
      <c r="J17">
        <v>30870000</v>
      </c>
      <c r="K17">
        <v>4435345</v>
      </c>
      <c r="L17" s="1">
        <v>45280</v>
      </c>
      <c r="M17" s="1">
        <v>47080</v>
      </c>
      <c r="N17" s="2">
        <f>HYPERLINK("https://www.greenbondtransparency.com/bond-info/?handle=14521d00f4b7491a901136cd68acd349","NFB-2-N1B-23")</f>
      </c>
      <c r="O17" s="2">
        <f>HYPERLINK("https://www.greenbondtransparency.com/bond-info/?handle=22b1953e5bdd4aa58a7099a976f2ea89","Bono Verde BDP")</f>
      </c>
      <c r="P17" s="2">
        <f>HYPERLINK("https://www.greenbondtransparency.com/download-document/?entity=Framework&amp;handle=d6700b8c707544c78fa5f4e5a0b6c1e4","Marco de Uso de Fondo para la Emisión de Bonos Verdes, Sociales o Sostenibles BDP I")</f>
      </c>
    </row>
    <row r="18" spans="1:16" x14ac:dyDescent="0.25">
      <c r="A18" t="s">
        <v>1</v>
      </c>
      <c r="B18" t="s">
        <v>91</v>
      </c>
      <c r="C18" t="s">
        <v>91</v>
      </c>
      <c r="E18" t="s">
        <v>42</v>
      </c>
      <c r="F18" t="s">
        <v>20</v>
      </c>
      <c r="G18" t="s">
        <v>43</v>
      </c>
      <c r="H18" t="s">
        <v>44</v>
      </c>
      <c r="I18" t="s">
        <v>45</v>
      </c>
      <c r="J18">
        <v>4500000</v>
      </c>
      <c r="K18">
        <v>2250000</v>
      </c>
      <c r="L18" s="1">
        <v>43799</v>
      </c>
      <c r="M18" s="1">
        <v>45260</v>
      </c>
      <c r="N18" s="2">
        <f>HYPERLINK("https://www.greenbondtransparency.com/bond-info/?handle=14a9f009a6c0487aa7122710957cc603","WREL#1 Note F")</f>
      </c>
      <c r="O18" s="2">
        <f>HYPERLINK("https://www.greenbondtransparency.com/bond-info/?handle=857a2aaaa36240d4ac4b2f568bca4a42","WREL#1")</f>
      </c>
      <c r="P18" s="2" t="s">
        <v>24</v>
      </c>
    </row>
    <row r="19" spans="1:16" x14ac:dyDescent="0.25">
      <c r="A19" t="s">
        <v>16</v>
      </c>
      <c r="B19" t="s">
        <v>92</v>
      </c>
      <c r="C19" t="s">
        <v>93</v>
      </c>
      <c r="D19" t="s">
        <v>27</v>
      </c>
      <c r="E19" t="s">
        <v>53</v>
      </c>
      <c r="F19" t="s">
        <v>54</v>
      </c>
      <c r="G19" t="s">
        <v>55</v>
      </c>
      <c r="H19" t="s">
        <v>30</v>
      </c>
      <c r="I19" t="s">
        <v>94</v>
      </c>
      <c r="J19">
        <v>155000000</v>
      </c>
      <c r="K19">
        <v>158583998</v>
      </c>
      <c r="L19" s="1">
        <v>44742</v>
      </c>
      <c r="M19" s="1">
        <v>46356</v>
      </c>
      <c r="N19" s="2">
        <f>HYPERLINK("https://www.greenbondtransparency.com/bond-info/?handle=14cdc800b4464301a71619d0ffe527a8","CH1191066278")</f>
      </c>
      <c r="O19" s="2" t="s">
        <v>24</v>
      </c>
      <c r="P19" s="2">
        <f>HYPERLINK("https://www.greenbondtransparency.com/download-document/?entity=Framework&amp;handle=54743cb2f07c4d9f923a5c04c2547bb4","CABEI´s Green Bond Framework")</f>
      </c>
    </row>
    <row r="20" spans="1:16" x14ac:dyDescent="0.25">
      <c r="A20" t="s">
        <v>1</v>
      </c>
      <c r="B20" t="s">
        <v>95</v>
      </c>
      <c r="C20" t="s">
        <v>96</v>
      </c>
      <c r="D20" t="s">
        <v>27</v>
      </c>
      <c r="E20" t="s">
        <v>28</v>
      </c>
      <c r="F20" t="s">
        <v>20</v>
      </c>
      <c r="G20" t="s">
        <v>29</v>
      </c>
      <c r="H20" t="s">
        <v>30</v>
      </c>
      <c r="I20" t="s">
        <v>31</v>
      </c>
      <c r="J20">
        <v>25725000</v>
      </c>
      <c r="K20">
        <v>3696000</v>
      </c>
      <c r="L20" s="1">
        <v>45280</v>
      </c>
      <c r="M20" s="1">
        <v>46116</v>
      </c>
      <c r="N20" s="2">
        <f>HYPERLINK("https://www.greenbondtransparency.com/bond-info/?handle=15140943b0a04379b031e05c40cac738","NFB-2-N1A-23")</f>
      </c>
      <c r="O20" s="2">
        <f>HYPERLINK("https://www.greenbondtransparency.com/bond-info/?handle=22b1953e5bdd4aa58a7099a976f2ea89","Bono Verde BDP")</f>
      </c>
      <c r="P20" s="2">
        <f>HYPERLINK("https://www.greenbondtransparency.com/download-document/?entity=Framework&amp;handle=d6700b8c707544c78fa5f4e5a0b6c1e4","Marco de Uso de Fondo para la Emisión de Bonos Verdes, Sociales o Sostenibles BDP I")</f>
      </c>
    </row>
    <row r="21" spans="1:16" x14ac:dyDescent="0.25">
      <c r="A21" t="s">
        <v>16</v>
      </c>
      <c r="B21" t="s">
        <v>97</v>
      </c>
      <c r="C21" t="s">
        <v>98</v>
      </c>
      <c r="E21" t="s">
        <v>34</v>
      </c>
      <c r="F21" t="s">
        <v>20</v>
      </c>
      <c r="G21" t="s">
        <v>99</v>
      </c>
      <c r="H21" t="s">
        <v>44</v>
      </c>
      <c r="I21" t="s">
        <v>49</v>
      </c>
      <c r="J21">
        <v>50000000</v>
      </c>
      <c r="K21">
        <v>9482628</v>
      </c>
      <c r="L21" s="1">
        <v>44089</v>
      </c>
      <c r="M21" s="1">
        <v>47011</v>
      </c>
      <c r="N21" s="2">
        <f>HYPERLINK("https://www.greenbondtransparency.com/bond-info/?handle=16e566aa3fe94a5dad3b8f95dc398955","BROMGEDBS051")</f>
      </c>
      <c r="O21" s="2" t="s">
        <v>24</v>
      </c>
      <c r="P21" s="2" t="s">
        <v>24</v>
      </c>
    </row>
    <row r="22" spans="1:16" x14ac:dyDescent="0.25">
      <c r="A22" t="s">
        <v>16</v>
      </c>
      <c r="B22" t="s">
        <v>100</v>
      </c>
      <c r="C22" t="s">
        <v>101</v>
      </c>
      <c r="D22" t="s">
        <v>72</v>
      </c>
      <c r="E22" t="s">
        <v>64</v>
      </c>
      <c r="F22" t="s">
        <v>20</v>
      </c>
      <c r="G22" t="s">
        <v>65</v>
      </c>
      <c r="H22" t="s">
        <v>66</v>
      </c>
      <c r="I22" t="s">
        <v>23</v>
      </c>
      <c r="J22">
        <v>1500000000</v>
      </c>
      <c r="K22">
        <v>1500000000</v>
      </c>
      <c r="L22" s="1">
        <v>44301</v>
      </c>
      <c r="M22" s="1">
        <v>55989</v>
      </c>
      <c r="N22" s="2">
        <f>HYPERLINK("https://www.greenbondtransparency.com/bond-info/?handle=198b03b178234dc5b866de3b2c6711e9","XS2327851874")</f>
      </c>
      <c r="O22" s="2">
        <f>HYPERLINK("https://www.greenbondtransparency.com/bond-info/?handle=fd47a3cbf44c4c7bb9c69c5ad3fcc8e0","CBI_Chile")</f>
      </c>
      <c r="P22" s="2">
        <f>HYPERLINK("https://www.greenbondtransparency.com/download-document/?entity=Framework&amp;handle=b25746bc73674469a979cd1218fc9355","Chile's Sustainable Bond Framework")</f>
      </c>
    </row>
    <row r="23" spans="1:16" x14ac:dyDescent="0.25">
      <c r="A23" t="s">
        <v>16</v>
      </c>
      <c r="B23" t="s">
        <v>102</v>
      </c>
      <c r="C23" t="s">
        <v>103</v>
      </c>
      <c r="E23" t="s">
        <v>34</v>
      </c>
      <c r="F23" t="s">
        <v>20</v>
      </c>
      <c r="G23" t="s">
        <v>104</v>
      </c>
      <c r="H23" t="s">
        <v>44</v>
      </c>
      <c r="I23" t="s">
        <v>49</v>
      </c>
      <c r="J23">
        <v>1294449000</v>
      </c>
      <c r="K23">
        <v>343437160</v>
      </c>
      <c r="L23" s="1">
        <v>43656</v>
      </c>
      <c r="M23" s="1">
        <v>48745</v>
      </c>
      <c r="N23" s="2">
        <f>HYPERLINK("https://www.greenbondtransparency.com/bond-info/?handle=19a9b617aa704f8285094522d06a5367","BRNEOEDBS047")</f>
      </c>
      <c r="O23" s="2" t="s">
        <v>24</v>
      </c>
      <c r="P23" s="2" t="s">
        <v>24</v>
      </c>
    </row>
    <row r="24" spans="1:16" x14ac:dyDescent="0.25">
      <c r="A24" t="s">
        <v>16</v>
      </c>
      <c r="B24" t="s">
        <v>105</v>
      </c>
      <c r="C24" t="s">
        <v>106</v>
      </c>
      <c r="D24" t="s">
        <v>27</v>
      </c>
      <c r="E24" t="s">
        <v>38</v>
      </c>
      <c r="F24" t="s">
        <v>20</v>
      </c>
      <c r="G24" t="s">
        <v>107</v>
      </c>
      <c r="H24" t="s">
        <v>44</v>
      </c>
      <c r="I24" t="s">
        <v>40</v>
      </c>
      <c r="J24">
        <v>100000000</v>
      </c>
      <c r="K24">
        <v>33012000</v>
      </c>
      <c r="L24" s="1">
        <v>43396</v>
      </c>
      <c r="M24" s="1">
        <v>45588</v>
      </c>
      <c r="N24" s="2">
        <f>HYPERLINK("https://www.greenbondtransparency.com/bond-info/?handle=19c1f11e1a3f444cae63d334393894ed","PEP50420M017")</f>
      </c>
      <c r="O24" s="2" t="s">
        <v>24</v>
      </c>
      <c r="P24" s="2">
        <f>HYPERLINK("https://www.greenbondtransparency.com/download-document/?entity=Framework&amp;handle=d8dd0247138a43a6abc81107430dc6c1","Framework, Green Bond Protisa Perú")</f>
      </c>
    </row>
    <row r="25" spans="1:16" x14ac:dyDescent="0.25">
      <c r="A25" t="s">
        <v>16</v>
      </c>
      <c r="B25" t="s">
        <v>108</v>
      </c>
      <c r="C25" t="s">
        <v>109</v>
      </c>
      <c r="E25" t="s">
        <v>34</v>
      </c>
      <c r="F25" t="s">
        <v>20</v>
      </c>
      <c r="G25" t="s">
        <v>110</v>
      </c>
      <c r="H25" t="s">
        <v>44</v>
      </c>
      <c r="I25" t="s">
        <v>49</v>
      </c>
      <c r="J25">
        <v>55000000</v>
      </c>
      <c r="K25">
        <v>13000000</v>
      </c>
      <c r="L25" s="1">
        <v>43747</v>
      </c>
      <c r="M25" s="1">
        <v>46310</v>
      </c>
      <c r="N25" s="2">
        <f>HYPERLINK("https://www.greenbondtransparency.com/bond-info/?handle=19e36a4428614da782362502bd1291a3","BRATAMDBS010")</f>
      </c>
      <c r="O25" s="2" t="s">
        <v>24</v>
      </c>
      <c r="P25" s="2" t="s">
        <v>24</v>
      </c>
    </row>
    <row r="26" spans="1:16" x14ac:dyDescent="0.25">
      <c r="A26" t="s">
        <v>16</v>
      </c>
      <c r="B26" t="s">
        <v>111</v>
      </c>
      <c r="C26" t="s">
        <v>112</v>
      </c>
      <c r="D26" t="s">
        <v>27</v>
      </c>
      <c r="E26" t="s">
        <v>34</v>
      </c>
      <c r="F26" t="s">
        <v>20</v>
      </c>
      <c r="G26" t="s">
        <v>113</v>
      </c>
      <c r="H26" t="s">
        <v>44</v>
      </c>
      <c r="I26" t="s">
        <v>49</v>
      </c>
      <c r="J26">
        <v>505000000</v>
      </c>
      <c r="K26">
        <v>131867558</v>
      </c>
      <c r="L26" s="1">
        <v>43679</v>
      </c>
      <c r="M26" s="1">
        <v>45857</v>
      </c>
      <c r="N26" s="2">
        <f>HYPERLINK("https://www.greenbondtransparency.com/bond-info/?handle=1c15de3906d74b2d8a7d01d482b86c19","BRRANIDBS023")</f>
      </c>
      <c r="O26" s="2" t="s">
        <v>24</v>
      </c>
      <c r="P26" s="2" t="s">
        <v>24</v>
      </c>
    </row>
    <row r="27" spans="1:16" x14ac:dyDescent="0.25">
      <c r="A27" t="s">
        <v>1</v>
      </c>
      <c r="B27" t="s">
        <v>114</v>
      </c>
      <c r="C27" t="s">
        <v>115</v>
      </c>
      <c r="E27" t="s">
        <v>42</v>
      </c>
      <c r="F27" t="s">
        <v>20</v>
      </c>
      <c r="G27" t="s">
        <v>43</v>
      </c>
      <c r="H27" t="s">
        <v>44</v>
      </c>
      <c r="I27" t="s">
        <v>45</v>
      </c>
      <c r="J27">
        <v>4000000</v>
      </c>
      <c r="K27">
        <v>2000000</v>
      </c>
      <c r="L27" s="1">
        <v>43281</v>
      </c>
      <c r="M27" s="1">
        <v>46203</v>
      </c>
      <c r="N27" s="2">
        <f>HYPERLINK("https://www.greenbondtransparency.com/bond-info/?handle=1d7c3d7cb3dc4a89829b4f66476fa9f7","WREL#1_C")</f>
      </c>
      <c r="O27" s="2">
        <f>HYPERLINK("https://www.greenbondtransparency.com/bond-info/?handle=857a2aaaa36240d4ac4b2f568bca4a42","WREL#1")</f>
      </c>
      <c r="P27" s="2" t="s">
        <v>24</v>
      </c>
    </row>
    <row r="28" spans="1:16" x14ac:dyDescent="0.25">
      <c r="A28" t="s">
        <v>16</v>
      </c>
      <c r="B28" t="s">
        <v>116</v>
      </c>
      <c r="C28" t="s">
        <v>117</v>
      </c>
      <c r="E28" t="s">
        <v>34</v>
      </c>
      <c r="F28" t="s">
        <v>20</v>
      </c>
      <c r="G28" t="s">
        <v>118</v>
      </c>
      <c r="H28" t="s">
        <v>44</v>
      </c>
      <c r="I28" t="s">
        <v>23</v>
      </c>
      <c r="J28">
        <v>680000000</v>
      </c>
      <c r="K28">
        <v>680000000</v>
      </c>
      <c r="L28" s="1">
        <v>43873</v>
      </c>
      <c r="M28" s="1">
        <v>46006</v>
      </c>
      <c r="N28" s="2">
        <f>HYPERLINK("https://www.greenbondtransparency.com/bond-info/?handle=1dfdf670db17445598adbebb3b4e26a0","US30315XAB01")</f>
      </c>
      <c r="O28" s="2" t="s">
        <v>24</v>
      </c>
      <c r="P28" s="2">
        <f>HYPERLINK("https://www.greenbondtransparency.com/download-document/?entity=Framework&amp;handle=06916bad6f3d4631a2127d3f46ff766d","FS Green Bond Framework - July 2021")</f>
      </c>
    </row>
    <row r="29" spans="1:16" x14ac:dyDescent="0.25">
      <c r="A29" t="s">
        <v>16</v>
      </c>
      <c r="B29" t="s">
        <v>119</v>
      </c>
      <c r="C29" t="s">
        <v>120</v>
      </c>
      <c r="E29" t="s">
        <v>34</v>
      </c>
      <c r="F29" t="s">
        <v>20</v>
      </c>
      <c r="G29" t="s">
        <v>121</v>
      </c>
      <c r="H29" t="s">
        <v>44</v>
      </c>
      <c r="I29" t="s">
        <v>49</v>
      </c>
      <c r="J29">
        <v>111760000</v>
      </c>
      <c r="K29">
        <v>35235512.96</v>
      </c>
      <c r="L29" s="1">
        <v>42857</v>
      </c>
      <c r="M29" s="1">
        <v>47102</v>
      </c>
      <c r="N29" s="2">
        <f>HYPERLINK("https://www.greenbondtransparency.com/bond-info/?handle=1ea3f91d3e7047c6af38408cf446eaae","BRITMGDBS028")</f>
      </c>
      <c r="O29" s="2" t="s">
        <v>24</v>
      </c>
      <c r="P29" s="2" t="s">
        <v>24</v>
      </c>
    </row>
    <row r="30" spans="1:16" x14ac:dyDescent="0.25">
      <c r="A30" t="s">
        <v>16</v>
      </c>
      <c r="B30" t="s">
        <v>122</v>
      </c>
      <c r="C30" t="s">
        <v>123</v>
      </c>
      <c r="D30" t="s">
        <v>72</v>
      </c>
      <c r="E30" t="s">
        <v>73</v>
      </c>
      <c r="F30" t="s">
        <v>20</v>
      </c>
      <c r="G30" t="s">
        <v>74</v>
      </c>
      <c r="H30" t="s">
        <v>30</v>
      </c>
      <c r="I30" t="s">
        <v>75</v>
      </c>
      <c r="J30">
        <v>1000000000</v>
      </c>
      <c r="K30">
        <v>49199281</v>
      </c>
      <c r="L30" s="1">
        <v>44495</v>
      </c>
      <c r="M30" s="1">
        <v>46318</v>
      </c>
      <c r="N30" s="2">
        <f>HYPERLINK("https://www.greenbondtransparency.com/bond-info/?handle=1ebb3382d810474480d9b51700c98bf5","MXCDBA0300B0")</f>
      </c>
      <c r="O30" s="2">
        <f>HYPERLINK("https://www.greenbondtransparency.com/bond-info/?handle=1403dbb9be5b4892b8984de9f4461536","BNCMXT CEBUR21")</f>
      </c>
      <c r="P30" s="2">
        <f>HYPERLINK("https://www.greenbondtransparency.com/download-document/?entity=Framework&amp;handle=41f78746078d444787f9a1f78b30153c","Bancomext Sustainability Bond Framework")</f>
      </c>
    </row>
    <row r="31" spans="1:16" x14ac:dyDescent="0.25">
      <c r="A31" t="s">
        <v>16</v>
      </c>
      <c r="B31" t="s">
        <v>124</v>
      </c>
      <c r="C31" t="s">
        <v>125</v>
      </c>
      <c r="E31" t="s">
        <v>34</v>
      </c>
      <c r="F31" t="s">
        <v>20</v>
      </c>
      <c r="G31" t="s">
        <v>126</v>
      </c>
      <c r="H31" t="s">
        <v>44</v>
      </c>
      <c r="I31" t="s">
        <v>49</v>
      </c>
      <c r="J31">
        <v>605202000</v>
      </c>
      <c r="K31">
        <v>122988538</v>
      </c>
      <c r="L31" s="1">
        <v>44642</v>
      </c>
      <c r="M31" s="1">
        <v>48228</v>
      </c>
      <c r="N31" s="2">
        <f>HYPERLINK("https://www.greenbondtransparency.com/bond-info/?handle=1fbdb1696ffd4349bd5b0b17c8a00bea","BRSMTODBS013")</f>
      </c>
      <c r="O31" s="2" t="s">
        <v>24</v>
      </c>
      <c r="P31" s="2" t="s">
        <v>24</v>
      </c>
    </row>
    <row r="32" spans="1:16" x14ac:dyDescent="0.25">
      <c r="A32" t="s">
        <v>16</v>
      </c>
      <c r="B32" t="s">
        <v>127</v>
      </c>
      <c r="C32" t="s">
        <v>128</v>
      </c>
      <c r="E32" t="s">
        <v>129</v>
      </c>
      <c r="F32" t="s">
        <v>20</v>
      </c>
      <c r="G32" t="s">
        <v>130</v>
      </c>
      <c r="H32" t="s">
        <v>22</v>
      </c>
      <c r="I32" t="s">
        <v>131</v>
      </c>
      <c r="J32">
        <v>350000000000</v>
      </c>
      <c r="K32">
        <v>114340224.2</v>
      </c>
      <c r="L32" s="1">
        <v>42710</v>
      </c>
      <c r="M32" s="1">
        <v>45265</v>
      </c>
      <c r="N32" s="2">
        <f>HYPERLINK("https://www.greenbondtransparency.com/bond-info/?handle=1fd5c178da6148569a42c52f45981714","COB07CB00587")</f>
      </c>
      <c r="O32" s="2" t="s">
        <v>24</v>
      </c>
      <c r="P32" s="2">
        <f>HYPERLINK("https://www.greenbondtransparency.com/download-document/?entity=Framework&amp;handle=887634f5dea44d698661f04daff365d5","Bono Verde 1 Bancolombia")</f>
      </c>
    </row>
    <row r="33" spans="1:16" x14ac:dyDescent="0.25">
      <c r="A33" t="s">
        <v>16</v>
      </c>
      <c r="B33" t="s">
        <v>132</v>
      </c>
      <c r="C33" t="s">
        <v>133</v>
      </c>
      <c r="D33" t="s">
        <v>27</v>
      </c>
      <c r="E33" t="s">
        <v>134</v>
      </c>
      <c r="F33" t="s">
        <v>20</v>
      </c>
      <c r="G33" t="s">
        <v>135</v>
      </c>
      <c r="H33" t="s">
        <v>44</v>
      </c>
      <c r="I33" t="s">
        <v>23</v>
      </c>
      <c r="J33">
        <v>20000000</v>
      </c>
      <c r="K33">
        <v>20000000</v>
      </c>
      <c r="L33" s="1">
        <v>44559</v>
      </c>
      <c r="M33" s="1">
        <v>49887</v>
      </c>
      <c r="N33" s="2">
        <f>HYPERLINK("https://www.greenbondtransparency.com/bond-info/?handle=1fe1c3a0375046e78c97ae9bae5d186c","DO2020300110")</f>
      </c>
      <c r="O33" s="2">
        <f>HYPERLINK("https://www.greenbondtransparency.com/bond-info/?handle=0ba4484e2ad6469ba637e46670f3aff2","FOPLARIMAR1NO04")</f>
      </c>
      <c r="P33" s="2">
        <f>HYPERLINK("https://www.greenbondtransparency.com/download-document/?entity=Framework&amp;handle=463bf5e91ed14844b7cce6dafe61cf29","EGE Haina Green Securities Framework")</f>
      </c>
    </row>
    <row r="34" spans="1:16" x14ac:dyDescent="0.25">
      <c r="A34" t="s">
        <v>16</v>
      </c>
      <c r="B34" t="s">
        <v>136</v>
      </c>
      <c r="C34" t="s">
        <v>137</v>
      </c>
      <c r="D34" t="s">
        <v>27</v>
      </c>
      <c r="E34" t="s">
        <v>34</v>
      </c>
      <c r="F34" t="s">
        <v>20</v>
      </c>
      <c r="G34" t="s">
        <v>138</v>
      </c>
      <c r="H34" t="s">
        <v>44</v>
      </c>
      <c r="I34" t="s">
        <v>49</v>
      </c>
      <c r="J34">
        <v>575000000</v>
      </c>
      <c r="K34">
        <v>133008850</v>
      </c>
      <c r="L34" s="1">
        <v>43819</v>
      </c>
      <c r="M34" s="1">
        <v>52946</v>
      </c>
      <c r="N34" s="2">
        <f>HYPERLINK("https://www.greenbondtransparency.com/bond-info/?handle=21273ccef0ca496f88b04b4970e3394e","BRJTEEDBS010")</f>
      </c>
      <c r="O34" s="2" t="s">
        <v>24</v>
      </c>
      <c r="P34" s="2" t="s">
        <v>24</v>
      </c>
    </row>
    <row r="35" spans="1:16" x14ac:dyDescent="0.25">
      <c r="A35" t="s">
        <v>16</v>
      </c>
      <c r="B35" t="s">
        <v>139</v>
      </c>
      <c r="C35" t="s">
        <v>140</v>
      </c>
      <c r="D35" t="s">
        <v>27</v>
      </c>
      <c r="E35" t="s">
        <v>34</v>
      </c>
      <c r="F35" t="s">
        <v>20</v>
      </c>
      <c r="G35" t="s">
        <v>141</v>
      </c>
      <c r="H35" t="s">
        <v>44</v>
      </c>
      <c r="I35" t="s">
        <v>49</v>
      </c>
      <c r="J35">
        <v>200000000</v>
      </c>
      <c r="K35">
        <v>38219725</v>
      </c>
      <c r="L35" s="1">
        <v>44775</v>
      </c>
      <c r="M35" s="1">
        <v>47618</v>
      </c>
      <c r="N35" s="2">
        <f>HYPERLINK("https://www.greenbondtransparency.com/bond-info/?handle=22d0a3c93e424dd2b0df0efe6c3c0c8d","BRVERTCRA2X9")</f>
      </c>
      <c r="O35" s="2" t="s">
        <v>24</v>
      </c>
      <c r="P35" s="2" t="s">
        <v>24</v>
      </c>
    </row>
    <row r="36" spans="1:16" x14ac:dyDescent="0.25">
      <c r="A36" t="s">
        <v>1</v>
      </c>
      <c r="B36" t="s">
        <v>142</v>
      </c>
      <c r="C36" t="s">
        <v>143</v>
      </c>
      <c r="E36" t="s">
        <v>34</v>
      </c>
      <c r="F36" t="s">
        <v>20</v>
      </c>
      <c r="G36" t="s">
        <v>144</v>
      </c>
      <c r="H36" t="s">
        <v>44</v>
      </c>
      <c r="I36" t="s">
        <v>49</v>
      </c>
      <c r="J36">
        <v>40150000</v>
      </c>
      <c r="K36">
        <v>7532830</v>
      </c>
      <c r="L36" s="1">
        <v>43665</v>
      </c>
      <c r="M36" s="1">
        <v>44761</v>
      </c>
      <c r="N36" s="2">
        <f>HYPERLINK("https://www.greenbondtransparency.com/bond-info/?handle=22fbd3d08bab4319a6ba0483c84d2380","PR_PL_ATHON")</f>
      </c>
      <c r="O36" s="2" t="s">
        <v>24</v>
      </c>
      <c r="P36" s="2">
        <f>HYPERLINK("https://www.greenbondtransparency.com/download-document/?entity=Framework&amp;handle=50f2b7fafb124d06ab93eef678436e3e","Green Bonds Framework Athon 2020")</f>
      </c>
    </row>
    <row r="37" spans="1:16" x14ac:dyDescent="0.25">
      <c r="A37" t="s">
        <v>16</v>
      </c>
      <c r="B37" t="s">
        <v>145</v>
      </c>
      <c r="C37" t="s">
        <v>146</v>
      </c>
      <c r="E37" t="s">
        <v>19</v>
      </c>
      <c r="F37" t="s">
        <v>20</v>
      </c>
      <c r="G37" t="s">
        <v>21</v>
      </c>
      <c r="H37" t="s">
        <v>22</v>
      </c>
      <c r="I37" t="s">
        <v>23</v>
      </c>
      <c r="J37">
        <v>1000000</v>
      </c>
      <c r="K37">
        <v>1000000</v>
      </c>
      <c r="L37" s="1">
        <v>43794</v>
      </c>
      <c r="M37" s="1">
        <v>45623</v>
      </c>
      <c r="N37" s="2">
        <f>HYPERLINK("https://www.greenbondtransparency.com/bond-info/?handle=23878660cd7440629e174e8e95ab223b","PAL3009913C8")</f>
      </c>
      <c r="O37" s="2">
        <f>HYPERLINK("https://www.greenbondtransparency.com/bond-info/?handle=c8db70a600e4496aa0bdff98338e72ee","CIFI_GB")</f>
      </c>
      <c r="P37" s="2" t="s">
        <v>24</v>
      </c>
    </row>
    <row r="38" spans="1:16" x14ac:dyDescent="0.25">
      <c r="A38" t="s">
        <v>16</v>
      </c>
      <c r="B38" t="s">
        <v>147</v>
      </c>
      <c r="C38" t="s">
        <v>148</v>
      </c>
      <c r="D38" t="s">
        <v>27</v>
      </c>
      <c r="E38" t="s">
        <v>34</v>
      </c>
      <c r="F38" t="s">
        <v>20</v>
      </c>
      <c r="G38" t="s">
        <v>149</v>
      </c>
      <c r="H38" t="s">
        <v>22</v>
      </c>
      <c r="I38" t="s">
        <v>49</v>
      </c>
      <c r="J38">
        <v>210267000</v>
      </c>
      <c r="K38">
        <v>39152294</v>
      </c>
      <c r="L38" s="1">
        <v>43873</v>
      </c>
      <c r="M38" s="1">
        <v>44981</v>
      </c>
      <c r="N38" s="2">
        <f>HYPERLINK("https://www.greenbondtransparency.com/bond-info/?handle=23ac54016a514edeae404b318584d263","BRGAIACRA0G3")</f>
      </c>
      <c r="O38" s="2" t="s">
        <v>24</v>
      </c>
      <c r="P38" s="2" t="s">
        <v>24</v>
      </c>
    </row>
    <row r="39" spans="1:16" x14ac:dyDescent="0.25">
      <c r="A39" t="s">
        <v>16</v>
      </c>
      <c r="B39" t="s">
        <v>150</v>
      </c>
      <c r="C39" t="s">
        <v>151</v>
      </c>
      <c r="E39" t="s">
        <v>59</v>
      </c>
      <c r="F39" t="s">
        <v>20</v>
      </c>
      <c r="G39" t="s">
        <v>152</v>
      </c>
      <c r="H39" t="s">
        <v>44</v>
      </c>
      <c r="I39" t="s">
        <v>61</v>
      </c>
      <c r="J39">
        <v>3107268000</v>
      </c>
      <c r="K39">
        <v>30000000</v>
      </c>
      <c r="L39" s="1">
        <v>44579</v>
      </c>
      <c r="M39" s="1">
        <v>45125</v>
      </c>
      <c r="N39" s="2">
        <f>HYPERLINK("https://www.greenbondtransparency.com/bond-info/?handle=25af7f0c068d403b829146d02fd9ec6a","ARPAMP5600C6")</f>
      </c>
      <c r="O39" s="2" t="s">
        <v>24</v>
      </c>
      <c r="P39" s="2" t="s">
        <v>24</v>
      </c>
    </row>
    <row r="40" spans="1:16" x14ac:dyDescent="0.25">
      <c r="A40" t="s">
        <v>16</v>
      </c>
      <c r="B40" t="s">
        <v>153</v>
      </c>
      <c r="C40" t="s">
        <v>154</v>
      </c>
      <c r="E40" t="s">
        <v>19</v>
      </c>
      <c r="F40" t="s">
        <v>20</v>
      </c>
      <c r="G40" t="s">
        <v>21</v>
      </c>
      <c r="H40" t="s">
        <v>22</v>
      </c>
      <c r="I40" t="s">
        <v>23</v>
      </c>
      <c r="J40">
        <v>4000000</v>
      </c>
      <c r="K40">
        <v>4000000</v>
      </c>
      <c r="L40" s="1">
        <v>44106</v>
      </c>
      <c r="M40" s="1">
        <v>44840</v>
      </c>
      <c r="N40" s="2">
        <f>HYPERLINK("https://www.greenbondtransparency.com/bond-info/?handle=25c3df197dbe40e98c935279203ab764","PAL3009913I5")</f>
      </c>
      <c r="O40" s="2">
        <f>HYPERLINK("https://www.greenbondtransparency.com/bond-info/?handle=c8db70a600e4496aa0bdff98338e72ee","CIFI_GB")</f>
      </c>
      <c r="P40" s="2" t="s">
        <v>24</v>
      </c>
    </row>
    <row r="41" spans="1:16" x14ac:dyDescent="0.25">
      <c r="A41" t="s">
        <v>16</v>
      </c>
      <c r="B41" t="s">
        <v>155</v>
      </c>
      <c r="C41" t="s">
        <v>156</v>
      </c>
      <c r="E41" t="s">
        <v>34</v>
      </c>
      <c r="F41" t="s">
        <v>20</v>
      </c>
      <c r="G41" t="s">
        <v>157</v>
      </c>
      <c r="H41" t="s">
        <v>44</v>
      </c>
      <c r="I41" t="s">
        <v>49</v>
      </c>
      <c r="J41">
        <v>115000000</v>
      </c>
      <c r="K41">
        <v>21369506</v>
      </c>
      <c r="L41" s="1">
        <v>44242</v>
      </c>
      <c r="M41" s="1">
        <v>46798</v>
      </c>
      <c r="N41" s="2">
        <f>HYPERLINK("https://www.greenbondtransparency.com/bond-info/?handle=266ba26a960a4367b8afe616f921de4a","BRRSANDBS048")</f>
      </c>
      <c r="O41" s="2" t="s">
        <v>24</v>
      </c>
      <c r="P41" s="2" t="s">
        <v>24</v>
      </c>
    </row>
    <row r="42" spans="1:16" x14ac:dyDescent="0.25">
      <c r="A42" t="s">
        <v>16</v>
      </c>
      <c r="B42" t="s">
        <v>158</v>
      </c>
      <c r="C42" t="s">
        <v>159</v>
      </c>
      <c r="E42" t="s">
        <v>129</v>
      </c>
      <c r="F42" t="s">
        <v>20</v>
      </c>
      <c r="G42" t="s">
        <v>160</v>
      </c>
      <c r="H42" t="s">
        <v>44</v>
      </c>
      <c r="I42" t="s">
        <v>131</v>
      </c>
      <c r="J42">
        <v>160000000000</v>
      </c>
      <c r="K42">
        <v>42602933</v>
      </c>
      <c r="L42" s="1">
        <v>44056</v>
      </c>
      <c r="M42" s="1">
        <v>47343</v>
      </c>
      <c r="N42" s="2">
        <f>HYPERLINK("https://www.greenbondtransparency.com/bond-info/?handle=26841b3a429e412a9322c0fc4089babb","COE15CB00287")</f>
      </c>
      <c r="O42" s="2">
        <f>HYPERLINK("https://www.greenbondtransparency.com/bond-info/?handle=a0bc4c5a1c144c07bd4a964abff5f34f","ISA GB2020")</f>
      </c>
      <c r="P42" s="2" t="s">
        <v>24</v>
      </c>
    </row>
    <row r="43" spans="1:16" x14ac:dyDescent="0.25">
      <c r="A43" t="s">
        <v>16</v>
      </c>
      <c r="B43" t="s">
        <v>161</v>
      </c>
      <c r="C43" t="s">
        <v>162</v>
      </c>
      <c r="D43" t="s">
        <v>27</v>
      </c>
      <c r="E43" t="s">
        <v>34</v>
      </c>
      <c r="F43" t="s">
        <v>20</v>
      </c>
      <c r="G43" t="s">
        <v>163</v>
      </c>
      <c r="H43" t="s">
        <v>44</v>
      </c>
      <c r="I43" t="s">
        <v>49</v>
      </c>
      <c r="J43">
        <v>1166000000</v>
      </c>
      <c r="K43">
        <v>223976125</v>
      </c>
      <c r="L43" s="1">
        <v>44738</v>
      </c>
      <c r="M43" s="1">
        <v>45838</v>
      </c>
      <c r="N43" s="2">
        <f>HYPERLINK("https://www.greenbondtransparency.com/bond-info/?handle=269a55356082452aa37d61beb9f617bb","BR0CM4CTF004")</f>
      </c>
      <c r="O43" s="2" t="s">
        <v>24</v>
      </c>
      <c r="P43" s="2" t="s">
        <v>24</v>
      </c>
    </row>
    <row r="44" spans="1:16" x14ac:dyDescent="0.25">
      <c r="A44" t="s">
        <v>16</v>
      </c>
      <c r="B44" t="s">
        <v>164</v>
      </c>
      <c r="C44" t="s">
        <v>165</v>
      </c>
      <c r="E44" t="s">
        <v>34</v>
      </c>
      <c r="F44" t="s">
        <v>20</v>
      </c>
      <c r="G44" t="s">
        <v>166</v>
      </c>
      <c r="H44" t="s">
        <v>44</v>
      </c>
      <c r="I44" t="s">
        <v>49</v>
      </c>
      <c r="J44">
        <v>530000000</v>
      </c>
      <c r="K44">
        <v>129429290</v>
      </c>
      <c r="L44" s="1">
        <v>43814</v>
      </c>
      <c r="M44" s="1">
        <v>52946</v>
      </c>
      <c r="N44" s="2">
        <f>HYPERLINK("https://www.greenbondtransparency.com/bond-info/?handle=26a5760d5ece44d0b9a7553dae41917f","BRTSMMDBS009")</f>
      </c>
      <c r="O44" s="2" t="s">
        <v>24</v>
      </c>
      <c r="P44" s="2" t="s">
        <v>24</v>
      </c>
    </row>
    <row r="45" spans="1:16" x14ac:dyDescent="0.25">
      <c r="A45" t="s">
        <v>16</v>
      </c>
      <c r="B45" t="s">
        <v>167</v>
      </c>
      <c r="C45" t="s">
        <v>168</v>
      </c>
      <c r="E45" t="s">
        <v>34</v>
      </c>
      <c r="F45" t="s">
        <v>20</v>
      </c>
      <c r="G45" t="s">
        <v>141</v>
      </c>
      <c r="H45" t="s">
        <v>44</v>
      </c>
      <c r="I45" t="s">
        <v>49</v>
      </c>
      <c r="J45">
        <v>150000000</v>
      </c>
      <c r="K45">
        <v>26572188</v>
      </c>
      <c r="L45" s="1">
        <v>44523</v>
      </c>
      <c r="M45" s="1">
        <v>47073</v>
      </c>
      <c r="N45" s="2">
        <f>HYPERLINK("https://www.greenbondtransparency.com/bond-info/?handle=270dc78108554e578876030bd2496dde","BRVERTCRA2K6")</f>
      </c>
      <c r="O45" s="2" t="s">
        <v>24</v>
      </c>
      <c r="P45" s="2" t="s">
        <v>24</v>
      </c>
    </row>
    <row r="46" spans="1:16" x14ac:dyDescent="0.25">
      <c r="A46" t="s">
        <v>16</v>
      </c>
      <c r="B46" t="s">
        <v>169</v>
      </c>
      <c r="C46" t="s">
        <v>170</v>
      </c>
      <c r="E46" t="s">
        <v>34</v>
      </c>
      <c r="F46" t="s">
        <v>20</v>
      </c>
      <c r="G46" t="s">
        <v>171</v>
      </c>
      <c r="H46" t="s">
        <v>44</v>
      </c>
      <c r="I46" t="s">
        <v>49</v>
      </c>
      <c r="J46">
        <v>621000000</v>
      </c>
      <c r="K46">
        <v>119500000</v>
      </c>
      <c r="L46" s="1">
        <v>43222</v>
      </c>
      <c r="M46" s="1">
        <v>45762</v>
      </c>
      <c r="N46" s="2">
        <f>HYPERLINK("https://www.greenbondtransparency.com/bond-info/?handle=2713ee8efde4440b875f3a181f33a9f4","BRTRPLDBS071")</f>
      </c>
      <c r="O46" s="2" t="s">
        <v>24</v>
      </c>
      <c r="P46" s="2" t="s">
        <v>24</v>
      </c>
    </row>
    <row r="47" spans="1:16" x14ac:dyDescent="0.25">
      <c r="A47" t="s">
        <v>16</v>
      </c>
      <c r="B47" t="s">
        <v>172</v>
      </c>
      <c r="C47" t="s">
        <v>173</v>
      </c>
      <c r="E47" t="s">
        <v>34</v>
      </c>
      <c r="F47" t="s">
        <v>20</v>
      </c>
      <c r="G47" t="s">
        <v>174</v>
      </c>
      <c r="H47" t="s">
        <v>44</v>
      </c>
      <c r="I47" t="s">
        <v>49</v>
      </c>
      <c r="J47">
        <v>25247827</v>
      </c>
      <c r="K47">
        <v>4855349</v>
      </c>
      <c r="L47" s="1">
        <v>43731</v>
      </c>
      <c r="M47" s="1">
        <v>48285</v>
      </c>
      <c r="N47" s="2">
        <f>HYPERLINK("https://www.greenbondtransparency.com/bond-info/?handle=28100961034e4404b6bfbb0919a87500","BRAPCSCRI606")</f>
      </c>
      <c r="O47" s="2" t="s">
        <v>24</v>
      </c>
      <c r="P47" s="2" t="s">
        <v>24</v>
      </c>
    </row>
    <row r="48" spans="1:16" x14ac:dyDescent="0.25">
      <c r="A48" t="s">
        <v>16</v>
      </c>
      <c r="B48" t="s">
        <v>175</v>
      </c>
      <c r="C48" t="s">
        <v>176</v>
      </c>
      <c r="D48" t="s">
        <v>27</v>
      </c>
      <c r="E48" t="s">
        <v>34</v>
      </c>
      <c r="F48" t="s">
        <v>20</v>
      </c>
      <c r="G48" t="s">
        <v>177</v>
      </c>
      <c r="H48" t="s">
        <v>22</v>
      </c>
      <c r="I48" t="s">
        <v>23</v>
      </c>
      <c r="J48">
        <v>50000000</v>
      </c>
      <c r="K48">
        <v>50000000</v>
      </c>
      <c r="L48" s="1">
        <v>44165</v>
      </c>
      <c r="M48" s="1">
        <v>45991</v>
      </c>
      <c r="N48" s="2">
        <f>HYPERLINK("https://www.greenbondtransparency.com/bond-info/?handle=282de9537dfb4fe29cef3d72871b4d6d","XS2264186524")</f>
      </c>
      <c r="O48" s="2">
        <f>HYPERLINK("https://www.greenbondtransparency.com/bond-info/?handle=8e6d700046f54858af9428fd50d0f6ee","BTGP Green")</f>
      </c>
      <c r="P48" s="2">
        <f>HYPERLINK("https://www.greenbondtransparency.com/download-document/?entity=Framework&amp;handle=4fe1e360ebb54d2881c324702c05ca4c","BTG Pactual Green, Social and Sustainable Financing Framework")</f>
      </c>
    </row>
    <row r="49" spans="1:16" x14ac:dyDescent="0.25">
      <c r="A49" t="s">
        <v>16</v>
      </c>
      <c r="B49" t="s">
        <v>178</v>
      </c>
      <c r="C49" t="s">
        <v>179</v>
      </c>
      <c r="D49" t="s">
        <v>72</v>
      </c>
      <c r="E49" t="s">
        <v>73</v>
      </c>
      <c r="F49" t="s">
        <v>20</v>
      </c>
      <c r="G49" t="s">
        <v>74</v>
      </c>
      <c r="H49" t="s">
        <v>30</v>
      </c>
      <c r="I49" t="s">
        <v>75</v>
      </c>
      <c r="J49">
        <v>4000000000</v>
      </c>
      <c r="K49">
        <v>222222222</v>
      </c>
      <c r="L49" s="1">
        <v>44974</v>
      </c>
      <c r="M49" s="1">
        <v>46066</v>
      </c>
      <c r="N49" s="2">
        <f>HYPERLINK("https://www.greenbondtransparency.com/bond-info/?handle=2878df0beb2d40299777e8fb4ee097d6","MXCDBA0300G9")</f>
      </c>
      <c r="O49" s="2">
        <f>HYPERLINK("https://www.greenbondtransparency.com/bond-info/?handle=c9818a5477c24c92b64c779cc3249a8f","MXCDBA")</f>
      </c>
      <c r="P49" s="2">
        <f>HYPERLINK("https://www.greenbondtransparency.com/download-document/?entity=Framework&amp;handle=41f78746078d444787f9a1f78b30153c","Bancomext Sustainability Bond Framework")</f>
      </c>
    </row>
    <row r="50" spans="1:16" x14ac:dyDescent="0.25">
      <c r="A50" t="s">
        <v>16</v>
      </c>
      <c r="B50" t="s">
        <v>180</v>
      </c>
      <c r="C50" t="s">
        <v>181</v>
      </c>
      <c r="D50" t="s">
        <v>72</v>
      </c>
      <c r="E50" t="s">
        <v>73</v>
      </c>
      <c r="F50" t="s">
        <v>20</v>
      </c>
      <c r="G50" t="s">
        <v>74</v>
      </c>
      <c r="H50" t="s">
        <v>30</v>
      </c>
      <c r="I50" t="s">
        <v>75</v>
      </c>
      <c r="J50">
        <v>4985193000</v>
      </c>
      <c r="K50">
        <v>245806247.87</v>
      </c>
      <c r="L50" s="1">
        <v>44643</v>
      </c>
      <c r="M50" s="1">
        <v>45741</v>
      </c>
      <c r="N50" s="2">
        <f>HYPERLINK("https://www.greenbondtransparency.com/bond-info/?handle=28819e812f754cc7a6258219e8918c4e","MXCDBA0300F1")</f>
      </c>
      <c r="O50" s="2">
        <f>HYPERLINK("https://www.greenbondtransparency.com/bond-info/?handle=a203bf32e36b489bacf6ec7972d80d21","BANCOMEXT CEBUR")</f>
      </c>
      <c r="P50" s="2">
        <f>HYPERLINK("https://www.greenbondtransparency.com/download-document/?entity=Framework&amp;handle=41f78746078d444787f9a1f78b30153c","Bancomext Sustainability Bond Framework")</f>
      </c>
    </row>
    <row r="51" spans="1:16" x14ac:dyDescent="0.25">
      <c r="A51" t="s">
        <v>16</v>
      </c>
      <c r="B51" t="s">
        <v>182</v>
      </c>
      <c r="C51" t="s">
        <v>183</v>
      </c>
      <c r="E51" t="s">
        <v>34</v>
      </c>
      <c r="F51" t="s">
        <v>20</v>
      </c>
      <c r="G51" t="s">
        <v>184</v>
      </c>
      <c r="H51" t="s">
        <v>44</v>
      </c>
      <c r="I51" t="s">
        <v>49</v>
      </c>
      <c r="J51">
        <v>347809000</v>
      </c>
      <c r="K51">
        <v>60339509</v>
      </c>
      <c r="L51" s="1">
        <v>44284</v>
      </c>
      <c r="M51" s="1">
        <v>46097</v>
      </c>
      <c r="N51" s="2">
        <f>HYPERLINK("https://www.greenbondtransparency.com/bond-info/?handle=28ae5ae6b38d4f6ea026a78ebefacd1b","BRVERTCRA286")</f>
      </c>
      <c r="O51" s="2" t="s">
        <v>24</v>
      </c>
      <c r="P51" s="2">
        <f>HYPERLINK("https://www.greenbondtransparency.com/download-document/?entity=Framework&amp;handle=0ca1bbf86b2045aba7e8ff9a179c2758","Parecer Independente CRA Verde Tereos - Sitawi")</f>
      </c>
    </row>
    <row r="52" spans="1:16" x14ac:dyDescent="0.25">
      <c r="A52" t="s">
        <v>16</v>
      </c>
      <c r="B52" t="s">
        <v>185</v>
      </c>
      <c r="C52" t="s">
        <v>186</v>
      </c>
      <c r="D52" t="s">
        <v>27</v>
      </c>
      <c r="E52" t="s">
        <v>64</v>
      </c>
      <c r="F52" t="s">
        <v>20</v>
      </c>
      <c r="G52" t="s">
        <v>187</v>
      </c>
      <c r="H52" t="s">
        <v>44</v>
      </c>
      <c r="I52" t="s">
        <v>23</v>
      </c>
      <c r="J52">
        <v>600000000</v>
      </c>
      <c r="K52">
        <v>600000000</v>
      </c>
      <c r="L52" s="1">
        <v>44490</v>
      </c>
      <c r="M52" s="1">
        <v>48506</v>
      </c>
      <c r="N52" s="2">
        <f>HYPERLINK("https://www.greenbondtransparency.com/bond-info/?handle=29d94d24937e477b9e4b09346ba22815","USP2867KAL00")</f>
      </c>
      <c r="O52" s="2" t="s">
        <v>24</v>
      </c>
      <c r="P52" s="2" t="s">
        <v>24</v>
      </c>
    </row>
    <row r="53" spans="1:16" x14ac:dyDescent="0.25">
      <c r="A53" t="s">
        <v>16</v>
      </c>
      <c r="B53" t="s">
        <v>188</v>
      </c>
      <c r="C53" t="s">
        <v>189</v>
      </c>
      <c r="D53" t="s">
        <v>27</v>
      </c>
      <c r="E53" t="s">
        <v>59</v>
      </c>
      <c r="F53" t="s">
        <v>20</v>
      </c>
      <c r="G53" t="s">
        <v>190</v>
      </c>
      <c r="H53" t="s">
        <v>44</v>
      </c>
      <c r="I53" t="s">
        <v>23</v>
      </c>
      <c r="J53">
        <v>36962246</v>
      </c>
      <c r="K53">
        <v>36962246</v>
      </c>
      <c r="L53" s="1">
        <v>43878</v>
      </c>
      <c r="M53" s="1">
        <v>44244</v>
      </c>
      <c r="N53" s="2">
        <f>HYPERLINK("https://www.greenbondtransparency.com/bond-info/?handle=2a7bdd3170f44ab4b731fddbc86f0ade","ARPETQ560069")</f>
      </c>
      <c r="O53" s="2" t="s">
        <v>24</v>
      </c>
      <c r="P53" s="2" t="s">
        <v>24</v>
      </c>
    </row>
    <row r="54" spans="1:16" x14ac:dyDescent="0.25">
      <c r="A54" t="s">
        <v>1</v>
      </c>
      <c r="B54" t="s">
        <v>191</v>
      </c>
      <c r="C54" t="s">
        <v>192</v>
      </c>
      <c r="E54" t="s">
        <v>34</v>
      </c>
      <c r="F54" t="s">
        <v>20</v>
      </c>
      <c r="G54" t="s">
        <v>193</v>
      </c>
      <c r="H54" t="s">
        <v>30</v>
      </c>
      <c r="I54" t="s">
        <v>23</v>
      </c>
      <c r="J54">
        <v>50000000</v>
      </c>
      <c r="K54">
        <v>50000000</v>
      </c>
      <c r="L54" s="1">
        <v>44183</v>
      </c>
      <c r="M54" s="1">
        <v>46739</v>
      </c>
      <c r="N54" s="2">
        <f>HYPERLINK("https://www.greenbondtransparency.com/bond-info/?handle=2a7f1db976e749ceace3907f38ec71be","BDMGBZ")</f>
      </c>
      <c r="O54" s="2" t="s">
        <v>24</v>
      </c>
      <c r="P54" s="2" t="s">
        <v>24</v>
      </c>
    </row>
    <row r="55" spans="1:16" x14ac:dyDescent="0.25">
      <c r="A55" t="s">
        <v>16</v>
      </c>
      <c r="B55" t="s">
        <v>194</v>
      </c>
      <c r="C55" t="s">
        <v>195</v>
      </c>
      <c r="E55" t="s">
        <v>34</v>
      </c>
      <c r="F55" t="s">
        <v>20</v>
      </c>
      <c r="G55" t="s">
        <v>196</v>
      </c>
      <c r="H55" t="s">
        <v>44</v>
      </c>
      <c r="I55" t="s">
        <v>49</v>
      </c>
      <c r="J55">
        <v>1000000000</v>
      </c>
      <c r="K55">
        <v>291723795</v>
      </c>
      <c r="L55" s="1">
        <v>42699</v>
      </c>
      <c r="M55" s="1">
        <v>45621</v>
      </c>
      <c r="N55" s="2">
        <f>HYPERLINK("https://www.greenbondtransparency.com/bond-info/?handle=2d02a140e1674840929801f32b91dbf3","BRECOACRA1I9")</f>
      </c>
      <c r="O55" s="2" t="s">
        <v>24</v>
      </c>
      <c r="P55" s="2" t="s">
        <v>24</v>
      </c>
    </row>
    <row r="56" spans="1:16" x14ac:dyDescent="0.25">
      <c r="A56" t="s">
        <v>16</v>
      </c>
      <c r="B56" t="s">
        <v>197</v>
      </c>
      <c r="C56" t="s">
        <v>198</v>
      </c>
      <c r="E56" t="s">
        <v>34</v>
      </c>
      <c r="F56" t="s">
        <v>20</v>
      </c>
      <c r="G56" t="s">
        <v>199</v>
      </c>
      <c r="H56" t="s">
        <v>44</v>
      </c>
      <c r="I56" t="s">
        <v>49</v>
      </c>
      <c r="J56">
        <v>16000000</v>
      </c>
      <c r="K56">
        <v>4266666</v>
      </c>
      <c r="L56" s="1">
        <v>43286</v>
      </c>
      <c r="M56" s="1">
        <v>46871</v>
      </c>
      <c r="N56" s="2">
        <f>HYPERLINK("https://www.greenbondtransparency.com/bond-info/?handle=2d8de8f14b6641838c8358b9eeb40c28","BRHITCDBS001")</f>
      </c>
      <c r="O56" s="2" t="s">
        <v>24</v>
      </c>
      <c r="P56" s="2" t="s">
        <v>24</v>
      </c>
    </row>
    <row r="57" spans="1:16" x14ac:dyDescent="0.25">
      <c r="A57" t="s">
        <v>16</v>
      </c>
      <c r="B57" t="s">
        <v>200</v>
      </c>
      <c r="C57" t="s">
        <v>201</v>
      </c>
      <c r="E57" t="s">
        <v>34</v>
      </c>
      <c r="F57" t="s">
        <v>20</v>
      </c>
      <c r="G57" t="s">
        <v>99</v>
      </c>
      <c r="H57" t="s">
        <v>44</v>
      </c>
      <c r="I57" t="s">
        <v>49</v>
      </c>
      <c r="J57">
        <v>220000000</v>
      </c>
      <c r="K57">
        <v>69681997</v>
      </c>
      <c r="L57" s="1">
        <v>43023</v>
      </c>
      <c r="M57" s="1">
        <v>47467</v>
      </c>
      <c r="N57" s="2">
        <f>HYPERLINK("https://www.greenbondtransparency.com/bond-info/?handle=2fdfc64b87b840a397dbab7ef4863118","BROMNGDBS011")</f>
      </c>
      <c r="O57" s="2" t="s">
        <v>24</v>
      </c>
      <c r="P57" s="2" t="s">
        <v>24</v>
      </c>
    </row>
    <row r="58" spans="1:16" x14ac:dyDescent="0.25">
      <c r="A58" t="s">
        <v>16</v>
      </c>
      <c r="B58" t="s">
        <v>202</v>
      </c>
      <c r="C58" t="s">
        <v>203</v>
      </c>
      <c r="D58" t="s">
        <v>27</v>
      </c>
      <c r="E58" t="s">
        <v>73</v>
      </c>
      <c r="F58" t="s">
        <v>20</v>
      </c>
      <c r="G58" t="s">
        <v>204</v>
      </c>
      <c r="H58" t="s">
        <v>30</v>
      </c>
      <c r="I58" t="s">
        <v>75</v>
      </c>
      <c r="J58">
        <v>2500000000</v>
      </c>
      <c r="K58">
        <v>128887743</v>
      </c>
      <c r="L58" s="1">
        <v>43396</v>
      </c>
      <c r="M58" s="1">
        <v>44488</v>
      </c>
      <c r="N58" s="2">
        <f>HYPERLINK("https://www.greenbondtransparency.com/bond-info/?handle=3138cc32cdef45918af3cade062653bd","MX95FE040186")</f>
      </c>
      <c r="O58" s="2" t="s">
        <v>24</v>
      </c>
      <c r="P58" s="2">
        <f>HYPERLINK("https://www.greenbondtransparency.com/download-document/?entity=Framework&amp;handle=db1cda571f7a40d78a10fa816b44c3d0","FEFA Green Bond Framework")</f>
      </c>
    </row>
    <row r="59" spans="1:16" x14ac:dyDescent="0.25">
      <c r="A59" t="s">
        <v>16</v>
      </c>
      <c r="B59" t="s">
        <v>205</v>
      </c>
      <c r="C59" t="s">
        <v>206</v>
      </c>
      <c r="D59" t="s">
        <v>27</v>
      </c>
      <c r="E59" t="s">
        <v>34</v>
      </c>
      <c r="F59" t="s">
        <v>20</v>
      </c>
      <c r="G59" t="s">
        <v>138</v>
      </c>
      <c r="H59" t="s">
        <v>44</v>
      </c>
      <c r="I59" t="s">
        <v>49</v>
      </c>
      <c r="J59">
        <v>300000000</v>
      </c>
      <c r="K59">
        <v>67094434</v>
      </c>
      <c r="L59" s="1">
        <v>43814</v>
      </c>
      <c r="M59" s="1">
        <v>52946</v>
      </c>
      <c r="N59" s="2">
        <f>HYPERLINK("https://www.greenbondtransparency.com/bond-info/?handle=314f7f4c213f427091038506ef0c444b","BRTAEEDBS0I1")</f>
      </c>
      <c r="O59" s="2" t="s">
        <v>24</v>
      </c>
      <c r="P59" s="2" t="s">
        <v>24</v>
      </c>
    </row>
    <row r="60" spans="1:16" x14ac:dyDescent="0.25">
      <c r="A60" t="s">
        <v>16</v>
      </c>
      <c r="B60" t="s">
        <v>207</v>
      </c>
      <c r="C60" t="s">
        <v>208</v>
      </c>
      <c r="E60" t="s">
        <v>129</v>
      </c>
      <c r="F60" t="s">
        <v>20</v>
      </c>
      <c r="G60" t="s">
        <v>130</v>
      </c>
      <c r="H60" t="s">
        <v>22</v>
      </c>
      <c r="I60" t="s">
        <v>131</v>
      </c>
      <c r="J60">
        <v>657000000000</v>
      </c>
      <c r="K60">
        <v>206408402</v>
      </c>
      <c r="L60" s="1">
        <v>43665</v>
      </c>
      <c r="M60" s="1">
        <v>45492</v>
      </c>
      <c r="N60" s="2">
        <f>HYPERLINK("https://www.greenbondtransparency.com/bond-info/?handle=33ceef813ef14aac8ab44dc3a53606d8","COB07CB00611")</f>
      </c>
      <c r="O60" s="2" t="s">
        <v>24</v>
      </c>
      <c r="P60" s="2">
        <f>HYPERLINK("https://www.greenbondtransparency.com/download-document/?entity=Framework&amp;handle=e7161c8807ca44e085439ddf548d7489","Bono Sostenible Bancolombia")</f>
      </c>
    </row>
    <row r="61" spans="1:16" x14ac:dyDescent="0.25">
      <c r="A61" t="s">
        <v>16</v>
      </c>
      <c r="B61" t="s">
        <v>209</v>
      </c>
      <c r="C61" t="s">
        <v>210</v>
      </c>
      <c r="D61" t="s">
        <v>72</v>
      </c>
      <c r="E61" t="s">
        <v>73</v>
      </c>
      <c r="F61" t="s">
        <v>20</v>
      </c>
      <c r="G61" t="s">
        <v>211</v>
      </c>
      <c r="H61" t="s">
        <v>30</v>
      </c>
      <c r="I61" t="s">
        <v>75</v>
      </c>
      <c r="J61">
        <v>6500000000</v>
      </c>
      <c r="K61">
        <v>310067165</v>
      </c>
      <c r="L61" s="1">
        <v>44522</v>
      </c>
      <c r="M61" s="1">
        <v>48162</v>
      </c>
      <c r="N61" s="2">
        <f>HYPERLINK("https://www.greenbondtransparency.com/bond-info/?handle=346f88279d564a3884e3182f0e281b57","MXCDNA0R0060")</f>
      </c>
      <c r="O61" s="2">
        <f>HYPERLINK("https://www.greenbondtransparency.com/bond-info/?handle=fde1fb8ae7d44947b015b7189e5ccd9a","NafinSustBond21")</f>
      </c>
      <c r="P61" s="2">
        <f>HYPERLINK("https://www.greenbondtransparency.com/download-document/?entity=Framework&amp;handle=cfa387c69d2e4d5494eca57e9ec0f224","NAFIN Sustainability Bond Framework")</f>
      </c>
    </row>
    <row r="62" spans="1:16" x14ac:dyDescent="0.25">
      <c r="A62" t="s">
        <v>16</v>
      </c>
      <c r="B62" t="s">
        <v>212</v>
      </c>
      <c r="C62" t="s">
        <v>213</v>
      </c>
      <c r="D62" t="s">
        <v>27</v>
      </c>
      <c r="E62" t="s">
        <v>129</v>
      </c>
      <c r="F62" t="s">
        <v>20</v>
      </c>
      <c r="G62" t="s">
        <v>214</v>
      </c>
      <c r="H62" t="s">
        <v>22</v>
      </c>
      <c r="I62" t="s">
        <v>131</v>
      </c>
      <c r="J62">
        <v>47121000000</v>
      </c>
      <c r="K62">
        <v>12313132</v>
      </c>
      <c r="L62" s="1">
        <v>44637</v>
      </c>
      <c r="M62" s="1">
        <v>45733</v>
      </c>
      <c r="N62" s="2">
        <f>HYPERLINK("https://www.greenbondtransparency.com/bond-info/?handle=38c8968c7a15417cb719352eb6a09133","COB63CB00440")</f>
      </c>
      <c r="O62" s="2">
        <f>HYPERLINK("https://www.greenbondtransparency.com/bond-info/?handle=c0573c3a55414bb284866d6334dfb985","Prog Finandina")</f>
      </c>
      <c r="P62" s="2">
        <f>HYPERLINK("https://www.greenbondtransparency.com/download-document/?entity=Framework&amp;handle=46bc90cd9f664b57a297ff3b221857bd","Cartilla Bonos Verdes")</f>
      </c>
    </row>
    <row r="63" spans="1:16" x14ac:dyDescent="0.25">
      <c r="A63" t="s">
        <v>16</v>
      </c>
      <c r="B63" t="s">
        <v>215</v>
      </c>
      <c r="C63" t="s">
        <v>216</v>
      </c>
      <c r="D63" t="s">
        <v>27</v>
      </c>
      <c r="E63" t="s">
        <v>34</v>
      </c>
      <c r="F63" t="s">
        <v>20</v>
      </c>
      <c r="G63" t="s">
        <v>138</v>
      </c>
      <c r="H63" t="s">
        <v>44</v>
      </c>
      <c r="I63" t="s">
        <v>49</v>
      </c>
      <c r="J63">
        <v>318807000</v>
      </c>
      <c r="K63">
        <v>62036777</v>
      </c>
      <c r="L63" s="1">
        <v>44666</v>
      </c>
      <c r="M63" s="1">
        <v>50145</v>
      </c>
      <c r="N63" s="2">
        <f>HYPERLINK("https://www.greenbondtransparency.com/bond-info/?handle=39587602e1844d63bfd0b032da4a4a9c","BRTAEEDBS0R2")</f>
      </c>
      <c r="O63" s="2">
        <f>HYPERLINK("https://www.greenbondtransparency.com/bond-info/?handle=eba65f8413f44823a8d3c8570919f967","12ªEmissãoTaesa")</f>
      </c>
      <c r="P63" s="2" t="s">
        <v>24</v>
      </c>
    </row>
    <row r="64" spans="1:16" x14ac:dyDescent="0.25">
      <c r="A64" t="s">
        <v>16</v>
      </c>
      <c r="B64" t="s">
        <v>217</v>
      </c>
      <c r="C64" t="s">
        <v>218</v>
      </c>
      <c r="E64" t="s">
        <v>19</v>
      </c>
      <c r="F64" t="s">
        <v>20</v>
      </c>
      <c r="G64" t="s">
        <v>21</v>
      </c>
      <c r="H64" t="s">
        <v>22</v>
      </c>
      <c r="I64" t="s">
        <v>23</v>
      </c>
      <c r="J64">
        <v>7000000</v>
      </c>
      <c r="K64">
        <v>7000000</v>
      </c>
      <c r="L64" s="1">
        <v>43817</v>
      </c>
      <c r="M64" s="1">
        <v>45652</v>
      </c>
      <c r="N64" s="2">
        <f>HYPERLINK("https://www.greenbondtransparency.com/bond-info/?handle=3a4f6ab306c64e85af7f7d44d4610e2b","PAL3009913E4")</f>
      </c>
      <c r="O64" s="2">
        <f>HYPERLINK("https://www.greenbondtransparency.com/bond-info/?handle=c8db70a600e4496aa0bdff98338e72ee","CIFI_GB")</f>
      </c>
      <c r="P64" s="2" t="s">
        <v>24</v>
      </c>
    </row>
    <row r="65" spans="1:16" x14ac:dyDescent="0.25">
      <c r="A65" t="s">
        <v>16</v>
      </c>
      <c r="B65" t="s">
        <v>219</v>
      </c>
      <c r="C65" t="s">
        <v>220</v>
      </c>
      <c r="D65" t="s">
        <v>27</v>
      </c>
      <c r="E65" t="s">
        <v>73</v>
      </c>
      <c r="F65" t="s">
        <v>20</v>
      </c>
      <c r="G65" t="s">
        <v>204</v>
      </c>
      <c r="H65" t="s">
        <v>30</v>
      </c>
      <c r="I65" t="s">
        <v>75</v>
      </c>
      <c r="J65">
        <v>2500000000</v>
      </c>
      <c r="K65">
        <v>128932439</v>
      </c>
      <c r="L65" s="1">
        <v>43791</v>
      </c>
      <c r="M65" s="1">
        <v>44967</v>
      </c>
      <c r="N65" s="2">
        <f>HYPERLINK("https://www.greenbondtransparency.com/bond-info/?handle=3b70961fc8884f169dc04b9d539085f2","MX95FE0401J4")</f>
      </c>
      <c r="O65" s="2" t="s">
        <v>24</v>
      </c>
      <c r="P65" s="2">
        <f>HYPERLINK("https://www.greenbondtransparency.com/download-document/?entity=Framework&amp;handle=db1cda571f7a40d78a10fa816b44c3d0","FEFA Green Bond Framework")</f>
      </c>
    </row>
    <row r="66" spans="1:16" x14ac:dyDescent="0.25">
      <c r="A66" t="s">
        <v>1</v>
      </c>
      <c r="B66" t="s">
        <v>221</v>
      </c>
      <c r="C66" t="s">
        <v>222</v>
      </c>
      <c r="D66" t="s">
        <v>27</v>
      </c>
      <c r="E66" t="s">
        <v>223</v>
      </c>
      <c r="F66" t="s">
        <v>20</v>
      </c>
      <c r="G66" t="s">
        <v>224</v>
      </c>
      <c r="H66" t="s">
        <v>44</v>
      </c>
      <c r="I66" t="s">
        <v>23</v>
      </c>
      <c r="J66">
        <v>135810000</v>
      </c>
      <c r="K66">
        <v>135810000</v>
      </c>
      <c r="L66" s="1">
        <v>42943</v>
      </c>
      <c r="M66" s="1">
        <v>49996</v>
      </c>
      <c r="N66" s="2">
        <f>HYPERLINK("https://www.greenbondtransparency.com/bond-info/?handle=3bc2ce485efc4b8680560d04eaf51ce3","PR_PL_Nicefield")</f>
      </c>
      <c r="O66" s="2" t="s">
        <v>24</v>
      </c>
      <c r="P66" s="2" t="s">
        <v>24</v>
      </c>
    </row>
    <row r="67" spans="1:16" x14ac:dyDescent="0.25">
      <c r="A67" t="s">
        <v>16</v>
      </c>
      <c r="B67" t="s">
        <v>225</v>
      </c>
      <c r="C67" t="s">
        <v>226</v>
      </c>
      <c r="E67" t="s">
        <v>64</v>
      </c>
      <c r="F67" t="s">
        <v>20</v>
      </c>
      <c r="G67" t="s">
        <v>227</v>
      </c>
      <c r="H67" t="s">
        <v>44</v>
      </c>
      <c r="I67" t="s">
        <v>228</v>
      </c>
      <c r="J67">
        <v>2000000</v>
      </c>
      <c r="K67">
        <v>81506332</v>
      </c>
      <c r="L67" s="1">
        <v>43566</v>
      </c>
      <c r="M67" s="1">
        <v>52671</v>
      </c>
      <c r="N67" s="2">
        <f>HYPERLINK("https://www.greenbondtransparency.com/bond-info/?handle=3e001fbc60b6457dbbb4e67ee69152c0","CL0002521988")</f>
      </c>
      <c r="O67" s="2" t="s">
        <v>24</v>
      </c>
      <c r="P67" s="2">
        <f>HYPERLINK("https://www.greenbondtransparency.com/download-document/?entity=Framework&amp;handle=44e38dbb4e334294b5534acaf9930631","Green social bond framework series ad ae 2019")</f>
      </c>
    </row>
    <row r="68" spans="1:16" x14ac:dyDescent="0.25">
      <c r="A68" t="s">
        <v>16</v>
      </c>
      <c r="B68" t="s">
        <v>229</v>
      </c>
      <c r="C68" t="s">
        <v>230</v>
      </c>
      <c r="E68" t="s">
        <v>129</v>
      </c>
      <c r="F68" t="s">
        <v>20</v>
      </c>
      <c r="G68" t="s">
        <v>231</v>
      </c>
      <c r="H68" t="s">
        <v>22</v>
      </c>
      <c r="I68" t="s">
        <v>131</v>
      </c>
      <c r="J68">
        <v>300000000000</v>
      </c>
      <c r="K68">
        <v>77647790</v>
      </c>
      <c r="L68" s="1">
        <v>44098</v>
      </c>
      <c r="M68" s="1">
        <v>45924</v>
      </c>
      <c r="N68" s="2">
        <f>HYPERLINK("https://www.greenbondtransparency.com/bond-info/?handle=43da939a64e7473388d28a08a74f1490","COB01CB00135")</f>
      </c>
      <c r="O68" s="2" t="s">
        <v>24</v>
      </c>
      <c r="P68" s="2">
        <f>HYPERLINK("https://www.greenbondtransparency.com/download-document/?entity=Framework&amp;handle=f3dbd2a2f86048d3b238e68cedcb70fa","Marco de Referencia de Bonos Verdes del Banco de Bogotá")</f>
      </c>
    </row>
    <row r="69" spans="1:16" x14ac:dyDescent="0.25">
      <c r="A69" t="s">
        <v>16</v>
      </c>
      <c r="B69" t="s">
        <v>232</v>
      </c>
      <c r="C69" t="s">
        <v>233</v>
      </c>
      <c r="E69" t="s">
        <v>53</v>
      </c>
      <c r="F69" t="s">
        <v>54</v>
      </c>
      <c r="G69" t="s">
        <v>234</v>
      </c>
      <c r="H69" t="s">
        <v>30</v>
      </c>
      <c r="I69" t="s">
        <v>235</v>
      </c>
      <c r="J69">
        <v>750000000</v>
      </c>
      <c r="K69">
        <v>825187500</v>
      </c>
      <c r="L69" s="1">
        <v>43789</v>
      </c>
      <c r="M69" s="1">
        <v>46346</v>
      </c>
      <c r="N69" s="2">
        <f>HYPERLINK("https://www.greenbondtransparency.com/bond-info/?handle=4402b99ca0974803b1b4b959a37fca7d","XS2081543204")</f>
      </c>
      <c r="O69" s="2">
        <f>HYPERLINK("https://www.greenbondtransparency.com/bond-info/?handle=91d5f951533040578939c60b74089a81","CAF GB Program")</f>
      </c>
      <c r="P69" s="2">
        <f>HYPERLINK("https://www.greenbondtransparency.com/download-document/?entity=Framework&amp;handle=20ab6a5a7a89447fa8ffc6208696d342","CAF’s GREEN BOND FRAMEWORK")</f>
      </c>
    </row>
    <row r="70" spans="1:16" x14ac:dyDescent="0.25">
      <c r="A70" t="s">
        <v>16</v>
      </c>
      <c r="B70" t="s">
        <v>236</v>
      </c>
      <c r="C70" t="s">
        <v>237</v>
      </c>
      <c r="E70" t="s">
        <v>34</v>
      </c>
      <c r="F70" t="s">
        <v>20</v>
      </c>
      <c r="G70" t="s">
        <v>196</v>
      </c>
      <c r="H70" t="s">
        <v>44</v>
      </c>
      <c r="I70" t="s">
        <v>23</v>
      </c>
      <c r="J70">
        <v>700000000</v>
      </c>
      <c r="K70">
        <v>700000000</v>
      </c>
      <c r="L70" s="1">
        <v>42752</v>
      </c>
      <c r="M70" s="1">
        <v>46404</v>
      </c>
      <c r="N70" s="2">
        <f>HYPERLINK("https://www.greenbondtransparency.com/bond-info/?handle=44e27f4e41cc40a693f0cb8b082426ca","31572UAF3")</f>
      </c>
      <c r="O70" s="2" t="s">
        <v>24</v>
      </c>
      <c r="P70" s="2" t="s">
        <v>24</v>
      </c>
    </row>
    <row r="71" spans="1:16" x14ac:dyDescent="0.25">
      <c r="A71" t="s">
        <v>16</v>
      </c>
      <c r="B71" t="s">
        <v>238</v>
      </c>
      <c r="C71" t="s">
        <v>239</v>
      </c>
      <c r="D71" t="s">
        <v>27</v>
      </c>
      <c r="E71" t="s">
        <v>34</v>
      </c>
      <c r="F71" t="s">
        <v>20</v>
      </c>
      <c r="G71" t="s">
        <v>163</v>
      </c>
      <c r="H71" t="s">
        <v>44</v>
      </c>
      <c r="I71" t="s">
        <v>49</v>
      </c>
      <c r="J71">
        <v>725000000</v>
      </c>
      <c r="K71">
        <v>131818181</v>
      </c>
      <c r="L71" s="1">
        <v>44475</v>
      </c>
      <c r="M71" s="1">
        <v>47212</v>
      </c>
      <c r="N71" s="2">
        <f>HYPERLINK("https://www.greenbondtransparency.com/bond-info/?handle=46649a0e892a4d9a90c2e5051ca52b54","BR0A0LCTF006")</f>
      </c>
      <c r="O71" s="2" t="s">
        <v>24</v>
      </c>
      <c r="P71" s="2" t="s">
        <v>24</v>
      </c>
    </row>
    <row r="72" spans="1:16" x14ac:dyDescent="0.25">
      <c r="A72" t="s">
        <v>16</v>
      </c>
      <c r="B72" t="s">
        <v>240</v>
      </c>
      <c r="C72" t="s">
        <v>241</v>
      </c>
      <c r="D72" t="s">
        <v>72</v>
      </c>
      <c r="E72" t="s">
        <v>78</v>
      </c>
      <c r="F72" t="s">
        <v>20</v>
      </c>
      <c r="G72" t="s">
        <v>242</v>
      </c>
      <c r="H72" t="s">
        <v>22</v>
      </c>
      <c r="I72" t="s">
        <v>23</v>
      </c>
      <c r="J72">
        <v>10000000</v>
      </c>
      <c r="K72">
        <v>10000000</v>
      </c>
      <c r="L72" s="1">
        <v>44552</v>
      </c>
      <c r="M72" s="1">
        <v>46382</v>
      </c>
      <c r="N72" s="2">
        <f>HYPERLINK("https://www.greenbondtransparency.com/bond-info/?handle=468a42fe710843308deb5d475a46fcf8","PAL3014421C5")</f>
      </c>
      <c r="O72" s="2">
        <f>HYPERLINK("https://www.greenbondtransparency.com/bond-info/?handle=d75e034c7a0c45b899ba1ad806895825","Serie B&amp;C_PROM")</f>
      </c>
      <c r="P72" s="2">
        <f>HYPERLINK("https://www.greenbondtransparency.com/download-document/?entity=Framework&amp;handle=538769c825394307acb906d53afb2664","Marco de Referencia - Banco Promerica CR")</f>
      </c>
    </row>
    <row r="73" spans="1:16" x14ac:dyDescent="0.25">
      <c r="A73" t="s">
        <v>16</v>
      </c>
      <c r="B73" t="s">
        <v>243</v>
      </c>
      <c r="C73" t="s">
        <v>244</v>
      </c>
      <c r="D73" t="s">
        <v>27</v>
      </c>
      <c r="E73" t="s">
        <v>34</v>
      </c>
      <c r="F73" t="s">
        <v>20</v>
      </c>
      <c r="G73" t="s">
        <v>149</v>
      </c>
      <c r="H73" t="s">
        <v>22</v>
      </c>
      <c r="I73" t="s">
        <v>49</v>
      </c>
      <c r="J73">
        <v>61822000</v>
      </c>
      <c r="K73">
        <v>11236441</v>
      </c>
      <c r="L73" s="1">
        <v>44253</v>
      </c>
      <c r="M73" s="1">
        <v>44253</v>
      </c>
      <c r="N73" s="2">
        <f>HYPERLINK("https://www.greenbondtransparency.com/bond-info/?handle=46ba0c82743449358dab7d75a17d4967","CRA021000GR")</f>
      </c>
      <c r="O73" s="2" t="s">
        <v>24</v>
      </c>
      <c r="P73" s="2" t="s">
        <v>24</v>
      </c>
    </row>
    <row r="74" spans="1:16" x14ac:dyDescent="0.25">
      <c r="A74" t="s">
        <v>16</v>
      </c>
      <c r="B74" t="s">
        <v>245</v>
      </c>
      <c r="C74" t="s">
        <v>246</v>
      </c>
      <c r="D74" t="s">
        <v>27</v>
      </c>
      <c r="E74" t="s">
        <v>34</v>
      </c>
      <c r="F74" t="s">
        <v>20</v>
      </c>
      <c r="G74" t="s">
        <v>247</v>
      </c>
      <c r="H74" t="s">
        <v>44</v>
      </c>
      <c r="I74" t="s">
        <v>49</v>
      </c>
      <c r="J74">
        <v>475000000</v>
      </c>
      <c r="K74">
        <v>93503937</v>
      </c>
      <c r="L74" s="1">
        <v>44362</v>
      </c>
      <c r="M74" s="1">
        <v>50936</v>
      </c>
      <c r="N74" s="2">
        <f>HYPERLINK("https://www.greenbondtransparency.com/bond-info/?handle=47b8b2c3d39b42a2b47e9b1faa6b599c","BRANEMDBS007")</f>
      </c>
      <c r="O74" s="2" t="s">
        <v>24</v>
      </c>
      <c r="P74" s="2" t="s">
        <v>24</v>
      </c>
    </row>
    <row r="75" spans="1:16" x14ac:dyDescent="0.25">
      <c r="A75" t="s">
        <v>16</v>
      </c>
      <c r="B75" t="s">
        <v>248</v>
      </c>
      <c r="C75" t="s">
        <v>249</v>
      </c>
      <c r="D75" t="s">
        <v>27</v>
      </c>
      <c r="E75" t="s">
        <v>64</v>
      </c>
      <c r="F75" t="s">
        <v>20</v>
      </c>
      <c r="G75" t="s">
        <v>250</v>
      </c>
      <c r="H75" t="s">
        <v>44</v>
      </c>
      <c r="I75" t="s">
        <v>23</v>
      </c>
      <c r="J75">
        <v>700000000</v>
      </c>
      <c r="K75">
        <v>700000000</v>
      </c>
      <c r="L75" s="1">
        <v>44449</v>
      </c>
      <c r="M75" s="1">
        <v>55416</v>
      </c>
      <c r="N75" s="2">
        <f>HYPERLINK("https://www.greenbondtransparency.com/bond-info/?handle=49af944d0d1c40e281e6f0f49e870b56","US833636AL76")</f>
      </c>
      <c r="O75" s="2" t="s">
        <v>24</v>
      </c>
      <c r="P75" s="2">
        <f>HYPERLINK("https://www.greenbondtransparency.com/download-document/?entity=Framework&amp;handle=f9ddf8d55aab4e4298b72383891943eb","Green Bond Financing Framework")</f>
      </c>
    </row>
    <row r="76" spans="1:16" x14ac:dyDescent="0.25">
      <c r="A76" t="s">
        <v>16</v>
      </c>
      <c r="B76" t="s">
        <v>251</v>
      </c>
      <c r="C76" t="s">
        <v>252</v>
      </c>
      <c r="D76" t="s">
        <v>27</v>
      </c>
      <c r="E76" t="s">
        <v>73</v>
      </c>
      <c r="F76" t="s">
        <v>20</v>
      </c>
      <c r="G76" t="s">
        <v>211</v>
      </c>
      <c r="H76" t="s">
        <v>30</v>
      </c>
      <c r="I76" t="s">
        <v>75</v>
      </c>
      <c r="J76">
        <v>2000000000</v>
      </c>
      <c r="K76">
        <v>107187455</v>
      </c>
      <c r="L76" s="1">
        <v>42615</v>
      </c>
      <c r="M76" s="1">
        <v>45170</v>
      </c>
      <c r="N76" s="2">
        <f>HYPERLINK("https://www.greenbondtransparency.com/bond-info/?handle=49cb4d743fe74855bb2fdccb6675c219","MXCDNA0R0037")</f>
      </c>
      <c r="O76" s="2" t="s">
        <v>24</v>
      </c>
      <c r="P76" s="2">
        <f>HYPERLINK("https://www.greenbondtransparency.com/download-document/?entity=Framework&amp;handle=966583712d874a15a4861b2f4a3ebaa5","Nacional Financiera Green Bond MXN")</f>
      </c>
    </row>
    <row r="77" spans="1:16" x14ac:dyDescent="0.25">
      <c r="A77" t="s">
        <v>16</v>
      </c>
      <c r="B77" t="s">
        <v>253</v>
      </c>
      <c r="C77" t="s">
        <v>254</v>
      </c>
      <c r="D77" t="s">
        <v>27</v>
      </c>
      <c r="E77" t="s">
        <v>59</v>
      </c>
      <c r="F77" t="s">
        <v>20</v>
      </c>
      <c r="G77" t="s">
        <v>84</v>
      </c>
      <c r="H77" t="s">
        <v>44</v>
      </c>
      <c r="I77" t="s">
        <v>23</v>
      </c>
      <c r="J77">
        <v>15000000</v>
      </c>
      <c r="K77">
        <v>15000000</v>
      </c>
      <c r="L77" s="1">
        <v>44686</v>
      </c>
      <c r="M77" s="1">
        <v>45782</v>
      </c>
      <c r="N77" s="2">
        <f>HYPERLINK("https://www.greenbondtransparency.com/bond-info/?handle=4b814969226641c7bbfb4e9ec61ee07d","ARLUZT560021")</f>
      </c>
      <c r="O77" s="2" t="s">
        <v>24</v>
      </c>
      <c r="P77" s="2" t="s">
        <v>24</v>
      </c>
    </row>
    <row r="78" spans="1:16" x14ac:dyDescent="0.25">
      <c r="A78" t="s">
        <v>16</v>
      </c>
      <c r="B78" t="s">
        <v>255</v>
      </c>
      <c r="C78" t="s">
        <v>256</v>
      </c>
      <c r="E78" t="s">
        <v>34</v>
      </c>
      <c r="F78" t="s">
        <v>20</v>
      </c>
      <c r="G78" t="s">
        <v>257</v>
      </c>
      <c r="H78" t="s">
        <v>44</v>
      </c>
      <c r="I78" t="s">
        <v>49</v>
      </c>
      <c r="J78">
        <v>259804000</v>
      </c>
      <c r="K78">
        <v>49936379</v>
      </c>
      <c r="L78" s="1">
        <v>44027</v>
      </c>
      <c r="M78" s="1">
        <v>47679</v>
      </c>
      <c r="N78" s="2">
        <f>HYPERLINK("https://www.greenbondtransparency.com/bond-info/?handle=4de81a22550d465b9b985c699f30e69b","BRPASNDBS018")</f>
      </c>
      <c r="O78" s="2" t="s">
        <v>24</v>
      </c>
      <c r="P78" s="2" t="s">
        <v>24</v>
      </c>
    </row>
    <row r="79" spans="1:16" x14ac:dyDescent="0.25">
      <c r="A79" t="s">
        <v>16</v>
      </c>
      <c r="B79" t="s">
        <v>258</v>
      </c>
      <c r="C79" t="s">
        <v>259</v>
      </c>
      <c r="E79" t="s">
        <v>64</v>
      </c>
      <c r="F79" t="s">
        <v>20</v>
      </c>
      <c r="G79" t="s">
        <v>227</v>
      </c>
      <c r="H79" t="s">
        <v>44</v>
      </c>
      <c r="I79" t="s">
        <v>228</v>
      </c>
      <c r="J79">
        <v>1500000</v>
      </c>
      <c r="K79">
        <v>58974060</v>
      </c>
      <c r="L79" s="1">
        <v>43208</v>
      </c>
      <c r="M79" s="1">
        <v>45730</v>
      </c>
      <c r="N79" s="2">
        <f>HYPERLINK("https://www.greenbondtransparency.com/bond-info/?handle=4e17f0d80ab34899bc0d289e2bbfe144","CL0002435833")</f>
      </c>
      <c r="O79" s="2" t="s">
        <v>24</v>
      </c>
      <c r="P79" s="2">
        <f>HYPERLINK("https://www.greenbondtransparency.com/download-document/?entity=Framework&amp;handle=70c67210b92a4b7690c983e47607acea","Green social bond framework series ab ac 2018")</f>
      </c>
    </row>
    <row r="80" spans="1:16" x14ac:dyDescent="0.25">
      <c r="A80" t="s">
        <v>16</v>
      </c>
      <c r="B80" t="s">
        <v>260</v>
      </c>
      <c r="C80" t="s">
        <v>261</v>
      </c>
      <c r="D80" t="s">
        <v>27</v>
      </c>
      <c r="E80" t="s">
        <v>59</v>
      </c>
      <c r="F80" t="s">
        <v>20</v>
      </c>
      <c r="G80" t="s">
        <v>84</v>
      </c>
      <c r="H80" t="s">
        <v>44</v>
      </c>
      <c r="I80" t="s">
        <v>23</v>
      </c>
      <c r="J80">
        <v>80000000</v>
      </c>
      <c r="K80">
        <v>80000000</v>
      </c>
      <c r="L80" s="1">
        <v>44833</v>
      </c>
      <c r="M80" s="1">
        <v>46294</v>
      </c>
      <c r="N80" s="2">
        <f>HYPERLINK("https://www.greenbondtransparency.com/bond-info/?handle=4e35de7792ff439aabffcfc63ac8ad08","ARLUZT560047")</f>
      </c>
      <c r="O80" s="2" t="s">
        <v>24</v>
      </c>
      <c r="P80" s="2" t="s">
        <v>24</v>
      </c>
    </row>
    <row r="81" spans="1:16" x14ac:dyDescent="0.25">
      <c r="A81" t="s">
        <v>16</v>
      </c>
      <c r="B81" t="s">
        <v>262</v>
      </c>
      <c r="C81" t="s">
        <v>263</v>
      </c>
      <c r="D81" t="s">
        <v>27</v>
      </c>
      <c r="E81" t="s">
        <v>34</v>
      </c>
      <c r="F81" t="s">
        <v>20</v>
      </c>
      <c r="G81" t="s">
        <v>48</v>
      </c>
      <c r="H81" t="s">
        <v>22</v>
      </c>
      <c r="I81" t="s">
        <v>49</v>
      </c>
      <c r="J81">
        <v>10000000</v>
      </c>
      <c r="K81">
        <v>1941747</v>
      </c>
      <c r="L81" s="1">
        <v>44440</v>
      </c>
      <c r="M81" s="1">
        <v>45170</v>
      </c>
      <c r="N81" s="2">
        <f>HYPERLINK("https://www.greenbondtransparency.com/bond-info/?handle=5073cee4321d452094fa4f5c3433e692","BRBEVELFN810")</f>
      </c>
      <c r="O81" s="2" t="s">
        <v>24</v>
      </c>
      <c r="P81" s="2" t="s">
        <v>24</v>
      </c>
    </row>
    <row r="82" spans="1:16" x14ac:dyDescent="0.25">
      <c r="A82" t="s">
        <v>16</v>
      </c>
      <c r="B82" t="s">
        <v>264</v>
      </c>
      <c r="C82" t="s">
        <v>265</v>
      </c>
      <c r="E82" t="s">
        <v>53</v>
      </c>
      <c r="F82" t="s">
        <v>54</v>
      </c>
      <c r="G82" t="s">
        <v>55</v>
      </c>
      <c r="H82" t="s">
        <v>30</v>
      </c>
      <c r="I82" t="s">
        <v>266</v>
      </c>
      <c r="J82">
        <v>1032000000</v>
      </c>
      <c r="K82">
        <v>72865918</v>
      </c>
      <c r="L82" s="1">
        <v>42580</v>
      </c>
      <c r="M82" s="1">
        <v>44056</v>
      </c>
      <c r="N82" s="2">
        <f>HYPERLINK("https://www.greenbondtransparency.com/bond-info/?handle=519f17ca40d44fbba816416b0e9f3cb1","XS1459407026")</f>
      </c>
      <c r="O82" s="2" t="s">
        <v>24</v>
      </c>
      <c r="P82" s="2" t="s">
        <v>24</v>
      </c>
    </row>
    <row r="83" spans="1:16" x14ac:dyDescent="0.25">
      <c r="A83" t="s">
        <v>16</v>
      </c>
      <c r="B83" t="s">
        <v>267</v>
      </c>
      <c r="C83" t="s">
        <v>268</v>
      </c>
      <c r="D83" t="s">
        <v>52</v>
      </c>
      <c r="E83" t="s">
        <v>53</v>
      </c>
      <c r="F83" t="s">
        <v>54</v>
      </c>
      <c r="G83" t="s">
        <v>55</v>
      </c>
      <c r="H83" t="s">
        <v>30</v>
      </c>
      <c r="I83" t="s">
        <v>269</v>
      </c>
      <c r="J83">
        <v>30000000</v>
      </c>
      <c r="K83">
        <v>20130000</v>
      </c>
      <c r="L83" s="1">
        <v>44924</v>
      </c>
      <c r="M83" s="1">
        <v>46750</v>
      </c>
      <c r="N83" s="2">
        <f>HYPERLINK("https://www.greenbondtransparency.com/bond-info/?handle=529f8dfe19a04a8cb685fd365187fb27","XS2567239053")</f>
      </c>
      <c r="O83" s="2" t="s">
        <v>24</v>
      </c>
      <c r="P83" s="2">
        <f>HYPERLINK("https://www.greenbondtransparency.com/download-document/?entity=Framework&amp;handle=9baf8156464a428da24a03b589461dec","CABEI´s Green and Blue Bond Framework")</f>
      </c>
    </row>
    <row r="84" spans="1:16" x14ac:dyDescent="0.25">
      <c r="A84" t="s">
        <v>16</v>
      </c>
      <c r="B84" t="s">
        <v>270</v>
      </c>
      <c r="C84" t="s">
        <v>271</v>
      </c>
      <c r="D84" t="s">
        <v>27</v>
      </c>
      <c r="E84" t="s">
        <v>59</v>
      </c>
      <c r="F84" t="s">
        <v>20</v>
      </c>
      <c r="G84" t="s">
        <v>272</v>
      </c>
      <c r="H84" t="s">
        <v>44</v>
      </c>
      <c r="I84" t="s">
        <v>23</v>
      </c>
      <c r="J84">
        <v>366118638</v>
      </c>
      <c r="K84">
        <v>366118638</v>
      </c>
      <c r="L84" s="1">
        <v>44441</v>
      </c>
      <c r="M84" s="1">
        <v>46632</v>
      </c>
      <c r="N84" s="2">
        <f>HYPERLINK("https://www.greenbondtransparency.com/bond-info/?handle=52a3ebde93e1453cb962eb8e994d15f0","USP46756BA25")</f>
      </c>
      <c r="O84" s="2" t="s">
        <v>24</v>
      </c>
      <c r="P84" s="2">
        <f>HYPERLINK("https://www.greenbondtransparency.com/download-document/?entity=Framework&amp;handle=0861b552d06e4b9799ebc7a3b1aa7e2a","Genneia Green Bond Framework")</f>
      </c>
    </row>
    <row r="85" spans="1:16" x14ac:dyDescent="0.25">
      <c r="A85" t="s">
        <v>16</v>
      </c>
      <c r="B85" t="s">
        <v>273</v>
      </c>
      <c r="C85" t="s">
        <v>274</v>
      </c>
      <c r="E85" t="s">
        <v>34</v>
      </c>
      <c r="F85" t="s">
        <v>20</v>
      </c>
      <c r="G85" t="s">
        <v>275</v>
      </c>
      <c r="H85" t="s">
        <v>22</v>
      </c>
      <c r="I85" t="s">
        <v>49</v>
      </c>
      <c r="J85">
        <v>64064000</v>
      </c>
      <c r="K85">
        <v>11908000</v>
      </c>
      <c r="L85" s="1">
        <v>44239</v>
      </c>
      <c r="M85" s="1">
        <v>47914</v>
      </c>
      <c r="N85" s="2">
        <f>HYPERLINK("https://www.greenbondtransparency.com/bond-info/?handle=5350c0b9a9a4490689021b2d8added30","BRAPCSCRI8Y6")</f>
      </c>
      <c r="O85" s="2" t="s">
        <v>24</v>
      </c>
      <c r="P85" s="2" t="s">
        <v>24</v>
      </c>
    </row>
    <row r="86" spans="1:16" x14ac:dyDescent="0.25">
      <c r="A86" t="s">
        <v>16</v>
      </c>
      <c r="B86" t="s">
        <v>276</v>
      </c>
      <c r="C86" t="s">
        <v>277</v>
      </c>
      <c r="D86" t="s">
        <v>27</v>
      </c>
      <c r="E86" t="s">
        <v>129</v>
      </c>
      <c r="F86" t="s">
        <v>20</v>
      </c>
      <c r="G86" t="s">
        <v>278</v>
      </c>
      <c r="H86" t="s">
        <v>30</v>
      </c>
      <c r="I86" t="s">
        <v>131</v>
      </c>
      <c r="J86">
        <v>200000000000</v>
      </c>
      <c r="K86">
        <v>70000000</v>
      </c>
      <c r="L86" s="1">
        <v>42956</v>
      </c>
      <c r="M86" s="1">
        <v>44782</v>
      </c>
      <c r="N86" s="2">
        <f>HYPERLINK("https://www.greenbondtransparency.com/bond-info/?handle=551e621100684f8ca808b9cc0ca3e11f","COB31CB00280")</f>
      </c>
      <c r="O86" s="2" t="s">
        <v>24</v>
      </c>
      <c r="P86" s="2">
        <f>HYPERLINK("https://www.greenbondtransparency.com/download-document/?entity=Framework&amp;handle=b49dc523ef1442c78e3ef719dbf815cc","Bono Verde de Bancoldex Framework")</f>
      </c>
    </row>
    <row r="87" spans="1:16" x14ac:dyDescent="0.25">
      <c r="A87" t="s">
        <v>279</v>
      </c>
      <c r="B87" t="s">
        <v>280</v>
      </c>
      <c r="C87" t="s">
        <v>281</v>
      </c>
      <c r="E87" t="s">
        <v>282</v>
      </c>
      <c r="F87" t="s">
        <v>20</v>
      </c>
      <c r="G87" t="s">
        <v>283</v>
      </c>
      <c r="H87" t="s">
        <v>22</v>
      </c>
      <c r="I87" t="s">
        <v>23</v>
      </c>
      <c r="J87">
        <v>150000000</v>
      </c>
      <c r="K87">
        <v>150000000</v>
      </c>
      <c r="L87" s="1">
        <v>43819</v>
      </c>
      <c r="M87" s="1">
        <v>45646</v>
      </c>
      <c r="N87" s="2">
        <f>HYPERLINK("https://www.greenbondtransparency.com/bond-info/?handle=5606e307519f4f58abc9d45cb7e36d03","BBG000GZL6P0")</f>
      </c>
      <c r="O87" s="2" t="s">
        <v>24</v>
      </c>
      <c r="P87" s="2">
        <f>HYPERLINK("https://www.greenbondtransparency.com/download-document/?entity=Framework&amp;handle=75a44c0cd7a04d06b490e812b1645147","Green Bonds Framework - Banco Pichincha")</f>
      </c>
    </row>
    <row r="88" spans="1:16" x14ac:dyDescent="0.25">
      <c r="A88" t="s">
        <v>16</v>
      </c>
      <c r="B88" t="s">
        <v>284</v>
      </c>
      <c r="C88" t="s">
        <v>285</v>
      </c>
      <c r="E88" t="s">
        <v>19</v>
      </c>
      <c r="F88" t="s">
        <v>20</v>
      </c>
      <c r="G88" t="s">
        <v>21</v>
      </c>
      <c r="H88" t="s">
        <v>22</v>
      </c>
      <c r="I88" t="s">
        <v>23</v>
      </c>
      <c r="J88">
        <v>15000000</v>
      </c>
      <c r="K88">
        <v>15000000</v>
      </c>
      <c r="L88" s="1">
        <v>43732</v>
      </c>
      <c r="M88" s="1">
        <v>44834</v>
      </c>
      <c r="N88" s="2">
        <f>HYPERLINK("https://www.greenbondtransparency.com/bond-info/?handle=5787e355e9bd42c7bc1457de45e69f11","PAL3009913A2")</f>
      </c>
      <c r="O88" s="2">
        <f>HYPERLINK("https://www.greenbondtransparency.com/bond-info/?handle=c8db70a600e4496aa0bdff98338e72ee","CIFI_GB")</f>
      </c>
      <c r="P88" s="2" t="s">
        <v>24</v>
      </c>
    </row>
    <row r="89" spans="1:16" x14ac:dyDescent="0.25">
      <c r="A89" t="s">
        <v>16</v>
      </c>
      <c r="B89" t="s">
        <v>286</v>
      </c>
      <c r="C89" t="s">
        <v>287</v>
      </c>
      <c r="E89" t="s">
        <v>34</v>
      </c>
      <c r="F89" t="s">
        <v>20</v>
      </c>
      <c r="G89" t="s">
        <v>99</v>
      </c>
      <c r="H89" t="s">
        <v>44</v>
      </c>
      <c r="I89" t="s">
        <v>49</v>
      </c>
      <c r="J89">
        <v>42431000</v>
      </c>
      <c r="K89">
        <v>13415220</v>
      </c>
      <c r="L89" s="1">
        <v>42809</v>
      </c>
      <c r="M89" s="1">
        <v>46371</v>
      </c>
      <c r="N89" s="2">
        <f>HYPERLINK("https://www.greenbondtransparency.com/bond-info/?handle=57ce82e059004c8db47a7007175c47c1","BRPTMIDBS003")</f>
      </c>
      <c r="O89" s="2" t="s">
        <v>24</v>
      </c>
      <c r="P89" s="2" t="s">
        <v>24</v>
      </c>
    </row>
    <row r="90" spans="1:16" x14ac:dyDescent="0.25">
      <c r="A90" t="s">
        <v>16</v>
      </c>
      <c r="B90" t="s">
        <v>288</v>
      </c>
      <c r="C90" t="s">
        <v>289</v>
      </c>
      <c r="E90" t="s">
        <v>59</v>
      </c>
      <c r="F90" t="s">
        <v>20</v>
      </c>
      <c r="G90" t="s">
        <v>69</v>
      </c>
      <c r="H90" t="s">
        <v>44</v>
      </c>
      <c r="I90" t="s">
        <v>61</v>
      </c>
      <c r="J90">
        <v>1109925000</v>
      </c>
      <c r="K90">
        <v>15000000</v>
      </c>
      <c r="L90" s="1">
        <v>44076</v>
      </c>
      <c r="M90" s="1">
        <v>44441</v>
      </c>
      <c r="N90" s="2">
        <f>HYPERLINK("https://www.greenbondtransparency.com/bond-info/?handle=591bdf3d52c84e4b9abd76b03591ae92","ARCPMA560025")</f>
      </c>
      <c r="O90" s="2" t="s">
        <v>24</v>
      </c>
      <c r="P90" s="2" t="s">
        <v>24</v>
      </c>
    </row>
    <row r="91" spans="1:16" x14ac:dyDescent="0.25">
      <c r="A91" t="s">
        <v>16</v>
      </c>
      <c r="B91" t="s">
        <v>290</v>
      </c>
      <c r="C91" t="s">
        <v>291</v>
      </c>
      <c r="D91" t="s">
        <v>72</v>
      </c>
      <c r="E91" t="s">
        <v>78</v>
      </c>
      <c r="F91" t="s">
        <v>20</v>
      </c>
      <c r="G91" t="s">
        <v>242</v>
      </c>
      <c r="H91" t="s">
        <v>22</v>
      </c>
      <c r="I91" t="s">
        <v>23</v>
      </c>
      <c r="J91">
        <v>10000000</v>
      </c>
      <c r="K91">
        <v>10000000</v>
      </c>
      <c r="L91" s="1">
        <v>44462</v>
      </c>
      <c r="M91" s="1">
        <v>46288</v>
      </c>
      <c r="N91" s="2">
        <f>HYPERLINK("https://www.greenbondtransparency.com/bond-info/?handle=594db9695dc343bfac2c28d05e9d6e37","PAL3014421B7")</f>
      </c>
      <c r="O91" s="2">
        <f>HYPERLINK("https://www.greenbondtransparency.com/bond-info/?handle=d75e034c7a0c45b899ba1ad806895825","Serie B&amp;C_PROM")</f>
      </c>
      <c r="P91" s="2">
        <f>HYPERLINK("https://www.greenbondtransparency.com/download-document/?entity=Framework&amp;handle=538769c825394307acb906d53afb2664","Marco de Referencia - Banco Promerica CR")</f>
      </c>
    </row>
    <row r="92" spans="1:16" x14ac:dyDescent="0.25">
      <c r="A92" t="s">
        <v>16</v>
      </c>
      <c r="B92" t="s">
        <v>292</v>
      </c>
      <c r="C92" t="s">
        <v>293</v>
      </c>
      <c r="D92" t="s">
        <v>27</v>
      </c>
      <c r="E92" t="s">
        <v>34</v>
      </c>
      <c r="F92" t="s">
        <v>20</v>
      </c>
      <c r="G92" t="s">
        <v>163</v>
      </c>
      <c r="H92" t="s">
        <v>44</v>
      </c>
      <c r="I92" t="s">
        <v>49</v>
      </c>
      <c r="J92">
        <v>120000000</v>
      </c>
      <c r="K92">
        <v>28037383</v>
      </c>
      <c r="L92" s="1">
        <v>43845</v>
      </c>
      <c r="M92" s="1">
        <v>46736</v>
      </c>
      <c r="N92" s="2">
        <f>HYPERLINK("https://www.greenbondtransparency.com/bond-info/?handle=5a8e8214a53b4558a343287e11109ba7","BRSSCFDBS006")</f>
      </c>
      <c r="O92" s="2" t="s">
        <v>24</v>
      </c>
      <c r="P92" s="2" t="s">
        <v>24</v>
      </c>
    </row>
    <row r="93" spans="1:16" x14ac:dyDescent="0.25">
      <c r="A93" t="s">
        <v>16</v>
      </c>
      <c r="B93" t="s">
        <v>294</v>
      </c>
      <c r="C93" t="s">
        <v>295</v>
      </c>
      <c r="D93" t="s">
        <v>27</v>
      </c>
      <c r="E93" t="s">
        <v>34</v>
      </c>
      <c r="F93" t="s">
        <v>20</v>
      </c>
      <c r="G93" t="s">
        <v>138</v>
      </c>
      <c r="H93" t="s">
        <v>44</v>
      </c>
      <c r="I93" t="s">
        <v>49</v>
      </c>
      <c r="J93">
        <v>100000000</v>
      </c>
      <c r="K93">
        <v>18730651</v>
      </c>
      <c r="L93" s="1">
        <v>44335</v>
      </c>
      <c r="M93" s="1">
        <v>49810</v>
      </c>
      <c r="N93" s="2">
        <f>HYPERLINK("https://www.greenbondtransparency.com/bond-info/?handle=5b4a75cdb66b4ce9b8961d7a9fd6bfb5","BRTAEEDBS0M3")</f>
      </c>
      <c r="O93" s="2" t="s">
        <v>24</v>
      </c>
      <c r="P93" s="2" t="s">
        <v>24</v>
      </c>
    </row>
    <row r="94" spans="1:16" x14ac:dyDescent="0.25">
      <c r="A94" t="s">
        <v>16</v>
      </c>
      <c r="B94" t="s">
        <v>296</v>
      </c>
      <c r="C94" t="s">
        <v>297</v>
      </c>
      <c r="D94" t="s">
        <v>27</v>
      </c>
      <c r="E94" t="s">
        <v>34</v>
      </c>
      <c r="F94" t="s">
        <v>20</v>
      </c>
      <c r="G94" t="s">
        <v>171</v>
      </c>
      <c r="H94" t="s">
        <v>44</v>
      </c>
      <c r="I94" t="s">
        <v>49</v>
      </c>
      <c r="J94">
        <v>800000000</v>
      </c>
      <c r="K94">
        <v>154000000</v>
      </c>
      <c r="L94" s="1">
        <v>44172</v>
      </c>
      <c r="M94" s="1">
        <v>52732</v>
      </c>
      <c r="N94" s="2">
        <f>HYPERLINK("https://www.greenbondtransparency.com/bond-info/?handle=5b9bc195be534adaa28f29ea980225c8","BRTRPLDBS0D1")</f>
      </c>
      <c r="O94" s="2" t="s">
        <v>24</v>
      </c>
      <c r="P94" s="2">
        <f>HYPERLINK("https://www.greenbondtransparency.com/download-document/?entity=Framework&amp;handle=e791ce8ea3eb4c6897df799280b78881","Framework ISA CTEEP")</f>
      </c>
    </row>
    <row r="95" spans="1:16" x14ac:dyDescent="0.25">
      <c r="A95" t="s">
        <v>16</v>
      </c>
      <c r="B95" t="s">
        <v>298</v>
      </c>
      <c r="C95" t="s">
        <v>299</v>
      </c>
      <c r="E95" t="s">
        <v>64</v>
      </c>
      <c r="F95" t="s">
        <v>20</v>
      </c>
      <c r="G95" t="s">
        <v>300</v>
      </c>
      <c r="H95" t="s">
        <v>44</v>
      </c>
      <c r="I95" t="s">
        <v>23</v>
      </c>
      <c r="J95">
        <v>250230000</v>
      </c>
      <c r="K95">
        <v>250230000</v>
      </c>
      <c r="L95" s="1">
        <v>44356</v>
      </c>
      <c r="M95" s="1">
        <v>48745</v>
      </c>
      <c r="N95" s="2">
        <f>HYPERLINK("https://www.greenbondtransparency.com/bond-info/?handle=5bbc61b2d8164da5bb796c580b1305b9","USP5875NAB93")</f>
      </c>
      <c r="O95" s="2" t="s">
        <v>24</v>
      </c>
      <c r="P95" s="2">
        <f>HYPERLINK("https://www.greenbondtransparency.com/download-document/?entity=Framework&amp;handle=a40381fb70654535ada4454c2ff5e808","ILAP Green Financing Framework")</f>
      </c>
    </row>
    <row r="96" spans="1:16" x14ac:dyDescent="0.25">
      <c r="A96" t="s">
        <v>16</v>
      </c>
      <c r="B96" t="s">
        <v>301</v>
      </c>
      <c r="C96" t="s">
        <v>302</v>
      </c>
      <c r="D96" t="s">
        <v>27</v>
      </c>
      <c r="E96" t="s">
        <v>134</v>
      </c>
      <c r="F96" t="s">
        <v>20</v>
      </c>
      <c r="G96" t="s">
        <v>135</v>
      </c>
      <c r="H96" t="s">
        <v>44</v>
      </c>
      <c r="I96" t="s">
        <v>23</v>
      </c>
      <c r="J96">
        <v>40000000</v>
      </c>
      <c r="K96">
        <v>40000000</v>
      </c>
      <c r="L96" s="1">
        <v>44614</v>
      </c>
      <c r="M96" s="1">
        <v>49887</v>
      </c>
      <c r="N96" s="2">
        <f>HYPERLINK("https://www.greenbondtransparency.com/bond-info/?handle=5d189d45553746e8a45d605d8b3a658f","DO2020300227")</f>
      </c>
      <c r="O96" s="2">
        <f>HYPERLINK("https://www.greenbondtransparency.com/bond-info/?handle=0ba4484e2ad6469ba637e46670f3aff2","FOPLARIMAR1NO04")</f>
      </c>
      <c r="P96" s="2">
        <f>HYPERLINK("https://www.greenbondtransparency.com/download-document/?entity=Framework&amp;handle=463bf5e91ed14844b7cce6dafe61cf29","EGE Haina Green Securities Framework")</f>
      </c>
    </row>
    <row r="97" spans="1:16" x14ac:dyDescent="0.25">
      <c r="A97" t="s">
        <v>16</v>
      </c>
      <c r="B97" t="s">
        <v>303</v>
      </c>
      <c r="C97" t="s">
        <v>304</v>
      </c>
      <c r="E97" t="s">
        <v>53</v>
      </c>
      <c r="F97" t="s">
        <v>54</v>
      </c>
      <c r="G97" t="s">
        <v>234</v>
      </c>
      <c r="H97" t="s">
        <v>30</v>
      </c>
      <c r="I97" t="s">
        <v>94</v>
      </c>
      <c r="J97">
        <v>350000000</v>
      </c>
      <c r="K97">
        <v>381887615</v>
      </c>
      <c r="L97" s="1">
        <v>44078</v>
      </c>
      <c r="M97" s="1">
        <v>45904</v>
      </c>
      <c r="N97" s="2">
        <f>HYPERLINK("https://www.greenbondtransparency.com/bond-info/?handle=5d9414c64ce1488fb9135b3bf4414ee5","CH0553331882.")</f>
      </c>
      <c r="O97" s="2">
        <f>HYPERLINK("https://www.greenbondtransparency.com/bond-info/?handle=91d5f951533040578939c60b74089a81","CAF GB Program")</f>
      </c>
      <c r="P97" s="2">
        <f>HYPERLINK("https://www.greenbondtransparency.com/download-document/?entity=Framework&amp;handle=20ab6a5a7a89447fa8ffc6208696d342","CAF’s GREEN BOND FRAMEWORK")</f>
      </c>
    </row>
    <row r="98" spans="1:16" x14ac:dyDescent="0.25">
      <c r="A98" t="s">
        <v>16</v>
      </c>
      <c r="B98" t="s">
        <v>305</v>
      </c>
      <c r="C98" t="s">
        <v>306</v>
      </c>
      <c r="E98" t="s">
        <v>19</v>
      </c>
      <c r="F98" t="s">
        <v>20</v>
      </c>
      <c r="G98" t="s">
        <v>21</v>
      </c>
      <c r="H98" t="s">
        <v>22</v>
      </c>
      <c r="I98" t="s">
        <v>23</v>
      </c>
      <c r="J98">
        <v>1000000</v>
      </c>
      <c r="K98">
        <v>1000000</v>
      </c>
      <c r="L98" s="1">
        <v>44067</v>
      </c>
      <c r="M98" s="1">
        <v>45164</v>
      </c>
      <c r="N98" s="2">
        <f>HYPERLINK("https://www.greenbondtransparency.com/bond-info/?handle=5dd63e9b992f47a88db15d84001a0aad","PAL3009913G9")</f>
      </c>
      <c r="O98" s="2">
        <f>HYPERLINK("https://www.greenbondtransparency.com/bond-info/?handle=c8db70a600e4496aa0bdff98338e72ee","CIFI_GB")</f>
      </c>
      <c r="P98" s="2" t="s">
        <v>24</v>
      </c>
    </row>
    <row r="99" spans="1:16" x14ac:dyDescent="0.25">
      <c r="A99" t="s">
        <v>16</v>
      </c>
      <c r="B99" t="s">
        <v>307</v>
      </c>
      <c r="C99" t="s">
        <v>308</v>
      </c>
      <c r="E99" t="s">
        <v>34</v>
      </c>
      <c r="F99" t="s">
        <v>20</v>
      </c>
      <c r="G99" t="s">
        <v>309</v>
      </c>
      <c r="H99" t="s">
        <v>44</v>
      </c>
      <c r="I99" t="s">
        <v>49</v>
      </c>
      <c r="J99">
        <v>150000000</v>
      </c>
      <c r="K99">
        <v>26644877</v>
      </c>
      <c r="L99" s="1">
        <v>44270</v>
      </c>
      <c r="M99" s="1">
        <v>47557</v>
      </c>
      <c r="N99" s="2">
        <f>HYPERLINK("https://www.greenbondtransparency.com/bond-info/?handle=5e83524c4bff46698146fad15dedc311","BRESB1DBS004")</f>
      </c>
      <c r="O99" s="2" t="s">
        <v>24</v>
      </c>
      <c r="P99" s="2">
        <f>HYPERLINK("https://www.greenbondtransparency.com/download-document/?entity=Framework&amp;handle=95bbca5a4dd447cd8e159fa1f8155886","Climate Bond Framework of E1 SUBHOLDING S.A. in 2021")</f>
      </c>
    </row>
    <row r="100" spans="1:16" x14ac:dyDescent="0.25">
      <c r="A100" t="s">
        <v>1</v>
      </c>
      <c r="B100" t="s">
        <v>310</v>
      </c>
      <c r="C100" t="s">
        <v>310</v>
      </c>
      <c r="E100" t="s">
        <v>42</v>
      </c>
      <c r="F100" t="s">
        <v>20</v>
      </c>
      <c r="G100" t="s">
        <v>43</v>
      </c>
      <c r="H100" t="s">
        <v>44</v>
      </c>
      <c r="I100" t="s">
        <v>45</v>
      </c>
      <c r="J100">
        <v>14000000</v>
      </c>
      <c r="K100">
        <v>7000000</v>
      </c>
      <c r="L100" s="1">
        <v>44232</v>
      </c>
      <c r="M100" s="1">
        <v>45327</v>
      </c>
      <c r="N100" s="2">
        <f>HYPERLINK("https://www.greenbondtransparency.com/bond-info/?handle=5fcd12ec5dd342389cf9fb4c48cb3f8f","WREL#2_A")</f>
      </c>
      <c r="O100" s="2">
        <f>HYPERLINK("https://www.greenbondtransparency.com/bond-info/?handle=b490975cce04415b9354b4cb9beb18ed","WREL#2")</f>
      </c>
      <c r="P100" s="2" t="s">
        <v>24</v>
      </c>
    </row>
    <row r="101" spans="1:16" x14ac:dyDescent="0.25">
      <c r="A101" t="s">
        <v>16</v>
      </c>
      <c r="B101" t="s">
        <v>311</v>
      </c>
      <c r="C101" t="s">
        <v>312</v>
      </c>
      <c r="D101" t="s">
        <v>52</v>
      </c>
      <c r="E101" t="s">
        <v>53</v>
      </c>
      <c r="F101" t="s">
        <v>54</v>
      </c>
      <c r="G101" t="s">
        <v>55</v>
      </c>
      <c r="H101" t="s">
        <v>30</v>
      </c>
      <c r="I101" t="s">
        <v>56</v>
      </c>
      <c r="J101">
        <v>10000000000</v>
      </c>
      <c r="K101">
        <v>72700836</v>
      </c>
      <c r="L101" s="1">
        <v>44922</v>
      </c>
      <c r="M101" s="1">
        <v>46748</v>
      </c>
      <c r="N101" s="2">
        <f>HYPERLINK("https://www.greenbondtransparency.com/bond-info/?handle=63b60ae70a5b49b388cfbc958b5a5781","XS2567238675")</f>
      </c>
      <c r="O101" s="2" t="s">
        <v>24</v>
      </c>
      <c r="P101" s="2">
        <f>HYPERLINK("https://www.greenbondtransparency.com/download-document/?entity=Framework&amp;handle=9baf8156464a428da24a03b589461dec","CABEI´s Green and Blue Bond Framework")</f>
      </c>
    </row>
    <row r="102" spans="1:16" x14ac:dyDescent="0.25">
      <c r="A102" t="s">
        <v>16</v>
      </c>
      <c r="B102" t="s">
        <v>313</v>
      </c>
      <c r="C102" t="s">
        <v>314</v>
      </c>
      <c r="E102" t="s">
        <v>19</v>
      </c>
      <c r="F102" t="s">
        <v>20</v>
      </c>
      <c r="G102" t="s">
        <v>315</v>
      </c>
      <c r="H102" t="s">
        <v>44</v>
      </c>
      <c r="I102" t="s">
        <v>23</v>
      </c>
      <c r="J102">
        <v>262664000</v>
      </c>
      <c r="K102">
        <v>262664000</v>
      </c>
      <c r="L102" s="1">
        <v>44183</v>
      </c>
      <c r="M102" s="1">
        <v>50679</v>
      </c>
      <c r="N102" s="2">
        <f>HYPERLINK("https://www.greenbondtransparency.com/bond-info/?handle=63eb049b54cf46b8871604a7b6c595b4","US90363PAA49")</f>
      </c>
      <c r="O102" s="2" t="s">
        <v>24</v>
      </c>
      <c r="P102" s="2" t="s">
        <v>24</v>
      </c>
    </row>
    <row r="103" spans="1:16" x14ac:dyDescent="0.25">
      <c r="A103" t="s">
        <v>16</v>
      </c>
      <c r="B103" t="s">
        <v>316</v>
      </c>
      <c r="C103" t="s">
        <v>317</v>
      </c>
      <c r="E103" t="s">
        <v>34</v>
      </c>
      <c r="F103" t="s">
        <v>20</v>
      </c>
      <c r="G103" t="s">
        <v>318</v>
      </c>
      <c r="H103" t="s">
        <v>44</v>
      </c>
      <c r="I103" t="s">
        <v>49</v>
      </c>
      <c r="J103">
        <v>480000000</v>
      </c>
      <c r="K103">
        <v>94702575</v>
      </c>
      <c r="L103" s="1">
        <v>44176</v>
      </c>
      <c r="M103" s="1">
        <v>46006</v>
      </c>
      <c r="N103" s="2">
        <f>HYPERLINK("https://www.greenbondtransparency.com/bond-info/?handle=641852f48d4d4d0ab9f8c969be2dcd20","BRIMWLCRA0N2")</f>
      </c>
      <c r="O103" s="2" t="s">
        <v>24</v>
      </c>
      <c r="P103" s="2" t="s">
        <v>24</v>
      </c>
    </row>
    <row r="104" spans="1:16" x14ac:dyDescent="0.25">
      <c r="A104" t="s">
        <v>16</v>
      </c>
      <c r="B104" t="s">
        <v>319</v>
      </c>
      <c r="C104" t="s">
        <v>320</v>
      </c>
      <c r="E104" t="s">
        <v>59</v>
      </c>
      <c r="F104" t="s">
        <v>20</v>
      </c>
      <c r="G104" t="s">
        <v>321</v>
      </c>
      <c r="H104" t="s">
        <v>44</v>
      </c>
      <c r="I104" t="s">
        <v>23</v>
      </c>
      <c r="J104">
        <v>48450360</v>
      </c>
      <c r="K104">
        <v>48450360</v>
      </c>
      <c r="L104" s="1">
        <v>43879</v>
      </c>
      <c r="M104" s="1">
        <v>44153</v>
      </c>
      <c r="N104" s="2">
        <f>HYPERLINK("https://www.greenbondtransparency.com/bond-info/?handle=65809b95fbf34e898b30b546b2d2a6a8","ARAESA560032")</f>
      </c>
      <c r="O104" s="2" t="s">
        <v>24</v>
      </c>
      <c r="P104" s="2" t="s">
        <v>24</v>
      </c>
    </row>
    <row r="105" spans="1:16" x14ac:dyDescent="0.25">
      <c r="A105" t="s">
        <v>16</v>
      </c>
      <c r="B105" t="s">
        <v>322</v>
      </c>
      <c r="C105" t="s">
        <v>323</v>
      </c>
      <c r="E105" t="s">
        <v>73</v>
      </c>
      <c r="F105" t="s">
        <v>20</v>
      </c>
      <c r="G105" t="s">
        <v>324</v>
      </c>
      <c r="H105" t="s">
        <v>44</v>
      </c>
      <c r="I105" t="s">
        <v>75</v>
      </c>
      <c r="J105">
        <v>4600000000</v>
      </c>
      <c r="K105">
        <v>246836426</v>
      </c>
      <c r="L105" s="1">
        <v>42914</v>
      </c>
      <c r="M105" s="1">
        <v>46566</v>
      </c>
      <c r="N105" s="2">
        <f>HYPERLINK("https://www.greenbondtransparency.com/bond-info/?handle=6699aa37a3de4631b0742dedc052011e","MX91AG050018")</f>
      </c>
      <c r="O105" s="2" t="s">
        <v>24</v>
      </c>
      <c r="P105" s="2">
        <f>HYPERLINK("https://www.greenbondtransparency.com/download-document/?entity=Framework&amp;handle=95b3eb28144a4ce6a75c1665a0a4d887","Sustainability Bond Framework")</f>
      </c>
    </row>
    <row r="106" spans="1:16" x14ac:dyDescent="0.25">
      <c r="A106" t="s">
        <v>16</v>
      </c>
      <c r="B106" t="s">
        <v>325</v>
      </c>
      <c r="C106" t="s">
        <v>326</v>
      </c>
      <c r="D106" t="s">
        <v>27</v>
      </c>
      <c r="E106" t="s">
        <v>34</v>
      </c>
      <c r="F106" t="s">
        <v>20</v>
      </c>
      <c r="G106" t="s">
        <v>171</v>
      </c>
      <c r="H106" t="s">
        <v>44</v>
      </c>
      <c r="I106" t="s">
        <v>49</v>
      </c>
      <c r="J106">
        <v>672500000</v>
      </c>
      <c r="K106">
        <v>129400000</v>
      </c>
      <c r="L106" s="1">
        <v>44237</v>
      </c>
      <c r="M106" s="1">
        <v>52793</v>
      </c>
      <c r="N106" s="2">
        <f>HYPERLINK("https://www.greenbondtransparency.com/bond-info/?handle=675b2c75c3cf4ef5be3d6cf3421d4300","BRTRPLDBS0E9")</f>
      </c>
      <c r="O106" s="2" t="s">
        <v>24</v>
      </c>
      <c r="P106" s="2">
        <f>HYPERLINK("https://www.greenbondtransparency.com/download-document/?entity=Framework&amp;handle=e791ce8ea3eb4c6897df799280b78881","Framework ISA CTEEP")</f>
      </c>
    </row>
    <row r="107" spans="1:16" x14ac:dyDescent="0.25">
      <c r="A107" t="s">
        <v>16</v>
      </c>
      <c r="B107" t="s">
        <v>327</v>
      </c>
      <c r="C107" t="s">
        <v>328</v>
      </c>
      <c r="E107" t="s">
        <v>34</v>
      </c>
      <c r="F107" t="s">
        <v>20</v>
      </c>
      <c r="G107" t="s">
        <v>257</v>
      </c>
      <c r="H107" t="s">
        <v>44</v>
      </c>
      <c r="I107" t="s">
        <v>49</v>
      </c>
      <c r="J107">
        <v>620486000</v>
      </c>
      <c r="K107">
        <v>119262306</v>
      </c>
      <c r="L107" s="1">
        <v>44027</v>
      </c>
      <c r="M107" s="1">
        <v>49140</v>
      </c>
      <c r="N107" s="2">
        <f>HYPERLINK("https://www.greenbondtransparency.com/bond-info/?handle=69021b69981246b2b037aa13c8fabc98","BRIGSNDBS044")</f>
      </c>
      <c r="O107" s="2" t="s">
        <v>24</v>
      </c>
      <c r="P107" s="2" t="s">
        <v>24</v>
      </c>
    </row>
    <row r="108" spans="1:16" x14ac:dyDescent="0.25">
      <c r="A108" t="s">
        <v>16</v>
      </c>
      <c r="B108" t="s">
        <v>329</v>
      </c>
      <c r="C108" t="s">
        <v>330</v>
      </c>
      <c r="E108" t="s">
        <v>34</v>
      </c>
      <c r="F108" t="s">
        <v>20</v>
      </c>
      <c r="G108" t="s">
        <v>331</v>
      </c>
      <c r="H108" t="s">
        <v>44</v>
      </c>
      <c r="I108" t="s">
        <v>49</v>
      </c>
      <c r="J108">
        <v>20000000</v>
      </c>
      <c r="K108">
        <v>4895000</v>
      </c>
      <c r="L108" s="1">
        <v>43682</v>
      </c>
      <c r="M108" s="1">
        <v>45509</v>
      </c>
      <c r="N108" s="2">
        <f>HYPERLINK("https://www.greenbondtransparency.com/bond-info/?handle=69a374327ec74ed980c676a9cc7a693a","BRSAQIDBS008")</f>
      </c>
      <c r="O108" s="2" t="s">
        <v>24</v>
      </c>
      <c r="P108" s="2" t="s">
        <v>24</v>
      </c>
    </row>
    <row r="109" spans="1:16" x14ac:dyDescent="0.25">
      <c r="A109" t="s">
        <v>16</v>
      </c>
      <c r="B109" t="s">
        <v>332</v>
      </c>
      <c r="C109" t="s">
        <v>333</v>
      </c>
      <c r="D109" t="s">
        <v>72</v>
      </c>
      <c r="E109" t="s">
        <v>73</v>
      </c>
      <c r="F109" t="s">
        <v>20</v>
      </c>
      <c r="G109" t="s">
        <v>74</v>
      </c>
      <c r="H109" t="s">
        <v>30</v>
      </c>
      <c r="I109" t="s">
        <v>75</v>
      </c>
      <c r="J109">
        <v>5948000000</v>
      </c>
      <c r="K109">
        <v>326000000</v>
      </c>
      <c r="L109" s="1">
        <v>45217</v>
      </c>
      <c r="M109" s="1">
        <v>48859</v>
      </c>
      <c r="N109" s="2">
        <f>HYPERLINK("https://www.greenbondtransparency.com/bond-info/?handle=6bc750a3957345d59e7c71f20600611b","MXCDBA0300J3")</f>
      </c>
      <c r="O109" s="2">
        <f>HYPERLINK("https://www.greenbondtransparency.com/bond-info/?handle=c22e982b478d43eb9de3be32cbb89496","PU")</f>
      </c>
      <c r="P109" s="2">
        <f>HYPERLINK("https://www.greenbondtransparency.com/download-document/?entity=Framework&amp;handle=41f78746078d444787f9a1f78b30153c","Bancomext Sustainability Bond Framework")</f>
      </c>
    </row>
    <row r="110" spans="1:16" x14ac:dyDescent="0.25">
      <c r="A110" t="s">
        <v>16</v>
      </c>
      <c r="B110" t="s">
        <v>334</v>
      </c>
      <c r="C110" t="s">
        <v>335</v>
      </c>
      <c r="D110" t="s">
        <v>72</v>
      </c>
      <c r="E110" t="s">
        <v>34</v>
      </c>
      <c r="F110" t="s">
        <v>20</v>
      </c>
      <c r="G110" t="s">
        <v>149</v>
      </c>
      <c r="H110" t="s">
        <v>22</v>
      </c>
      <c r="I110" t="s">
        <v>49</v>
      </c>
      <c r="J110">
        <v>200</v>
      </c>
      <c r="K110">
        <v>39</v>
      </c>
      <c r="L110" s="1">
        <v>44656</v>
      </c>
      <c r="M110" s="1">
        <v>46492</v>
      </c>
      <c r="N110" s="2">
        <f>HYPERLINK("https://www.greenbondtransparency.com/bond-info/?handle=6ce0bbd6b474406c88f0e2cb5022589b","BRRBRACRA1T9")</f>
      </c>
      <c r="O110" s="2" t="s">
        <v>24</v>
      </c>
      <c r="P110" s="2" t="s">
        <v>24</v>
      </c>
    </row>
    <row r="111" spans="1:16" x14ac:dyDescent="0.25">
      <c r="A111" t="s">
        <v>16</v>
      </c>
      <c r="B111" t="s">
        <v>336</v>
      </c>
      <c r="C111" t="s">
        <v>337</v>
      </c>
      <c r="D111" t="s">
        <v>27</v>
      </c>
      <c r="E111" t="s">
        <v>59</v>
      </c>
      <c r="F111" t="s">
        <v>20</v>
      </c>
      <c r="G111" t="s">
        <v>272</v>
      </c>
      <c r="H111" t="s">
        <v>44</v>
      </c>
      <c r="I111" t="s">
        <v>23</v>
      </c>
      <c r="J111">
        <v>29917476</v>
      </c>
      <c r="K111">
        <v>29917476</v>
      </c>
      <c r="L111" s="1">
        <v>44876</v>
      </c>
      <c r="M111" s="1">
        <v>46337</v>
      </c>
      <c r="N111" s="2">
        <f>HYPERLINK("https://www.greenbondtransparency.com/bond-info/?handle=6e080a992f2446428ffd4c836997a3dd","AREMGA5600P1")</f>
      </c>
      <c r="O111" s="2" t="s">
        <v>24</v>
      </c>
      <c r="P111" s="2">
        <f>HYPERLINK("https://www.greenbondtransparency.com/download-document/?entity=Framework&amp;handle=0861b552d06e4b9799ebc7a3b1aa7e2a","Genneia Green Bond Framework")</f>
      </c>
    </row>
    <row r="112" spans="1:16" x14ac:dyDescent="0.25">
      <c r="A112" t="s">
        <v>16</v>
      </c>
      <c r="B112" t="s">
        <v>338</v>
      </c>
      <c r="C112" t="s">
        <v>339</v>
      </c>
      <c r="D112" t="s">
        <v>27</v>
      </c>
      <c r="E112" t="s">
        <v>34</v>
      </c>
      <c r="F112" t="s">
        <v>20</v>
      </c>
      <c r="G112" t="s">
        <v>138</v>
      </c>
      <c r="H112" t="s">
        <v>44</v>
      </c>
      <c r="I112" t="s">
        <v>49</v>
      </c>
      <c r="J112">
        <v>630783000</v>
      </c>
      <c r="K112">
        <v>122744308</v>
      </c>
      <c r="L112" s="1">
        <v>44691</v>
      </c>
      <c r="M112" s="1">
        <v>47223</v>
      </c>
      <c r="N112" s="2">
        <f>HYPERLINK("https://www.greenbondtransparency.com/bond-info/?handle=6e51d902b61a4b549586725651a46b90","BRTAEEDBS0P6")</f>
      </c>
      <c r="O112" s="2">
        <f>HYPERLINK("https://www.greenbondtransparency.com/bond-info/?handle=eba65f8413f44823a8d3c8570919f967","12ªEmissãoTaesa")</f>
      </c>
      <c r="P112" s="2" t="s">
        <v>24</v>
      </c>
    </row>
    <row r="113" spans="1:16" x14ac:dyDescent="0.25">
      <c r="A113" t="s">
        <v>16</v>
      </c>
      <c r="B113" t="s">
        <v>340</v>
      </c>
      <c r="C113" t="s">
        <v>341</v>
      </c>
      <c r="D113" t="s">
        <v>27</v>
      </c>
      <c r="E113" t="s">
        <v>34</v>
      </c>
      <c r="F113" t="s">
        <v>20</v>
      </c>
      <c r="G113" t="s">
        <v>177</v>
      </c>
      <c r="H113" t="s">
        <v>22</v>
      </c>
      <c r="I113" t="s">
        <v>23</v>
      </c>
      <c r="J113">
        <v>500000000</v>
      </c>
      <c r="K113">
        <v>500000000</v>
      </c>
      <c r="L113" s="1">
        <v>44204</v>
      </c>
      <c r="M113" s="1">
        <v>46033</v>
      </c>
      <c r="N113" s="2">
        <f>HYPERLINK("https://www.greenbondtransparency.com/bond-info/?handle=6f267b54dd6942f79b3910d04d4f7d65","US05971AAG67")</f>
      </c>
      <c r="O113" s="2">
        <f>HYPERLINK("https://www.greenbondtransparency.com/bond-info/?handle=8e6d700046f54858af9428fd50d0f6ee","BTGP Green")</f>
      </c>
      <c r="P113" s="2">
        <f>HYPERLINK("https://www.greenbondtransparency.com/download-document/?entity=Framework&amp;handle=4fe1e360ebb54d2881c324702c05ca4c","BTG Pactual Green, Social and Sustainable Financing Framework")</f>
      </c>
    </row>
    <row r="114" spans="1:16" x14ac:dyDescent="0.25">
      <c r="A114" t="s">
        <v>16</v>
      </c>
      <c r="B114" t="s">
        <v>342</v>
      </c>
      <c r="C114" t="s">
        <v>343</v>
      </c>
      <c r="E114" t="s">
        <v>129</v>
      </c>
      <c r="F114" t="s">
        <v>20</v>
      </c>
      <c r="G114" t="s">
        <v>130</v>
      </c>
      <c r="H114" t="s">
        <v>22</v>
      </c>
      <c r="I114" t="s">
        <v>131</v>
      </c>
      <c r="J114">
        <v>300000000000</v>
      </c>
      <c r="K114">
        <v>104228913</v>
      </c>
      <c r="L114" s="1">
        <v>43299</v>
      </c>
      <c r="M114" s="1">
        <v>45125</v>
      </c>
      <c r="N114" s="2">
        <f>HYPERLINK("https://www.greenbondtransparency.com/bond-info/?handle=6f46459260bb4254a71f833639627109","COB07CB00603")</f>
      </c>
      <c r="O114" s="2" t="s">
        <v>24</v>
      </c>
      <c r="P114" s="2">
        <f>HYPERLINK("https://www.greenbondtransparency.com/download-document/?entity=Framework&amp;handle=9c192826e78e482c93c7455809b0c515","Bono Verde 2 Bancolombia")</f>
      </c>
    </row>
    <row r="115" spans="1:16" x14ac:dyDescent="0.25">
      <c r="A115" t="s">
        <v>16</v>
      </c>
      <c r="B115" t="s">
        <v>344</v>
      </c>
      <c r="C115" t="s">
        <v>345</v>
      </c>
      <c r="D115" t="s">
        <v>72</v>
      </c>
      <c r="E115" t="s">
        <v>129</v>
      </c>
      <c r="F115" t="s">
        <v>20</v>
      </c>
      <c r="G115" t="s">
        <v>231</v>
      </c>
      <c r="H115" t="s">
        <v>22</v>
      </c>
      <c r="I115" t="s">
        <v>23</v>
      </c>
      <c r="J115">
        <v>230000000</v>
      </c>
      <c r="K115">
        <v>230000000</v>
      </c>
      <c r="L115" s="1">
        <v>45009</v>
      </c>
      <c r="M115" s="1">
        <v>48662</v>
      </c>
      <c r="N115" s="2">
        <f>HYPERLINK("https://www.greenbondtransparency.com/bond-info/?handle=6fdfd4500a2b40aaa22565c089d3f496","US059514AF65")</f>
      </c>
      <c r="O115" s="2" t="s">
        <v>24</v>
      </c>
      <c r="P115" s="2">
        <f>HYPERLINK("https://www.greenbondtransparency.com/download-document/?entity=Framework&amp;handle=29f98e23a2cc401ab33817cd7d63db29","Banco de Bogota Sustainable Bond Framework")</f>
      </c>
    </row>
    <row r="116" spans="1:16" x14ac:dyDescent="0.25">
      <c r="A116" t="s">
        <v>16</v>
      </c>
      <c r="B116" t="s">
        <v>346</v>
      </c>
      <c r="C116" t="s">
        <v>347</v>
      </c>
      <c r="E116" t="s">
        <v>34</v>
      </c>
      <c r="F116" t="s">
        <v>20</v>
      </c>
      <c r="G116" t="s">
        <v>348</v>
      </c>
      <c r="H116" t="s">
        <v>44</v>
      </c>
      <c r="I116" t="s">
        <v>23</v>
      </c>
      <c r="J116">
        <v>700000000</v>
      </c>
      <c r="K116">
        <v>700000000</v>
      </c>
      <c r="L116" s="1">
        <v>43558</v>
      </c>
      <c r="M116" s="1">
        <v>54516</v>
      </c>
      <c r="N116" s="2">
        <f>HYPERLINK("https://www.greenbondtransparency.com/bond-info/?handle=72b244fd46b444aba44095c0ca650e2f","USA35155AB50")</f>
      </c>
      <c r="O116" s="2" t="s">
        <v>24</v>
      </c>
      <c r="P116" s="2">
        <f>HYPERLINK("https://www.greenbondtransparency.com/download-document/?entity=Framework&amp;handle=9abfc296b9b74968b8b8bba5571996b7","Green Bond Framework")</f>
      </c>
    </row>
    <row r="117" spans="1:16" x14ac:dyDescent="0.25">
      <c r="A117" t="s">
        <v>16</v>
      </c>
      <c r="B117" t="s">
        <v>349</v>
      </c>
      <c r="C117" t="s">
        <v>350</v>
      </c>
      <c r="E117" t="s">
        <v>34</v>
      </c>
      <c r="F117" t="s">
        <v>20</v>
      </c>
      <c r="G117" t="s">
        <v>275</v>
      </c>
      <c r="H117" t="s">
        <v>22</v>
      </c>
      <c r="I117" t="s">
        <v>49</v>
      </c>
      <c r="J117">
        <v>140389781</v>
      </c>
      <c r="K117">
        <v>24673072</v>
      </c>
      <c r="L117" s="1">
        <v>44286</v>
      </c>
      <c r="M117" s="1">
        <v>48060</v>
      </c>
      <c r="N117" s="2">
        <f>HYPERLINK("https://www.greenbondtransparency.com/bond-info/?handle=731de09d90c6433a8eddaf8aa22dc123","BR07S4CTF001")</f>
      </c>
      <c r="O117" s="2" t="s">
        <v>24</v>
      </c>
      <c r="P117" s="2" t="s">
        <v>24</v>
      </c>
    </row>
    <row r="118" spans="1:16" x14ac:dyDescent="0.25">
      <c r="A118" t="s">
        <v>16</v>
      </c>
      <c r="B118" t="s">
        <v>351</v>
      </c>
      <c r="C118" t="s">
        <v>352</v>
      </c>
      <c r="E118" t="s">
        <v>129</v>
      </c>
      <c r="F118" t="s">
        <v>20</v>
      </c>
      <c r="G118" t="s">
        <v>353</v>
      </c>
      <c r="H118" t="s">
        <v>66</v>
      </c>
      <c r="I118" t="s">
        <v>131</v>
      </c>
      <c r="J118">
        <v>1985525463369</v>
      </c>
      <c r="K118">
        <v>512352827</v>
      </c>
      <c r="L118" s="1">
        <v>44468</v>
      </c>
      <c r="M118" s="1">
        <v>47933</v>
      </c>
      <c r="N118" s="2">
        <f>HYPERLINK("https://www.greenbondtransparency.com/bond-info/?handle=734f4cf2916542dbbaeacbcc4fb98898","COL17CT03797")</f>
      </c>
      <c r="O118" s="2" t="s">
        <v>24</v>
      </c>
      <c r="P118" s="2">
        <f>HYPERLINK("https://www.greenbondtransparency.com/download-document/?entity=Framework&amp;handle=2b5263d9a5ad4526a9d1719870519eec","Marco de referencia de Bonos Verdes Soberanos de Colombia")</f>
      </c>
    </row>
    <row r="119" spans="1:16" x14ac:dyDescent="0.25">
      <c r="A119" t="s">
        <v>16</v>
      </c>
      <c r="B119" t="s">
        <v>354</v>
      </c>
      <c r="C119" t="s">
        <v>355</v>
      </c>
      <c r="E119" t="s">
        <v>34</v>
      </c>
      <c r="F119" t="s">
        <v>20</v>
      </c>
      <c r="G119" t="s">
        <v>356</v>
      </c>
      <c r="H119" t="s">
        <v>22</v>
      </c>
      <c r="I119" t="s">
        <v>49</v>
      </c>
      <c r="J119">
        <v>1050000</v>
      </c>
      <c r="K119">
        <v>208416</v>
      </c>
      <c r="L119" s="1">
        <v>44175</v>
      </c>
      <c r="M119" s="1">
        <v>46111</v>
      </c>
      <c r="N119" s="2">
        <f>HYPERLINK("https://www.greenbondtransparency.com/bond-info/?handle=75ebf4bea1c94bb19c2ffc24f937cac8","BRGAFLCRA0Z3")</f>
      </c>
      <c r="O119" s="2" t="s">
        <v>24</v>
      </c>
      <c r="P119" s="2" t="s">
        <v>24</v>
      </c>
    </row>
    <row r="120" spans="1:16" x14ac:dyDescent="0.25">
      <c r="A120" t="s">
        <v>16</v>
      </c>
      <c r="B120" t="s">
        <v>357</v>
      </c>
      <c r="C120" t="s">
        <v>358</v>
      </c>
      <c r="D120" t="s">
        <v>27</v>
      </c>
      <c r="E120" t="s">
        <v>34</v>
      </c>
      <c r="F120" t="s">
        <v>20</v>
      </c>
      <c r="G120" t="s">
        <v>171</v>
      </c>
      <c r="H120" t="s">
        <v>44</v>
      </c>
      <c r="I120" t="s">
        <v>49</v>
      </c>
      <c r="J120">
        <v>409000000</v>
      </c>
      <c r="K120">
        <v>78700000</v>
      </c>
      <c r="L120" s="1">
        <v>43819</v>
      </c>
      <c r="M120" s="1">
        <v>47467</v>
      </c>
      <c r="N120" s="2">
        <f>HYPERLINK("https://www.greenbondtransparency.com/bond-info/?handle=7764daf78634437c8d58059674d26e96","BRTRPLDBS089")</f>
      </c>
      <c r="O120" s="2" t="s">
        <v>24</v>
      </c>
      <c r="P120" s="2" t="s">
        <v>24</v>
      </c>
    </row>
    <row r="121" spans="1:16" x14ac:dyDescent="0.25">
      <c r="A121" t="s">
        <v>16</v>
      </c>
      <c r="B121" t="s">
        <v>359</v>
      </c>
      <c r="C121" t="s">
        <v>360</v>
      </c>
      <c r="D121" t="s">
        <v>27</v>
      </c>
      <c r="E121" t="s">
        <v>53</v>
      </c>
      <c r="F121" t="s">
        <v>54</v>
      </c>
      <c r="G121" t="s">
        <v>55</v>
      </c>
      <c r="H121" t="s">
        <v>30</v>
      </c>
      <c r="I121" t="s">
        <v>94</v>
      </c>
      <c r="J121">
        <v>110000000</v>
      </c>
      <c r="K121">
        <v>114798580.67</v>
      </c>
      <c r="L121" s="1">
        <v>44908</v>
      </c>
      <c r="M121" s="1">
        <v>46734</v>
      </c>
      <c r="N121" s="2">
        <f>HYPERLINK("https://www.greenbondtransparency.com/bond-info/?handle=788e2e9e050c4500b6edbd5e51925cdc","CH1231312682")</f>
      </c>
      <c r="O121" s="2" t="s">
        <v>24</v>
      </c>
      <c r="P121" s="2">
        <f>HYPERLINK("https://www.greenbondtransparency.com/download-document/?entity=Framework&amp;handle=54743cb2f07c4d9f923a5c04c2547bb4","CABEI´s Green Bond Framework")</f>
      </c>
    </row>
    <row r="122" spans="1:16" x14ac:dyDescent="0.25">
      <c r="A122" t="s">
        <v>16</v>
      </c>
      <c r="B122" t="s">
        <v>361</v>
      </c>
      <c r="C122" t="s">
        <v>362</v>
      </c>
      <c r="D122" t="s">
        <v>27</v>
      </c>
      <c r="E122" t="s">
        <v>64</v>
      </c>
      <c r="F122" t="s">
        <v>20</v>
      </c>
      <c r="G122" t="s">
        <v>363</v>
      </c>
      <c r="H122" t="s">
        <v>22</v>
      </c>
      <c r="I122" t="s">
        <v>56</v>
      </c>
      <c r="J122">
        <v>5000000000</v>
      </c>
      <c r="K122">
        <v>44000000</v>
      </c>
      <c r="L122" s="1">
        <v>44568</v>
      </c>
      <c r="M122" s="1">
        <v>46394</v>
      </c>
      <c r="N122" s="2">
        <f>HYPERLINK("https://www.greenbondtransparency.com/bond-info/?handle=79998baaa2e74bf0aa47e9d7521dd092","XS2424489958")</f>
      </c>
      <c r="O122" s="2">
        <f>HYPERLINK("https://www.greenbondtransparency.com/bond-info/?handle=60f0ba75eb89444c9f0fe841a8ec78cf","BCI PROGRAM")</f>
      </c>
      <c r="P122" s="2">
        <f>HYPERLINK("https://www.greenbondtransparency.com/download-document/?entity=Framework&amp;handle=8dc563c540c1439a8c930ddbfada75ef","Bci Sustainable Financing Framework")</f>
      </c>
    </row>
    <row r="123" spans="1:16" x14ac:dyDescent="0.25">
      <c r="A123" t="s">
        <v>16</v>
      </c>
      <c r="B123" t="s">
        <v>364</v>
      </c>
      <c r="C123" t="s">
        <v>365</v>
      </c>
      <c r="E123" t="s">
        <v>34</v>
      </c>
      <c r="F123" t="s">
        <v>20</v>
      </c>
      <c r="G123" t="s">
        <v>99</v>
      </c>
      <c r="H123" t="s">
        <v>44</v>
      </c>
      <c r="I123" t="s">
        <v>49</v>
      </c>
      <c r="J123">
        <v>110000000</v>
      </c>
      <c r="K123">
        <v>20861782</v>
      </c>
      <c r="L123" s="1">
        <v>44089</v>
      </c>
      <c r="M123" s="1">
        <v>47011</v>
      </c>
      <c r="N123" s="2">
        <f>HYPERLINK("https://www.greenbondtransparency.com/bond-info/?handle=7c95589261774817a0ed576d49102d56","BROMGEDBS044")</f>
      </c>
      <c r="O123" s="2" t="s">
        <v>24</v>
      </c>
      <c r="P123" s="2" t="s">
        <v>24</v>
      </c>
    </row>
    <row r="124" spans="1:16" x14ac:dyDescent="0.25">
      <c r="A124" t="s">
        <v>16</v>
      </c>
      <c r="B124" t="s">
        <v>366</v>
      </c>
      <c r="C124" t="s">
        <v>367</v>
      </c>
      <c r="D124" t="s">
        <v>27</v>
      </c>
      <c r="E124" t="s">
        <v>34</v>
      </c>
      <c r="F124" t="s">
        <v>20</v>
      </c>
      <c r="G124" t="s">
        <v>163</v>
      </c>
      <c r="H124" t="s">
        <v>44</v>
      </c>
      <c r="I124" t="s">
        <v>49</v>
      </c>
      <c r="J124">
        <v>300000000</v>
      </c>
      <c r="K124">
        <v>58365758</v>
      </c>
      <c r="L124" s="1">
        <v>44993</v>
      </c>
      <c r="M124" s="1">
        <v>47914</v>
      </c>
      <c r="N124" s="2">
        <f>HYPERLINK("https://www.greenbondtransparency.com/bond-info/?handle=7cbf47e1443b4733b93135c944225a5b","BR0EGCCTF000")</f>
      </c>
      <c r="O124" s="2" t="s">
        <v>24</v>
      </c>
      <c r="P124" s="2" t="s">
        <v>24</v>
      </c>
    </row>
    <row r="125" spans="1:16" x14ac:dyDescent="0.25">
      <c r="A125" t="s">
        <v>16</v>
      </c>
      <c r="B125" t="s">
        <v>368</v>
      </c>
      <c r="C125" t="s">
        <v>369</v>
      </c>
      <c r="E125" t="s">
        <v>34</v>
      </c>
      <c r="F125" t="s">
        <v>20</v>
      </c>
      <c r="G125" t="s">
        <v>348</v>
      </c>
      <c r="H125" t="s">
        <v>44</v>
      </c>
      <c r="I125" t="s">
        <v>23</v>
      </c>
      <c r="J125">
        <v>500000000</v>
      </c>
      <c r="K125">
        <v>500000000</v>
      </c>
      <c r="L125" s="1">
        <v>42997</v>
      </c>
      <c r="M125" s="1">
        <v>46649</v>
      </c>
      <c r="N125" s="2">
        <f>HYPERLINK("https://www.greenbondtransparency.com/bond-info/?handle=7d27df26e2924c4d9fcf8ba0c0d9d684","USL5828LAB55")</f>
      </c>
      <c r="O125" s="2" t="s">
        <v>24</v>
      </c>
      <c r="P125" s="2">
        <f>HYPERLINK("https://www.greenbondtransparency.com/download-document/?entity=Framework&amp;handle=9abfc296b9b74968b8b8bba5571996b7","Green Bond Framework")</f>
      </c>
    </row>
    <row r="126" spans="1:16" x14ac:dyDescent="0.25">
      <c r="A126" t="s">
        <v>16</v>
      </c>
      <c r="B126" t="s">
        <v>370</v>
      </c>
      <c r="C126" t="s">
        <v>371</v>
      </c>
      <c r="E126" t="s">
        <v>34</v>
      </c>
      <c r="F126" t="s">
        <v>20</v>
      </c>
      <c r="G126" t="s">
        <v>356</v>
      </c>
      <c r="H126" t="s">
        <v>22</v>
      </c>
      <c r="I126" t="s">
        <v>49</v>
      </c>
      <c r="J126">
        <v>5000000</v>
      </c>
      <c r="K126">
        <v>932191</v>
      </c>
      <c r="L126" s="1">
        <v>44328</v>
      </c>
      <c r="M126" s="1">
        <v>45426</v>
      </c>
      <c r="N126" s="2">
        <f>HYPERLINK("https://www.greenbondtransparency.com/bond-info/?handle=7d5a909c5f244b7da7c3fab618115955","BRGAFLCRI009")</f>
      </c>
      <c r="O126" s="2" t="s">
        <v>24</v>
      </c>
      <c r="P126" s="2" t="s">
        <v>24</v>
      </c>
    </row>
    <row r="127" spans="1:16" x14ac:dyDescent="0.25">
      <c r="A127" t="s">
        <v>1</v>
      </c>
      <c r="B127" t="s">
        <v>372</v>
      </c>
      <c r="C127" t="s">
        <v>373</v>
      </c>
      <c r="D127" t="s">
        <v>27</v>
      </c>
      <c r="E127" t="s">
        <v>223</v>
      </c>
      <c r="F127" t="s">
        <v>20</v>
      </c>
      <c r="G127" t="s">
        <v>224</v>
      </c>
      <c r="H127" t="s">
        <v>44</v>
      </c>
      <c r="I127" t="s">
        <v>23</v>
      </c>
      <c r="J127">
        <v>64750000</v>
      </c>
      <c r="K127">
        <v>64750000</v>
      </c>
      <c r="L127" s="1">
        <v>43123</v>
      </c>
      <c r="M127" s="1">
        <v>49263</v>
      </c>
      <c r="N127" s="2">
        <f>HYPERLINK("https://www.greenbondtransparency.com/bond-info/?handle=81ad48a9aaec4cada170f3b8e9b2616a","PR_PL_Jacinta")</f>
      </c>
      <c r="O127" s="2" t="s">
        <v>24</v>
      </c>
      <c r="P127" s="2" t="s">
        <v>24</v>
      </c>
    </row>
    <row r="128" spans="1:16" x14ac:dyDescent="0.25">
      <c r="A128" t="s">
        <v>16</v>
      </c>
      <c r="B128" t="s">
        <v>374</v>
      </c>
      <c r="C128" t="s">
        <v>375</v>
      </c>
      <c r="D128" t="s">
        <v>27</v>
      </c>
      <c r="E128" t="s">
        <v>64</v>
      </c>
      <c r="F128" t="s">
        <v>20</v>
      </c>
      <c r="G128" t="s">
        <v>376</v>
      </c>
      <c r="H128" t="s">
        <v>44</v>
      </c>
      <c r="I128" t="s">
        <v>23</v>
      </c>
      <c r="J128">
        <v>450000000</v>
      </c>
      <c r="K128">
        <v>450000000</v>
      </c>
      <c r="L128" s="1">
        <v>43745</v>
      </c>
      <c r="M128" s="1">
        <v>65660</v>
      </c>
      <c r="N128" s="2">
        <f>HYPERLINK("https://www.greenbondtransparency.com/bond-info/?handle=826fb91751eb4970ac578c6e8f0929fc","US00105DAG07")</f>
      </c>
      <c r="O128" s="2" t="s">
        <v>24</v>
      </c>
      <c r="P128" s="2" t="s">
        <v>24</v>
      </c>
    </row>
    <row r="129" spans="1:16" x14ac:dyDescent="0.25">
      <c r="A129" t="s">
        <v>16</v>
      </c>
      <c r="B129" t="s">
        <v>377</v>
      </c>
      <c r="C129" t="s">
        <v>378</v>
      </c>
      <c r="E129" t="s">
        <v>19</v>
      </c>
      <c r="F129" t="s">
        <v>20</v>
      </c>
      <c r="G129" t="s">
        <v>21</v>
      </c>
      <c r="H129" t="s">
        <v>22</v>
      </c>
      <c r="I129" t="s">
        <v>23</v>
      </c>
      <c r="J129">
        <v>2000000</v>
      </c>
      <c r="K129">
        <v>2000000</v>
      </c>
      <c r="L129" s="1">
        <v>44130</v>
      </c>
      <c r="M129" s="1">
        <v>45227</v>
      </c>
      <c r="N129" s="2">
        <f>HYPERLINK("https://www.greenbondtransparency.com/bond-info/?handle=82f9c056cca1404e906b6d3270884a77","PAL3009913J3")</f>
      </c>
      <c r="O129" s="2">
        <f>HYPERLINK("https://www.greenbondtransparency.com/bond-info/?handle=c8db70a600e4496aa0bdff98338e72ee","CIFI_GB")</f>
      </c>
      <c r="P129" s="2" t="s">
        <v>24</v>
      </c>
    </row>
    <row r="130" spans="1:16" x14ac:dyDescent="0.25">
      <c r="A130" t="s">
        <v>16</v>
      </c>
      <c r="B130" t="s">
        <v>379</v>
      </c>
      <c r="C130" t="s">
        <v>380</v>
      </c>
      <c r="D130" t="s">
        <v>27</v>
      </c>
      <c r="E130" t="s">
        <v>34</v>
      </c>
      <c r="F130" t="s">
        <v>20</v>
      </c>
      <c r="G130" t="s">
        <v>149</v>
      </c>
      <c r="H130" t="s">
        <v>22</v>
      </c>
      <c r="I130" t="s">
        <v>49</v>
      </c>
      <c r="J130">
        <v>150000000</v>
      </c>
      <c r="K130">
        <v>27048129</v>
      </c>
      <c r="L130" s="1">
        <v>44305</v>
      </c>
      <c r="M130" s="1">
        <v>44305</v>
      </c>
      <c r="N130" s="2">
        <f>HYPERLINK("https://www.greenbondtransparency.com/bond-info/?handle=845b8c6024f84b6aa16c08a43390e05c","CRA021000RZ")</f>
      </c>
      <c r="O130" s="2" t="s">
        <v>24</v>
      </c>
      <c r="P130" s="2" t="s">
        <v>24</v>
      </c>
    </row>
    <row r="131" spans="1:16" x14ac:dyDescent="0.25">
      <c r="A131" t="s">
        <v>1</v>
      </c>
      <c r="B131" t="s">
        <v>381</v>
      </c>
      <c r="C131" t="s">
        <v>381</v>
      </c>
      <c r="E131" t="s">
        <v>42</v>
      </c>
      <c r="F131" t="s">
        <v>20</v>
      </c>
      <c r="G131" t="s">
        <v>43</v>
      </c>
      <c r="H131" t="s">
        <v>44</v>
      </c>
      <c r="I131" t="s">
        <v>45</v>
      </c>
      <c r="J131">
        <v>3000000</v>
      </c>
      <c r="K131">
        <v>1500000</v>
      </c>
      <c r="L131" s="1">
        <v>43646</v>
      </c>
      <c r="M131" s="1">
        <v>45107</v>
      </c>
      <c r="N131" s="2">
        <f>HYPERLINK("https://www.greenbondtransparency.com/bond-info/?handle=846e9c246ab34723bcc280ee825e8fa8","WREL#1 Note E")</f>
      </c>
      <c r="O131" s="2">
        <f>HYPERLINK("https://www.greenbondtransparency.com/bond-info/?handle=857a2aaaa36240d4ac4b2f568bca4a42","WREL#1")</f>
      </c>
      <c r="P131" s="2" t="s">
        <v>24</v>
      </c>
    </row>
    <row r="132" spans="1:16" x14ac:dyDescent="0.25">
      <c r="A132" t="s">
        <v>16</v>
      </c>
      <c r="B132" t="s">
        <v>382</v>
      </c>
      <c r="C132" t="s">
        <v>383</v>
      </c>
      <c r="D132" t="s">
        <v>72</v>
      </c>
      <c r="E132" t="s">
        <v>73</v>
      </c>
      <c r="F132" t="s">
        <v>20</v>
      </c>
      <c r="G132" t="s">
        <v>74</v>
      </c>
      <c r="H132" t="s">
        <v>30</v>
      </c>
      <c r="I132" t="s">
        <v>75</v>
      </c>
      <c r="J132">
        <v>4835000000</v>
      </c>
      <c r="K132">
        <v>265</v>
      </c>
      <c r="L132" s="1">
        <v>45217</v>
      </c>
      <c r="M132" s="1">
        <v>46311</v>
      </c>
      <c r="N132" s="2">
        <f>HYPERLINK("https://www.greenbondtransparency.com/bond-info/?handle=84dd8bdea79945f3bb209c0d1a0d1d9c","MXCDBA0300I5")</f>
      </c>
      <c r="O132" s="2">
        <f>HYPERLINK("https://www.greenbondtransparency.com/bond-info/?handle=c22e982b478d43eb9de3be32cbb89496","PU")</f>
      </c>
      <c r="P132" s="2">
        <f>HYPERLINK("https://www.greenbondtransparency.com/download-document/?entity=Framework&amp;handle=41f78746078d444787f9a1f78b30153c","Bancomext Sustainability Bond Framework")</f>
      </c>
    </row>
    <row r="133" spans="1:16" x14ac:dyDescent="0.25">
      <c r="A133" t="s">
        <v>16</v>
      </c>
      <c r="B133" t="s">
        <v>384</v>
      </c>
      <c r="C133" t="s">
        <v>385</v>
      </c>
      <c r="E133" t="s">
        <v>34</v>
      </c>
      <c r="F133" t="s">
        <v>20</v>
      </c>
      <c r="G133" t="s">
        <v>118</v>
      </c>
      <c r="H133" t="s">
        <v>44</v>
      </c>
      <c r="I133" t="s">
        <v>49</v>
      </c>
      <c r="J133">
        <v>64000000</v>
      </c>
      <c r="K133">
        <v>11537768.16</v>
      </c>
      <c r="L133" s="1">
        <v>44518</v>
      </c>
      <c r="M133" s="1">
        <v>46343</v>
      </c>
      <c r="N133" s="2">
        <f>HYPERLINK("https://www.greenbondtransparency.com/bond-info/?handle=8646617898db47f5bd5c5b2049986b06","BROCTSCRA3A5")</f>
      </c>
      <c r="O133" s="2" t="s">
        <v>24</v>
      </c>
      <c r="P133" s="2">
        <f>HYPERLINK("https://www.greenbondtransparency.com/download-document/?entity=Framework&amp;handle=06916bad6f3d4631a2127d3f46ff766d","FS Green Bond Framework - July 2021")</f>
      </c>
    </row>
    <row r="134" spans="1:16" x14ac:dyDescent="0.25">
      <c r="A134" t="s">
        <v>16</v>
      </c>
      <c r="B134" t="s">
        <v>386</v>
      </c>
      <c r="C134" t="s">
        <v>387</v>
      </c>
      <c r="D134" t="s">
        <v>27</v>
      </c>
      <c r="E134" t="s">
        <v>64</v>
      </c>
      <c r="F134" t="s">
        <v>20</v>
      </c>
      <c r="G134" t="s">
        <v>363</v>
      </c>
      <c r="H134" t="s">
        <v>22</v>
      </c>
      <c r="I134" t="s">
        <v>23</v>
      </c>
      <c r="J134">
        <v>54000000</v>
      </c>
      <c r="K134">
        <v>54000000</v>
      </c>
      <c r="L134" s="1">
        <v>44272</v>
      </c>
      <c r="M134" s="1">
        <v>47455</v>
      </c>
      <c r="N134" s="2">
        <f>HYPERLINK("https://www.greenbondtransparency.com/bond-info/?handle=874808e162394384acb97cc13c29e805","XS2318617185")</f>
      </c>
      <c r="O134" s="2">
        <f>HYPERLINK("https://www.greenbondtransparency.com/bond-info/?handle=60f0ba75eb89444c9f0fe841a8ec78cf","BCI PROGRAM")</f>
      </c>
      <c r="P134" s="2">
        <f>HYPERLINK("https://www.greenbondtransparency.com/download-document/?entity=Framework&amp;handle=8dc563c540c1439a8c930ddbfada75ef","Bci Sustainable Financing Framework")</f>
      </c>
    </row>
    <row r="135" spans="1:16" x14ac:dyDescent="0.25">
      <c r="A135" t="s">
        <v>16</v>
      </c>
      <c r="B135" t="s">
        <v>388</v>
      </c>
      <c r="C135" t="s">
        <v>389</v>
      </c>
      <c r="E135" t="s">
        <v>19</v>
      </c>
      <c r="F135" t="s">
        <v>20</v>
      </c>
      <c r="G135" t="s">
        <v>21</v>
      </c>
      <c r="H135" t="s">
        <v>22</v>
      </c>
      <c r="I135" t="s">
        <v>23</v>
      </c>
      <c r="J135">
        <v>12000000</v>
      </c>
      <c r="K135">
        <v>12000000</v>
      </c>
      <c r="L135" s="1">
        <v>43732</v>
      </c>
      <c r="M135" s="1">
        <v>45565</v>
      </c>
      <c r="N135" s="2">
        <f>HYPERLINK("https://www.greenbondtransparency.com/bond-info/?handle=885f7ef8568f4ecc8fb398961cb01fd4","PAL3009913B0")</f>
      </c>
      <c r="O135" s="2">
        <f>HYPERLINK("https://www.greenbondtransparency.com/bond-info/?handle=c8db70a600e4496aa0bdff98338e72ee","CIFI_GB")</f>
      </c>
      <c r="P135" s="2" t="s">
        <v>24</v>
      </c>
    </row>
    <row r="136" spans="1:16" x14ac:dyDescent="0.25">
      <c r="A136" t="s">
        <v>16</v>
      </c>
      <c r="B136" t="s">
        <v>390</v>
      </c>
      <c r="C136" t="s">
        <v>391</v>
      </c>
      <c r="D136" t="s">
        <v>72</v>
      </c>
      <c r="E136" t="s">
        <v>59</v>
      </c>
      <c r="F136" t="s">
        <v>20</v>
      </c>
      <c r="G136" t="s">
        <v>392</v>
      </c>
      <c r="H136" t="s">
        <v>44</v>
      </c>
      <c r="I136" t="s">
        <v>393</v>
      </c>
      <c r="J136">
        <v>26576111</v>
      </c>
      <c r="K136">
        <v>20338983.03</v>
      </c>
      <c r="L136" s="1">
        <v>44251</v>
      </c>
      <c r="M136" s="1">
        <v>45528</v>
      </c>
      <c r="N136" s="2">
        <f>HYPERLINK("https://www.greenbondtransparency.com/bond-info/?handle=8924efd445c0450a816e678627f70b60","ARPLAZ560060")</f>
      </c>
      <c r="O136" s="2" t="s">
        <v>24</v>
      </c>
      <c r="P136" s="2" t="s">
        <v>24</v>
      </c>
    </row>
    <row r="137" spans="1:16" x14ac:dyDescent="0.25">
      <c r="A137" t="s">
        <v>1</v>
      </c>
      <c r="B137" t="s">
        <v>394</v>
      </c>
      <c r="C137" t="s">
        <v>395</v>
      </c>
      <c r="D137" t="s">
        <v>27</v>
      </c>
      <c r="E137" t="s">
        <v>34</v>
      </c>
      <c r="F137" t="s">
        <v>20</v>
      </c>
      <c r="G137" t="s">
        <v>396</v>
      </c>
      <c r="H137" t="s">
        <v>44</v>
      </c>
      <c r="I137" t="s">
        <v>49</v>
      </c>
      <c r="J137">
        <v>100000000</v>
      </c>
      <c r="K137">
        <v>19016830</v>
      </c>
      <c r="L137" s="1">
        <v>44407</v>
      </c>
      <c r="M137" s="1">
        <v>46951</v>
      </c>
      <c r="N137" s="2">
        <f>HYPERLINK("https://www.greenbondtransparency.com/bond-info/?handle=897477db801c4bf7972c48ef87a1f00e","BRGRBALBO021")</f>
      </c>
      <c r="O137" s="2" t="s">
        <v>24</v>
      </c>
      <c r="P137" s="2" t="s">
        <v>24</v>
      </c>
    </row>
    <row r="138" spans="1:16" x14ac:dyDescent="0.25">
      <c r="A138" t="s">
        <v>16</v>
      </c>
      <c r="B138" t="s">
        <v>397</v>
      </c>
      <c r="C138" t="s">
        <v>398</v>
      </c>
      <c r="E138" t="s">
        <v>34</v>
      </c>
      <c r="F138" t="s">
        <v>20</v>
      </c>
      <c r="G138" t="s">
        <v>104</v>
      </c>
      <c r="H138" t="s">
        <v>44</v>
      </c>
      <c r="I138" t="s">
        <v>49</v>
      </c>
      <c r="J138">
        <v>300000000</v>
      </c>
      <c r="K138">
        <v>67039106</v>
      </c>
      <c r="L138" s="1">
        <v>43888</v>
      </c>
      <c r="M138" s="1">
        <v>53008</v>
      </c>
      <c r="N138" s="2">
        <f>HYPERLINK("https://www.greenbondtransparency.com/bond-info/?handle=8b6c8d33bb7747b3b7811d6ebf1edd18","BRNITADBS003")</f>
      </c>
      <c r="O138" s="2" t="s">
        <v>24</v>
      </c>
      <c r="P138" s="2" t="s">
        <v>24</v>
      </c>
    </row>
    <row r="139" spans="1:16" x14ac:dyDescent="0.25">
      <c r="A139" t="s">
        <v>16</v>
      </c>
      <c r="B139" t="s">
        <v>399</v>
      </c>
      <c r="C139" t="s">
        <v>400</v>
      </c>
      <c r="E139" t="s">
        <v>34</v>
      </c>
      <c r="F139" t="s">
        <v>20</v>
      </c>
      <c r="G139" t="s">
        <v>401</v>
      </c>
      <c r="H139" t="s">
        <v>44</v>
      </c>
      <c r="I139" t="s">
        <v>49</v>
      </c>
      <c r="J139">
        <v>48000000</v>
      </c>
      <c r="K139">
        <v>14620773</v>
      </c>
      <c r="L139" s="1">
        <v>42901</v>
      </c>
      <c r="M139" s="1">
        <v>48014</v>
      </c>
      <c r="N139" s="2">
        <f>HYPERLINK("https://www.greenbondtransparency.com/bond-info/?handle=8c79d4f9366a4162a9629192e2530d2d","BRESVHDBS002")</f>
      </c>
      <c r="O139" s="2" t="s">
        <v>24</v>
      </c>
      <c r="P139" s="2" t="s">
        <v>24</v>
      </c>
    </row>
    <row r="140" spans="1:16" x14ac:dyDescent="0.25">
      <c r="A140" t="s">
        <v>16</v>
      </c>
      <c r="B140" t="s">
        <v>402</v>
      </c>
      <c r="C140" t="s">
        <v>403</v>
      </c>
      <c r="D140" t="s">
        <v>72</v>
      </c>
      <c r="E140" t="s">
        <v>78</v>
      </c>
      <c r="F140" t="s">
        <v>20</v>
      </c>
      <c r="G140" t="s">
        <v>242</v>
      </c>
      <c r="H140" t="s">
        <v>22</v>
      </c>
      <c r="I140" t="s">
        <v>23</v>
      </c>
      <c r="J140">
        <v>10000000</v>
      </c>
      <c r="K140">
        <v>10000000</v>
      </c>
      <c r="L140" s="1">
        <v>44223</v>
      </c>
      <c r="M140" s="1">
        <v>44953</v>
      </c>
      <c r="N140" s="2">
        <f>HYPERLINK("https://www.greenbondtransparency.com/bond-info/?handle=8d288b5fb4d744a292bdcdedbe89c663","PAL3014421A9")</f>
      </c>
      <c r="O140" s="2" t="s">
        <v>24</v>
      </c>
      <c r="P140" s="2">
        <f>HYPERLINK("https://www.greenbondtransparency.com/download-document/?entity=Framework&amp;handle=538769c825394307acb906d53afb2664","Marco de Referencia - Banco Promerica CR")</f>
      </c>
    </row>
    <row r="141" spans="1:16" x14ac:dyDescent="0.25">
      <c r="A141" t="s">
        <v>1</v>
      </c>
      <c r="B141" t="s">
        <v>404</v>
      </c>
      <c r="C141" t="s">
        <v>405</v>
      </c>
      <c r="D141" t="s">
        <v>27</v>
      </c>
      <c r="E141" t="s">
        <v>38</v>
      </c>
      <c r="F141" t="s">
        <v>20</v>
      </c>
      <c r="G141" t="s">
        <v>406</v>
      </c>
      <c r="H141" t="s">
        <v>44</v>
      </c>
      <c r="I141" t="s">
        <v>23</v>
      </c>
      <c r="J141">
        <v>219270538</v>
      </c>
      <c r="K141">
        <v>219270538</v>
      </c>
      <c r="L141" s="1">
        <v>43657</v>
      </c>
      <c r="M141" s="1">
        <v>49125</v>
      </c>
      <c r="N141" s="2">
        <f>HYPERLINK("https://www.greenbondtransparency.com/bond-info/?handle=8d5678c837d04ad1b519d55593035eaa","PR_PL_ERGONPERU")</f>
      </c>
      <c r="O141" s="2" t="s">
        <v>24</v>
      </c>
      <c r="P141" s="2" t="s">
        <v>24</v>
      </c>
    </row>
    <row r="142" spans="1:16" x14ac:dyDescent="0.25">
      <c r="A142" t="s">
        <v>16</v>
      </c>
      <c r="B142" t="s">
        <v>407</v>
      </c>
      <c r="C142" t="s">
        <v>408</v>
      </c>
      <c r="D142" t="s">
        <v>27</v>
      </c>
      <c r="E142" t="s">
        <v>34</v>
      </c>
      <c r="F142" t="s">
        <v>20</v>
      </c>
      <c r="G142" t="s">
        <v>48</v>
      </c>
      <c r="H142" t="s">
        <v>22</v>
      </c>
      <c r="I142" t="s">
        <v>23</v>
      </c>
      <c r="J142">
        <v>50000000</v>
      </c>
      <c r="K142">
        <v>50000000</v>
      </c>
      <c r="L142" s="1">
        <v>44128</v>
      </c>
      <c r="M142" s="1">
        <v>45589</v>
      </c>
      <c r="N142" s="2">
        <f>HYPERLINK("https://www.greenbondtransparency.com/bond-info/?handle=8e703a04c0ff4d2dbff110c1e5184a3c","XS2133606637")</f>
      </c>
      <c r="O142" s="2" t="s">
        <v>24</v>
      </c>
      <c r="P142" s="2" t="s">
        <v>24</v>
      </c>
    </row>
    <row r="143" spans="1:16" x14ac:dyDescent="0.25">
      <c r="A143" t="s">
        <v>16</v>
      </c>
      <c r="B143" t="s">
        <v>409</v>
      </c>
      <c r="C143" t="s">
        <v>410</v>
      </c>
      <c r="D143" t="s">
        <v>27</v>
      </c>
      <c r="E143" t="s">
        <v>34</v>
      </c>
      <c r="F143" t="s">
        <v>20</v>
      </c>
      <c r="G143" t="s">
        <v>149</v>
      </c>
      <c r="H143" t="s">
        <v>22</v>
      </c>
      <c r="I143" t="s">
        <v>49</v>
      </c>
      <c r="J143">
        <v>79920000</v>
      </c>
      <c r="K143">
        <v>19351090</v>
      </c>
      <c r="L143" s="1">
        <v>43700</v>
      </c>
      <c r="M143" s="1">
        <v>43700</v>
      </c>
      <c r="N143" s="2">
        <f>HYPERLINK("https://www.greenbondtransparency.com/bond-info/?handle=9262a652e89847ee9530b3ace7b6a330","CRA019004MY")</f>
      </c>
      <c r="O143" s="2" t="s">
        <v>24</v>
      </c>
      <c r="P143" s="2" t="s">
        <v>24</v>
      </c>
    </row>
    <row r="144" spans="1:16" x14ac:dyDescent="0.25">
      <c r="A144" t="s">
        <v>16</v>
      </c>
      <c r="B144" t="s">
        <v>411</v>
      </c>
      <c r="C144" t="s">
        <v>412</v>
      </c>
      <c r="E144" t="s">
        <v>34</v>
      </c>
      <c r="F144" t="s">
        <v>20</v>
      </c>
      <c r="G144" t="s">
        <v>356</v>
      </c>
      <c r="H144" t="s">
        <v>22</v>
      </c>
      <c r="I144" t="s">
        <v>49</v>
      </c>
      <c r="J144">
        <v>1500000</v>
      </c>
      <c r="K144">
        <v>255972</v>
      </c>
      <c r="L144" s="1">
        <v>43962</v>
      </c>
      <c r="M144" s="1">
        <v>46155</v>
      </c>
      <c r="N144" s="2">
        <f>HYPERLINK("https://www.greenbondtransparency.com/bond-info/?handle=939ba0f096214b298b1b949ef2ad6ad7","CRA0200018J")</f>
      </c>
      <c r="O144" s="2" t="s">
        <v>24</v>
      </c>
      <c r="P144" s="2" t="s">
        <v>24</v>
      </c>
    </row>
    <row r="145" spans="1:16" x14ac:dyDescent="0.25">
      <c r="A145" t="s">
        <v>16</v>
      </c>
      <c r="B145" t="s">
        <v>413</v>
      </c>
      <c r="C145" t="s">
        <v>414</v>
      </c>
      <c r="D145" t="s">
        <v>27</v>
      </c>
      <c r="E145" t="s">
        <v>34</v>
      </c>
      <c r="F145" t="s">
        <v>20</v>
      </c>
      <c r="G145" t="s">
        <v>138</v>
      </c>
      <c r="H145" t="s">
        <v>44</v>
      </c>
      <c r="I145" t="s">
        <v>49</v>
      </c>
      <c r="J145">
        <v>300410000</v>
      </c>
      <c r="K145">
        <v>58456898</v>
      </c>
      <c r="L145" s="1">
        <v>44666</v>
      </c>
      <c r="M145" s="1">
        <v>48319</v>
      </c>
      <c r="N145" s="2">
        <f>HYPERLINK("https://www.greenbondtransparency.com/bond-info/?handle=93ce256ddb7048a1bfbdb5f7a6662d28","BRTAEEDBS0Q4")</f>
      </c>
      <c r="O145" s="2">
        <f>HYPERLINK("https://www.greenbondtransparency.com/bond-info/?handle=eba65f8413f44823a8d3c8570919f967","12ªEmissãoTaesa")</f>
      </c>
      <c r="P145" s="2" t="s">
        <v>24</v>
      </c>
    </row>
    <row r="146" spans="1:16" x14ac:dyDescent="0.25">
      <c r="A146" t="s">
        <v>16</v>
      </c>
      <c r="B146" t="s">
        <v>415</v>
      </c>
      <c r="C146" t="s">
        <v>416</v>
      </c>
      <c r="D146" t="s">
        <v>27</v>
      </c>
      <c r="E146" t="s">
        <v>78</v>
      </c>
      <c r="F146" t="s">
        <v>20</v>
      </c>
      <c r="G146" t="s">
        <v>417</v>
      </c>
      <c r="H146" t="s">
        <v>22</v>
      </c>
      <c r="I146" t="s">
        <v>418</v>
      </c>
      <c r="J146">
        <v>50000000000</v>
      </c>
      <c r="K146">
        <v>80639959</v>
      </c>
      <c r="L146" s="1">
        <v>44344</v>
      </c>
      <c r="M146" s="1">
        <v>46168</v>
      </c>
      <c r="N146" s="2">
        <f>HYPERLINK("https://www.greenbondtransparency.com/bond-info/?handle=942df8edcc9a42129d5d4d45bafa80a0","CRBPDC0V7859")</f>
      </c>
      <c r="O146" s="2" t="s">
        <v>24</v>
      </c>
      <c r="P146" s="2">
        <f>HYPERLINK("https://www.greenbondtransparency.com/download-document/?entity=Framework&amp;handle=616bf483456a4f2584a515fd255ad176","Marco de referencia Bono Verde BPDC")</f>
      </c>
    </row>
    <row r="147" spans="1:16" x14ac:dyDescent="0.25">
      <c r="A147" t="s">
        <v>16</v>
      </c>
      <c r="B147" t="s">
        <v>419</v>
      </c>
      <c r="C147" t="s">
        <v>420</v>
      </c>
      <c r="D147" t="s">
        <v>27</v>
      </c>
      <c r="E147" t="s">
        <v>34</v>
      </c>
      <c r="F147" t="s">
        <v>20</v>
      </c>
      <c r="G147" t="s">
        <v>138</v>
      </c>
      <c r="H147" t="s">
        <v>44</v>
      </c>
      <c r="I147" t="s">
        <v>49</v>
      </c>
      <c r="J147">
        <v>210000000</v>
      </c>
      <c r="K147">
        <v>51284404</v>
      </c>
      <c r="L147" s="1">
        <v>43609</v>
      </c>
      <c r="M147" s="1">
        <v>52732</v>
      </c>
      <c r="N147" s="2">
        <f>HYPERLINK("https://www.greenbondtransparency.com/bond-info/?handle=9454206ae5ef4e8d85b80872d8b63a12","BRTAEEDBS0G5")</f>
      </c>
      <c r="O147" s="2" t="s">
        <v>24</v>
      </c>
      <c r="P147" s="2" t="s">
        <v>24</v>
      </c>
    </row>
    <row r="148" spans="1:16" x14ac:dyDescent="0.25">
      <c r="A148" t="s">
        <v>16</v>
      </c>
      <c r="B148" t="s">
        <v>421</v>
      </c>
      <c r="C148" t="s">
        <v>422</v>
      </c>
      <c r="D148" t="s">
        <v>72</v>
      </c>
      <c r="E148" t="s">
        <v>73</v>
      </c>
      <c r="F148" t="s">
        <v>20</v>
      </c>
      <c r="G148" t="s">
        <v>211</v>
      </c>
      <c r="H148" t="s">
        <v>30</v>
      </c>
      <c r="I148" t="s">
        <v>75</v>
      </c>
      <c r="J148">
        <v>1300000000</v>
      </c>
      <c r="K148">
        <v>62013433</v>
      </c>
      <c r="L148" s="1">
        <v>44522</v>
      </c>
      <c r="M148" s="1">
        <v>46342</v>
      </c>
      <c r="N148" s="2">
        <f>HYPERLINK("https://www.greenbondtransparency.com/bond-info/?handle=9530e379ee3d4b6792285d7e6f57ee10","MXCDNA0Q00B9")</f>
      </c>
      <c r="O148" s="2">
        <f>HYPERLINK("https://www.greenbondtransparency.com/bond-info/?handle=fde1fb8ae7d44947b015b7189e5ccd9a","NafinSustBond21")</f>
      </c>
      <c r="P148" s="2">
        <f>HYPERLINK("https://www.greenbondtransparency.com/download-document/?entity=Framework&amp;handle=cfa387c69d2e4d5494eca57e9ec0f224","NAFIN Sustainability Bond Framework")</f>
      </c>
    </row>
    <row r="149" spans="1:16" x14ac:dyDescent="0.25">
      <c r="A149" t="s">
        <v>16</v>
      </c>
      <c r="B149" t="s">
        <v>423</v>
      </c>
      <c r="C149" t="s">
        <v>424</v>
      </c>
      <c r="E149" t="s">
        <v>59</v>
      </c>
      <c r="F149" t="s">
        <v>20</v>
      </c>
      <c r="G149" t="s">
        <v>84</v>
      </c>
      <c r="H149" t="s">
        <v>44</v>
      </c>
      <c r="I149" t="s">
        <v>23</v>
      </c>
      <c r="J149">
        <v>30000000</v>
      </c>
      <c r="K149">
        <v>30000000</v>
      </c>
      <c r="L149" s="1">
        <v>44497</v>
      </c>
      <c r="M149" s="1">
        <v>45593</v>
      </c>
      <c r="N149" s="2">
        <f>HYPERLINK("https://www.greenbondtransparency.com/bond-info/?handle=9b121b328ec94eefabc6253b9a7bc1bd","ARLUZT560013")</f>
      </c>
      <c r="O149" s="2" t="s">
        <v>24</v>
      </c>
      <c r="P149" s="2" t="s">
        <v>24</v>
      </c>
    </row>
    <row r="150" spans="1:16" x14ac:dyDescent="0.25">
      <c r="A150" t="s">
        <v>16</v>
      </c>
      <c r="B150" t="s">
        <v>425</v>
      </c>
      <c r="C150" t="s">
        <v>426</v>
      </c>
      <c r="E150" t="s">
        <v>34</v>
      </c>
      <c r="F150" t="s">
        <v>20</v>
      </c>
      <c r="G150" t="s">
        <v>199</v>
      </c>
      <c r="H150" t="s">
        <v>44</v>
      </c>
      <c r="I150" t="s">
        <v>49</v>
      </c>
      <c r="J150">
        <v>14000000</v>
      </c>
      <c r="K150">
        <v>3733333</v>
      </c>
      <c r="L150" s="1">
        <v>43286</v>
      </c>
      <c r="M150" s="1">
        <v>46871</v>
      </c>
      <c r="N150" s="2">
        <f>HYPERLINK("https://www.greenbondtransparency.com/bond-info/?handle=9b5072c9c8a74de999ff58ac7a32f456","BRSUCUDBS001")</f>
      </c>
      <c r="O150" s="2" t="s">
        <v>24</v>
      </c>
      <c r="P150" s="2" t="s">
        <v>24</v>
      </c>
    </row>
    <row r="151" spans="1:16" x14ac:dyDescent="0.25">
      <c r="A151" t="s">
        <v>16</v>
      </c>
      <c r="B151" t="s">
        <v>427</v>
      </c>
      <c r="C151" t="s">
        <v>428</v>
      </c>
      <c r="E151" t="s">
        <v>34</v>
      </c>
      <c r="F151" t="s">
        <v>20</v>
      </c>
      <c r="G151" t="s">
        <v>429</v>
      </c>
      <c r="H151" t="s">
        <v>44</v>
      </c>
      <c r="I151" t="s">
        <v>49</v>
      </c>
      <c r="J151">
        <v>280000000</v>
      </c>
      <c r="K151">
        <v>65152643.33</v>
      </c>
      <c r="L151" s="1">
        <v>43876</v>
      </c>
      <c r="M151" s="1">
        <v>50298</v>
      </c>
      <c r="N151" s="2">
        <f>HYPERLINK("https://www.greenbondtransparency.com/bond-info/?handle=9bd98e9cc0fd42a69775ddbd0c63147a","BRERENDBS073")</f>
      </c>
      <c r="O151" s="2" t="s">
        <v>24</v>
      </c>
      <c r="P151" s="2" t="s">
        <v>24</v>
      </c>
    </row>
    <row r="152" spans="1:16" x14ac:dyDescent="0.25">
      <c r="A152" t="s">
        <v>16</v>
      </c>
      <c r="B152" t="s">
        <v>430</v>
      </c>
      <c r="C152" t="s">
        <v>431</v>
      </c>
      <c r="D152" t="s">
        <v>72</v>
      </c>
      <c r="E152" t="s">
        <v>73</v>
      </c>
      <c r="F152" t="s">
        <v>20</v>
      </c>
      <c r="G152" t="s">
        <v>74</v>
      </c>
      <c r="H152" t="s">
        <v>30</v>
      </c>
      <c r="I152" t="s">
        <v>75</v>
      </c>
      <c r="J152">
        <v>6000000000</v>
      </c>
      <c r="K152">
        <v>295195690</v>
      </c>
      <c r="L152" s="1">
        <v>44495</v>
      </c>
      <c r="M152" s="1">
        <v>48138</v>
      </c>
      <c r="N152" s="2">
        <f>HYPERLINK("https://www.greenbondtransparency.com/bond-info/?handle=9c8ab892f54b40c8817e29c75c9c5029","MXCDBA0300C8")</f>
      </c>
      <c r="O152" s="2">
        <f>HYPERLINK("https://www.greenbondtransparency.com/bond-info/?handle=1403dbb9be5b4892b8984de9f4461536","BNCMXT CEBUR21")</f>
      </c>
      <c r="P152" s="2">
        <f>HYPERLINK("https://www.greenbondtransparency.com/download-document/?entity=Framework&amp;handle=41f78746078d444787f9a1f78b30153c","Bancomext Sustainability Bond Framework")</f>
      </c>
    </row>
    <row r="153" spans="1:16" x14ac:dyDescent="0.25">
      <c r="A153" t="s">
        <v>16</v>
      </c>
      <c r="B153" t="s">
        <v>432</v>
      </c>
      <c r="C153" t="s">
        <v>433</v>
      </c>
      <c r="D153" t="s">
        <v>27</v>
      </c>
      <c r="E153" t="s">
        <v>34</v>
      </c>
      <c r="F153" t="s">
        <v>20</v>
      </c>
      <c r="G153" t="s">
        <v>163</v>
      </c>
      <c r="H153" t="s">
        <v>44</v>
      </c>
      <c r="I153" t="s">
        <v>49</v>
      </c>
      <c r="J153">
        <v>500000000</v>
      </c>
      <c r="K153">
        <v>95438060</v>
      </c>
      <c r="L153" s="1">
        <v>44193</v>
      </c>
      <c r="M153" s="1">
        <v>46932</v>
      </c>
      <c r="N153" s="2">
        <f>HYPERLINK("https://www.greenbondtransparency.com/bond-info/?handle=9d39abd34d6c4799835d76e97b6b75e1","BRGASFCTF006")</f>
      </c>
      <c r="O153" s="2" t="s">
        <v>24</v>
      </c>
      <c r="P153" s="2" t="s">
        <v>24</v>
      </c>
    </row>
    <row r="154" spans="1:16" x14ac:dyDescent="0.25">
      <c r="A154" t="s">
        <v>16</v>
      </c>
      <c r="B154" t="s">
        <v>434</v>
      </c>
      <c r="C154" t="s">
        <v>435</v>
      </c>
      <c r="D154" t="s">
        <v>72</v>
      </c>
      <c r="E154" t="s">
        <v>73</v>
      </c>
      <c r="F154" t="s">
        <v>20</v>
      </c>
      <c r="G154" t="s">
        <v>74</v>
      </c>
      <c r="H154" t="s">
        <v>30</v>
      </c>
      <c r="I154" t="s">
        <v>75</v>
      </c>
      <c r="J154">
        <v>6000000000</v>
      </c>
      <c r="K154">
        <v>333333333</v>
      </c>
      <c r="L154" s="1">
        <v>44974</v>
      </c>
      <c r="M154" s="1">
        <v>47522</v>
      </c>
      <c r="N154" s="2">
        <f>HYPERLINK("https://www.greenbondtransparency.com/bond-info/?handle=9d3a8736bb3c4d16b346440e01077353","MXCDBA0300H7")</f>
      </c>
      <c r="O154" s="2">
        <f>HYPERLINK("https://www.greenbondtransparency.com/bond-info/?handle=c9818a5477c24c92b64c779cc3249a8f","MXCDBA")</f>
      </c>
      <c r="P154" s="2">
        <f>HYPERLINK("https://www.greenbondtransparency.com/download-document/?entity=Framework&amp;handle=41f78746078d444787f9a1f78b30153c","Bancomext Sustainability Bond Framework")</f>
      </c>
    </row>
    <row r="155" spans="1:16" x14ac:dyDescent="0.25">
      <c r="A155" t="s">
        <v>16</v>
      </c>
      <c r="B155" t="s">
        <v>436</v>
      </c>
      <c r="C155" t="s">
        <v>437</v>
      </c>
      <c r="D155" t="s">
        <v>27</v>
      </c>
      <c r="E155" t="s">
        <v>59</v>
      </c>
      <c r="F155" t="s">
        <v>20</v>
      </c>
      <c r="G155" t="s">
        <v>438</v>
      </c>
      <c r="H155" t="s">
        <v>44</v>
      </c>
      <c r="I155" t="s">
        <v>23</v>
      </c>
      <c r="J155">
        <v>20000000</v>
      </c>
      <c r="K155">
        <v>20000000</v>
      </c>
      <c r="L155" s="1">
        <v>44741</v>
      </c>
      <c r="M155" s="1">
        <v>46020</v>
      </c>
      <c r="N155" s="2">
        <f>HYPERLINK("https://www.greenbondtransparency.com/bond-info/?handle=9e0c3b8d34694ed499992594a3a20a12","ARENEY560019")</f>
      </c>
      <c r="O155" s="2" t="s">
        <v>24</v>
      </c>
      <c r="P155" s="2" t="s">
        <v>24</v>
      </c>
    </row>
    <row r="156" spans="1:16" x14ac:dyDescent="0.25">
      <c r="A156" t="s">
        <v>16</v>
      </c>
      <c r="B156" t="s">
        <v>439</v>
      </c>
      <c r="C156" t="s">
        <v>440</v>
      </c>
      <c r="D156" t="s">
        <v>27</v>
      </c>
      <c r="E156" t="s">
        <v>64</v>
      </c>
      <c r="F156" t="s">
        <v>20</v>
      </c>
      <c r="G156" t="s">
        <v>441</v>
      </c>
      <c r="H156" t="s">
        <v>44</v>
      </c>
      <c r="I156" t="s">
        <v>23</v>
      </c>
      <c r="J156">
        <v>500000000</v>
      </c>
      <c r="K156">
        <v>500000000</v>
      </c>
      <c r="L156" s="1">
        <v>42829</v>
      </c>
      <c r="M156" s="1">
        <v>46481</v>
      </c>
      <c r="N156" s="2">
        <f>HYPERLINK("https://www.greenbondtransparency.com/bond-info/?handle=9e3d5a4bf8ef4c9bb3306040e0cd6790","USP58072AL66")</f>
      </c>
      <c r="O156" s="2" t="s">
        <v>24</v>
      </c>
      <c r="P156" s="2" t="s">
        <v>24</v>
      </c>
    </row>
    <row r="157" spans="1:16" x14ac:dyDescent="0.25">
      <c r="A157" t="s">
        <v>1</v>
      </c>
      <c r="B157" t="s">
        <v>442</v>
      </c>
      <c r="C157" t="s">
        <v>443</v>
      </c>
      <c r="D157" t="s">
        <v>27</v>
      </c>
      <c r="E157" t="s">
        <v>129</v>
      </c>
      <c r="F157" t="s">
        <v>20</v>
      </c>
      <c r="G157" t="s">
        <v>444</v>
      </c>
      <c r="H157" t="s">
        <v>22</v>
      </c>
      <c r="I157" t="s">
        <v>131</v>
      </c>
      <c r="J157">
        <v>433000000000</v>
      </c>
      <c r="K157">
        <v>150000000</v>
      </c>
      <c r="L157" s="1">
        <v>42850</v>
      </c>
      <c r="M157" s="1">
        <v>46502</v>
      </c>
      <c r="N157" s="2">
        <f>HYPERLINK("https://www.greenbondtransparency.com/bond-info/?handle=9fc875791e3143a1bb3f864a304e8185","PR_PL_DAVIVIEND")</f>
      </c>
      <c r="O157" s="2" t="s">
        <v>24</v>
      </c>
      <c r="P157" s="2" t="s">
        <v>24</v>
      </c>
    </row>
    <row r="158" spans="1:16" x14ac:dyDescent="0.25">
      <c r="A158" t="s">
        <v>16</v>
      </c>
      <c r="B158" t="s">
        <v>445</v>
      </c>
      <c r="C158" t="s">
        <v>446</v>
      </c>
      <c r="E158" t="s">
        <v>64</v>
      </c>
      <c r="F158" t="s">
        <v>20</v>
      </c>
      <c r="G158" t="s">
        <v>65</v>
      </c>
      <c r="H158" t="s">
        <v>66</v>
      </c>
      <c r="I158" t="s">
        <v>23</v>
      </c>
      <c r="J158">
        <v>2318357000</v>
      </c>
      <c r="K158">
        <v>2318357000</v>
      </c>
      <c r="L158" s="1">
        <v>43633</v>
      </c>
      <c r="M158" s="1">
        <v>54813</v>
      </c>
      <c r="N158" s="2">
        <f>HYPERLINK("https://www.greenbondtransparency.com/bond-info/?handle=a0aa44bf434b49beaeb87649efc4f8f9","US168863DL94")</f>
      </c>
      <c r="O158" s="2">
        <f>HYPERLINK("https://www.greenbondtransparency.com/bond-info/?handle=fd47a3cbf44c4c7bb9c69c5ad3fcc8e0","CBI_Chile")</f>
      </c>
      <c r="P158" s="2">
        <f>HYPERLINK("https://www.greenbondtransparency.com/download-document/?entity=Framework&amp;handle=b25746bc73674469a979cd1218fc9355","Chile's Sustainable Bond Framework")</f>
      </c>
    </row>
    <row r="159" spans="1:16" x14ac:dyDescent="0.25">
      <c r="A159" t="s">
        <v>16</v>
      </c>
      <c r="B159" t="s">
        <v>447</v>
      </c>
      <c r="C159" t="s">
        <v>448</v>
      </c>
      <c r="D159" t="s">
        <v>27</v>
      </c>
      <c r="E159" t="s">
        <v>34</v>
      </c>
      <c r="F159" t="s">
        <v>20</v>
      </c>
      <c r="G159" t="s">
        <v>163</v>
      </c>
      <c r="H159" t="s">
        <v>44</v>
      </c>
      <c r="I159" t="s">
        <v>49</v>
      </c>
      <c r="J159">
        <v>150000000</v>
      </c>
      <c r="K159">
        <v>28301886</v>
      </c>
      <c r="L159" s="1">
        <v>44426</v>
      </c>
      <c r="M159" s="1">
        <v>47348</v>
      </c>
      <c r="N159" s="2">
        <f>HYPERLINK("https://www.greenbondtransparency.com/bond-info/?handle=a1259d9f540346709fa7ff9738fe0efd","BRSFCLDBS001")</f>
      </c>
      <c r="O159" s="2" t="s">
        <v>24</v>
      </c>
      <c r="P159" s="2" t="s">
        <v>24</v>
      </c>
    </row>
    <row r="160" spans="1:16" x14ac:dyDescent="0.25">
      <c r="A160" t="s">
        <v>279</v>
      </c>
      <c r="B160" t="s">
        <v>449</v>
      </c>
      <c r="C160" t="s">
        <v>450</v>
      </c>
      <c r="D160" t="s">
        <v>27</v>
      </c>
      <c r="E160" t="s">
        <v>59</v>
      </c>
      <c r="F160" t="s">
        <v>20</v>
      </c>
      <c r="G160" t="s">
        <v>272</v>
      </c>
      <c r="H160" t="s">
        <v>44</v>
      </c>
      <c r="I160" t="s">
        <v>23</v>
      </c>
      <c r="J160">
        <v>38184061</v>
      </c>
      <c r="K160">
        <v>38184061</v>
      </c>
      <c r="L160" s="1">
        <v>44553</v>
      </c>
      <c r="M160" s="1">
        <v>45649</v>
      </c>
      <c r="N160" s="2">
        <f>HYPERLINK("https://www.greenbondtransparency.com/bond-info/?handle=a140093146e2423aae9bab50d3386544","BBG0149HJGY0")</f>
      </c>
      <c r="O160" s="2" t="s">
        <v>24</v>
      </c>
      <c r="P160" s="2">
        <f>HYPERLINK("https://www.greenbondtransparency.com/download-document/?entity=Framework&amp;handle=0861b552d06e4b9799ebc7a3b1aa7e2a","Genneia Green Bond Framework")</f>
      </c>
    </row>
    <row r="161" spans="1:16" x14ac:dyDescent="0.25">
      <c r="A161" t="s">
        <v>16</v>
      </c>
      <c r="B161" t="s">
        <v>451</v>
      </c>
      <c r="C161" t="s">
        <v>452</v>
      </c>
      <c r="D161" t="s">
        <v>72</v>
      </c>
      <c r="E161" t="s">
        <v>64</v>
      </c>
      <c r="F161" t="s">
        <v>20</v>
      </c>
      <c r="G161" t="s">
        <v>65</v>
      </c>
      <c r="H161" t="s">
        <v>66</v>
      </c>
      <c r="I161" t="s">
        <v>23</v>
      </c>
      <c r="J161">
        <v>1500000000</v>
      </c>
      <c r="K161">
        <v>1500000000</v>
      </c>
      <c r="L161" s="1">
        <v>44592</v>
      </c>
      <c r="M161" s="1">
        <v>48975</v>
      </c>
      <c r="N161" s="2">
        <f>HYPERLINK("https://www.greenbondtransparency.com/bond-info/?handle=a23a413a540343deb7a6f9e315c32a3c","US168863DV76")</f>
      </c>
      <c r="O161" s="2">
        <f>HYPERLINK("https://www.greenbondtransparency.com/bond-info/?handle=fd47a3cbf44c4c7bb9c69c5ad3fcc8e0","CBI_Chile")</f>
      </c>
      <c r="P161" s="2">
        <f>HYPERLINK("https://www.greenbondtransparency.com/download-document/?entity=Framework&amp;handle=b25746bc73674469a979cd1218fc9355","Chile's Sustainable Bond Framework")</f>
      </c>
    </row>
    <row r="162" spans="1:16" x14ac:dyDescent="0.25">
      <c r="A162" t="s">
        <v>16</v>
      </c>
      <c r="B162" t="s">
        <v>453</v>
      </c>
      <c r="C162" t="s">
        <v>454</v>
      </c>
      <c r="D162" t="s">
        <v>27</v>
      </c>
      <c r="E162" t="s">
        <v>64</v>
      </c>
      <c r="F162" t="s">
        <v>20</v>
      </c>
      <c r="G162" t="s">
        <v>363</v>
      </c>
      <c r="H162" t="s">
        <v>22</v>
      </c>
      <c r="I162" t="s">
        <v>94</v>
      </c>
      <c r="J162">
        <v>200000000</v>
      </c>
      <c r="K162">
        <v>218000000</v>
      </c>
      <c r="L162" s="1">
        <v>44587</v>
      </c>
      <c r="M162" s="1">
        <v>46503</v>
      </c>
      <c r="N162" s="2">
        <f>HYPERLINK("https://www.greenbondtransparency.com/bond-info/?handle=a30df90865b844a591bb6fbd89b25a31","CH1142512339")</f>
      </c>
      <c r="O162" s="2">
        <f>HYPERLINK("https://www.greenbondtransparency.com/bond-info/?handle=60f0ba75eb89444c9f0fe841a8ec78cf","BCI PROGRAM")</f>
      </c>
      <c r="P162" s="2">
        <f>HYPERLINK("https://www.greenbondtransparency.com/download-document/?entity=Framework&amp;handle=8dc563c540c1439a8c930ddbfada75ef","Bci Sustainable Financing Framework")</f>
      </c>
    </row>
    <row r="163" spans="1:16" x14ac:dyDescent="0.25">
      <c r="A163" t="s">
        <v>16</v>
      </c>
      <c r="B163" t="s">
        <v>455</v>
      </c>
      <c r="C163" t="s">
        <v>456</v>
      </c>
      <c r="E163" t="s">
        <v>34</v>
      </c>
      <c r="F163" t="s">
        <v>20</v>
      </c>
      <c r="G163" t="s">
        <v>121</v>
      </c>
      <c r="H163" t="s">
        <v>44</v>
      </c>
      <c r="I163" t="s">
        <v>49</v>
      </c>
      <c r="J163">
        <v>127780000</v>
      </c>
      <c r="K163">
        <v>32656920.88</v>
      </c>
      <c r="L163" s="1">
        <v>43327</v>
      </c>
      <c r="M163" s="1">
        <v>48684</v>
      </c>
      <c r="N163" s="2">
        <f>HYPERLINK("https://www.greenbondtransparency.com/bond-info/?handle=a31693d3e7bf4b0490bc87250076b904","BRCGEPDBS000")</f>
      </c>
      <c r="O163" s="2" t="s">
        <v>24</v>
      </c>
      <c r="P163" s="2" t="s">
        <v>24</v>
      </c>
    </row>
    <row r="164" spans="1:16" x14ac:dyDescent="0.25">
      <c r="A164" t="s">
        <v>16</v>
      </c>
      <c r="B164" t="s">
        <v>457</v>
      </c>
      <c r="C164" t="s">
        <v>458</v>
      </c>
      <c r="D164" t="s">
        <v>72</v>
      </c>
      <c r="E164" t="s">
        <v>73</v>
      </c>
      <c r="F164" t="s">
        <v>20</v>
      </c>
      <c r="G164" t="s">
        <v>74</v>
      </c>
      <c r="H164" t="s">
        <v>30</v>
      </c>
      <c r="I164" t="s">
        <v>75</v>
      </c>
      <c r="J164">
        <v>4100000000</v>
      </c>
      <c r="K164">
        <v>202689199.64</v>
      </c>
      <c r="L164" s="1">
        <v>44643</v>
      </c>
      <c r="M164" s="1">
        <v>46469</v>
      </c>
      <c r="N164" s="2">
        <f>HYPERLINK("https://www.greenbondtransparency.com/bond-info/?handle=a4421d17dd0646b391003e3bb6642131","MXCDBA0300D6")</f>
      </c>
      <c r="O164" s="2">
        <f>HYPERLINK("https://www.greenbondtransparency.com/bond-info/?handle=a203bf32e36b489bacf6ec7972d80d21","BANCOMEXT CEBUR")</f>
      </c>
      <c r="P164" s="2">
        <f>HYPERLINK("https://www.greenbondtransparency.com/download-document/?entity=Framework&amp;handle=41f78746078d444787f9a1f78b30153c","Bancomext Sustainability Bond Framework")</f>
      </c>
    </row>
    <row r="165" spans="1:16" x14ac:dyDescent="0.25">
      <c r="A165" t="s">
        <v>16</v>
      </c>
      <c r="B165" t="s">
        <v>459</v>
      </c>
      <c r="C165" t="s">
        <v>460</v>
      </c>
      <c r="D165" t="s">
        <v>27</v>
      </c>
      <c r="E165" t="s">
        <v>34</v>
      </c>
      <c r="F165" t="s">
        <v>20</v>
      </c>
      <c r="G165" t="s">
        <v>138</v>
      </c>
      <c r="H165" t="s">
        <v>44</v>
      </c>
      <c r="I165" t="s">
        <v>49</v>
      </c>
      <c r="J165">
        <v>508960000</v>
      </c>
      <c r="K165">
        <v>118751087</v>
      </c>
      <c r="L165" s="1">
        <v>43763</v>
      </c>
      <c r="M165" s="1">
        <v>52855</v>
      </c>
      <c r="N165" s="2">
        <f>HYPERLINK("https://www.greenbondtransparency.com/bond-info/?handle=a51f0a51fdd241f0b87f87edf3924a15","BRTAEEDBS0H3")</f>
      </c>
      <c r="O165" s="2" t="s">
        <v>24</v>
      </c>
      <c r="P165" s="2" t="s">
        <v>24</v>
      </c>
    </row>
    <row r="166" spans="1:16" x14ac:dyDescent="0.25">
      <c r="A166" t="s">
        <v>16</v>
      </c>
      <c r="B166" t="s">
        <v>461</v>
      </c>
      <c r="C166" t="s">
        <v>462</v>
      </c>
      <c r="E166" t="s">
        <v>64</v>
      </c>
      <c r="F166" t="s">
        <v>20</v>
      </c>
      <c r="G166" t="s">
        <v>65</v>
      </c>
      <c r="H166" t="s">
        <v>66</v>
      </c>
      <c r="I166" t="s">
        <v>235</v>
      </c>
      <c r="J166">
        <v>1954685000</v>
      </c>
      <c r="K166">
        <v>2221232860</v>
      </c>
      <c r="L166" s="1">
        <v>43641</v>
      </c>
      <c r="M166" s="1">
        <v>48031</v>
      </c>
      <c r="N166" s="2">
        <f>HYPERLINK("https://www.greenbondtransparency.com/bond-info/?handle=a561c543716445c4b7d17b219e4eaf09","XS1843433639")</f>
      </c>
      <c r="O166" s="2">
        <f>HYPERLINK("https://www.greenbondtransparency.com/bond-info/?handle=fd47a3cbf44c4c7bb9c69c5ad3fcc8e0","CBI_Chile")</f>
      </c>
      <c r="P166" s="2">
        <f>HYPERLINK("https://www.greenbondtransparency.com/download-document/?entity=Framework&amp;handle=b25746bc73674469a979cd1218fc9355","Chile's Sustainable Bond Framework")</f>
      </c>
    </row>
    <row r="167" spans="1:16" x14ac:dyDescent="0.25">
      <c r="A167" t="s">
        <v>16</v>
      </c>
      <c r="B167" t="s">
        <v>463</v>
      </c>
      <c r="C167" t="s">
        <v>464</v>
      </c>
      <c r="D167" t="s">
        <v>27</v>
      </c>
      <c r="E167" t="s">
        <v>73</v>
      </c>
      <c r="F167" t="s">
        <v>20</v>
      </c>
      <c r="G167" t="s">
        <v>204</v>
      </c>
      <c r="H167" t="s">
        <v>30</v>
      </c>
      <c r="I167" t="s">
        <v>75</v>
      </c>
      <c r="J167">
        <v>3000000000</v>
      </c>
      <c r="K167">
        <v>130548303</v>
      </c>
      <c r="L167" s="1">
        <v>44008</v>
      </c>
      <c r="M167" s="1">
        <v>45100</v>
      </c>
      <c r="N167" s="2">
        <f>HYPERLINK("https://www.greenbondtransparency.com/bond-info/?handle=a70a185c981f45a483e6d1f133ccf7d2","MX95FE0401P1")</f>
      </c>
      <c r="O167" s="2" t="s">
        <v>24</v>
      </c>
      <c r="P167" s="2">
        <f>HYPERLINK("https://www.greenbondtransparency.com/download-document/?entity=Framework&amp;handle=a15f538c621d460dac7d16f40b18d701","FEFA 20V Green Bond Framework")</f>
      </c>
    </row>
    <row r="168" spans="1:16" x14ac:dyDescent="0.25">
      <c r="A168" t="s">
        <v>16</v>
      </c>
      <c r="B168" t="s">
        <v>465</v>
      </c>
      <c r="C168" t="s">
        <v>466</v>
      </c>
      <c r="D168" t="s">
        <v>72</v>
      </c>
      <c r="E168" t="s">
        <v>34</v>
      </c>
      <c r="F168" t="s">
        <v>20</v>
      </c>
      <c r="G168" t="s">
        <v>467</v>
      </c>
      <c r="H168" t="s">
        <v>44</v>
      </c>
      <c r="I168" t="s">
        <v>23</v>
      </c>
      <c r="J168">
        <v>750000000</v>
      </c>
      <c r="K168">
        <v>750000000</v>
      </c>
      <c r="L168" s="1">
        <v>44224</v>
      </c>
      <c r="M168" s="1">
        <v>46780</v>
      </c>
      <c r="N168" s="2">
        <f>HYPERLINK("https://www.greenbondtransparency.com/bond-info/?handle=a8392d86e81349c6adf4a4cc3384fc61","US02265WAA36")</f>
      </c>
      <c r="O168" s="2" t="s">
        <v>24</v>
      </c>
      <c r="P168" s="2">
        <f>HYPERLINK("https://www.greenbondtransparency.com/download-document/?entity=Framework&amp;handle=3dacbafde8ad4f978ac7ddb77457ec42","Sustainability Bond Framework")</f>
      </c>
    </row>
    <row r="169" spans="1:16" x14ac:dyDescent="0.25">
      <c r="A169" t="s">
        <v>16</v>
      </c>
      <c r="B169" t="s">
        <v>468</v>
      </c>
      <c r="C169" t="s">
        <v>469</v>
      </c>
      <c r="E169" t="s">
        <v>34</v>
      </c>
      <c r="F169" t="s">
        <v>20</v>
      </c>
      <c r="G169" t="s">
        <v>470</v>
      </c>
      <c r="H169" t="s">
        <v>44</v>
      </c>
      <c r="I169" t="s">
        <v>49</v>
      </c>
      <c r="J169">
        <v>220000000</v>
      </c>
      <c r="K169">
        <v>41926324</v>
      </c>
      <c r="L169" s="1">
        <v>44423</v>
      </c>
      <c r="M169" s="1">
        <v>49536</v>
      </c>
      <c r="N169" s="2">
        <f>HYPERLINK("https://www.greenbondtransparency.com/bond-info/?handle=a86346b545214fce9c82bd25f5b032ed","BRALGEDBS037")</f>
      </c>
      <c r="O169" s="2" t="s">
        <v>24</v>
      </c>
      <c r="P169" s="2" t="s">
        <v>24</v>
      </c>
    </row>
    <row r="170" spans="1:16" x14ac:dyDescent="0.25">
      <c r="A170" t="s">
        <v>16</v>
      </c>
      <c r="B170" t="s">
        <v>471</v>
      </c>
      <c r="C170" t="s">
        <v>472</v>
      </c>
      <c r="D170" t="s">
        <v>27</v>
      </c>
      <c r="E170" t="s">
        <v>34</v>
      </c>
      <c r="F170" t="s">
        <v>20</v>
      </c>
      <c r="G170" t="s">
        <v>473</v>
      </c>
      <c r="H170" t="s">
        <v>44</v>
      </c>
      <c r="I170" t="s">
        <v>49</v>
      </c>
      <c r="J170">
        <v>40000000</v>
      </c>
      <c r="K170">
        <v>7086544</v>
      </c>
      <c r="L170" s="1">
        <v>44298</v>
      </c>
      <c r="M170" s="1">
        <v>45986</v>
      </c>
      <c r="N170" s="2">
        <f>HYPERLINK("https://www.greenbondtransparency.com/bond-info/?handle=a9aa0a935d744333b5a6d355a4e69b50","BRDNBGDBS017")</f>
      </c>
      <c r="O170" s="2">
        <f>HYPERLINK("https://www.greenbondtransparency.com/bond-info/?handle=bd0f32df9b284f019686cfd86211d218","DIANABIO")</f>
      </c>
      <c r="P170" s="2" t="s">
        <v>24</v>
      </c>
    </row>
    <row r="171" spans="1:16" x14ac:dyDescent="0.25">
      <c r="A171" t="s">
        <v>1</v>
      </c>
      <c r="B171" t="s">
        <v>474</v>
      </c>
      <c r="C171" t="s">
        <v>475</v>
      </c>
      <c r="E171" t="s">
        <v>73</v>
      </c>
      <c r="F171" t="s">
        <v>20</v>
      </c>
      <c r="G171" t="s">
        <v>476</v>
      </c>
      <c r="H171" t="s">
        <v>44</v>
      </c>
      <c r="I171" t="s">
        <v>23</v>
      </c>
      <c r="J171">
        <v>304150000</v>
      </c>
      <c r="K171">
        <v>304150000</v>
      </c>
      <c r="L171" s="1">
        <v>43241</v>
      </c>
      <c r="M171" s="1">
        <v>52737</v>
      </c>
      <c r="N171" s="2">
        <f>HYPERLINK("https://www.greenbondtransparency.com/bond-info/?handle=abd0c7b98f1b493c9940586652a55745","PR_PL_MLP")</f>
      </c>
      <c r="O171" s="2" t="s">
        <v>24</v>
      </c>
      <c r="P171" s="2" t="s">
        <v>24</v>
      </c>
    </row>
    <row r="172" spans="1:16" x14ac:dyDescent="0.25">
      <c r="A172" t="s">
        <v>16</v>
      </c>
      <c r="B172" t="s">
        <v>477</v>
      </c>
      <c r="C172" t="s">
        <v>478</v>
      </c>
      <c r="E172" t="s">
        <v>53</v>
      </c>
      <c r="F172" t="s">
        <v>54</v>
      </c>
      <c r="G172" t="s">
        <v>55</v>
      </c>
      <c r="H172" t="s">
        <v>30</v>
      </c>
      <c r="I172" t="s">
        <v>23</v>
      </c>
      <c r="J172">
        <v>375000000</v>
      </c>
      <c r="K172">
        <v>375000000</v>
      </c>
      <c r="L172" s="1">
        <v>43769</v>
      </c>
      <c r="M172" s="1">
        <v>45611</v>
      </c>
      <c r="N172" s="2">
        <f>HYPERLINK("https://www.greenbondtransparency.com/bond-info/?handle=abe9dd05116c4c77b3bb4fae4ba7fa01","XS2045838039")</f>
      </c>
      <c r="O172" s="2" t="s">
        <v>24</v>
      </c>
      <c r="P172" s="2">
        <f>HYPERLINK("https://www.greenbondtransparency.com/download-document/?entity=Framework&amp;handle=54743cb2f07c4d9f923a5c04c2547bb4","CABEI´s Green Bond Framework")</f>
      </c>
    </row>
    <row r="173" spans="1:16" x14ac:dyDescent="0.25">
      <c r="A173" t="s">
        <v>16</v>
      </c>
      <c r="B173" t="s">
        <v>479</v>
      </c>
      <c r="C173" t="s">
        <v>480</v>
      </c>
      <c r="D173" t="s">
        <v>27</v>
      </c>
      <c r="E173" t="s">
        <v>64</v>
      </c>
      <c r="F173" t="s">
        <v>20</v>
      </c>
      <c r="G173" t="s">
        <v>481</v>
      </c>
      <c r="H173" t="s">
        <v>44</v>
      </c>
      <c r="I173" t="s">
        <v>23</v>
      </c>
      <c r="J173">
        <v>1200000000</v>
      </c>
      <c r="K173">
        <v>1200000000</v>
      </c>
      <c r="L173" s="1">
        <v>44403</v>
      </c>
      <c r="M173" s="1">
        <v>57161</v>
      </c>
      <c r="N173" s="2">
        <f>HYPERLINK("https://www.greenbondtransparency.com/bond-info/?handle=ac18a46cd99149a4aad8929bb8729af1","USP5R70LAA96")</f>
      </c>
      <c r="O173" s="2" t="s">
        <v>24</v>
      </c>
      <c r="P173" s="2">
        <f>HYPERLINK("https://www.greenbondtransparency.com/download-document/?entity=Framework&amp;handle=23874d9911cb4bc4b0376a3d29a0a700","Green Finance Framework Interchile")</f>
      </c>
    </row>
    <row r="174" spans="1:16" x14ac:dyDescent="0.25">
      <c r="A174" t="s">
        <v>1</v>
      </c>
      <c r="B174" t="s">
        <v>482</v>
      </c>
      <c r="C174" t="s">
        <v>483</v>
      </c>
      <c r="E174" t="s">
        <v>42</v>
      </c>
      <c r="F174" t="s">
        <v>20</v>
      </c>
      <c r="G174" t="s">
        <v>43</v>
      </c>
      <c r="H174" t="s">
        <v>44</v>
      </c>
      <c r="I174" t="s">
        <v>45</v>
      </c>
      <c r="J174">
        <v>4000000</v>
      </c>
      <c r="K174">
        <v>2000000</v>
      </c>
      <c r="L174" s="1">
        <v>44012</v>
      </c>
      <c r="M174" s="1">
        <v>45473</v>
      </c>
      <c r="N174" s="2">
        <f>HYPERLINK("https://www.greenbondtransparency.com/bond-info/?handle=ac1e3c0e77e8451281967844be46aafd","WREL#1_B")</f>
      </c>
      <c r="O174" s="2">
        <f>HYPERLINK("https://www.greenbondtransparency.com/bond-info/?handle=857a2aaaa36240d4ac4b2f568bca4a42","WREL#1")</f>
      </c>
      <c r="P174" s="2" t="s">
        <v>24</v>
      </c>
    </row>
    <row r="175" spans="1:16" x14ac:dyDescent="0.25">
      <c r="A175" t="s">
        <v>16</v>
      </c>
      <c r="B175" t="s">
        <v>484</v>
      </c>
      <c r="C175" t="s">
        <v>485</v>
      </c>
      <c r="D175" t="s">
        <v>72</v>
      </c>
      <c r="E175" t="s">
        <v>34</v>
      </c>
      <c r="F175" t="s">
        <v>20</v>
      </c>
      <c r="G175" t="s">
        <v>486</v>
      </c>
      <c r="H175" t="s">
        <v>22</v>
      </c>
      <c r="I175" t="s">
        <v>23</v>
      </c>
      <c r="J175">
        <v>500000000</v>
      </c>
      <c r="K175">
        <v>500000000</v>
      </c>
      <c r="L175" s="1">
        <v>44217</v>
      </c>
      <c r="M175" s="1">
        <v>47953</v>
      </c>
      <c r="N175" s="2">
        <f>HYPERLINK("https://www.greenbondtransparency.com/bond-info/?handle=af0eaea35ff14871ad1562a44f51eff6","US46556M2A90")</f>
      </c>
      <c r="O175" s="2" t="s">
        <v>24</v>
      </c>
      <c r="P175" s="2" t="s">
        <v>24</v>
      </c>
    </row>
    <row r="176" spans="1:16" x14ac:dyDescent="0.25">
      <c r="A176" t="s">
        <v>16</v>
      </c>
      <c r="B176" t="s">
        <v>487</v>
      </c>
      <c r="C176" t="s">
        <v>488</v>
      </c>
      <c r="E176" t="s">
        <v>64</v>
      </c>
      <c r="F176" t="s">
        <v>20</v>
      </c>
      <c r="G176" t="s">
        <v>489</v>
      </c>
      <c r="H176" t="s">
        <v>44</v>
      </c>
      <c r="I176" t="s">
        <v>228</v>
      </c>
      <c r="J176">
        <v>1500000</v>
      </c>
      <c r="K176">
        <v>59024473</v>
      </c>
      <c r="L176" s="1">
        <v>43755</v>
      </c>
      <c r="M176" s="1">
        <v>45566</v>
      </c>
      <c r="N176" s="2">
        <f>HYPERLINK("https://www.greenbondtransparency.com/bond-info/?handle=b39685efcca04b61bebbca809d22fe37","CL0002564384")</f>
      </c>
      <c r="O176" s="2" t="s">
        <v>24</v>
      </c>
      <c r="P176" s="2">
        <f>HYPERLINK("https://www.greenbondtransparency.com/download-document/?entity=Framework&amp;handle=b64652431f724d2f81550871f0d9a6e1","SONDA S.A. GREEN BOND FRAMEWORK")</f>
      </c>
    </row>
    <row r="177" spans="1:16" x14ac:dyDescent="0.25">
      <c r="A177" t="s">
        <v>16</v>
      </c>
      <c r="B177" t="s">
        <v>490</v>
      </c>
      <c r="C177" t="s">
        <v>491</v>
      </c>
      <c r="D177" t="s">
        <v>72</v>
      </c>
      <c r="E177" t="s">
        <v>64</v>
      </c>
      <c r="F177" t="s">
        <v>20</v>
      </c>
      <c r="G177" t="s">
        <v>65</v>
      </c>
      <c r="H177" t="s">
        <v>66</v>
      </c>
      <c r="I177" t="s">
        <v>23</v>
      </c>
      <c r="J177">
        <v>1000000000</v>
      </c>
      <c r="K177">
        <v>1000000000</v>
      </c>
      <c r="L177" s="1">
        <v>44592</v>
      </c>
      <c r="M177" s="1">
        <v>55549</v>
      </c>
      <c r="N177" s="2">
        <f>HYPERLINK("https://www.greenbondtransparency.com/bond-info/?handle=b43ece8c5bc44097b88347e2476d8c95","US168863DW59")</f>
      </c>
      <c r="O177" s="2">
        <f>HYPERLINK("https://www.greenbondtransparency.com/bond-info/?handle=fd47a3cbf44c4c7bb9c69c5ad3fcc8e0","CBI_Chile")</f>
      </c>
      <c r="P177" s="2">
        <f>HYPERLINK("https://www.greenbondtransparency.com/download-document/?entity=Framework&amp;handle=b25746bc73674469a979cd1218fc9355","Chile's Sustainable Bond Framework")</f>
      </c>
    </row>
    <row r="178" spans="1:16" x14ac:dyDescent="0.25">
      <c r="A178" t="s">
        <v>16</v>
      </c>
      <c r="B178" t="s">
        <v>492</v>
      </c>
      <c r="C178" t="s">
        <v>493</v>
      </c>
      <c r="E178" t="s">
        <v>64</v>
      </c>
      <c r="F178" t="s">
        <v>20</v>
      </c>
      <c r="G178" t="s">
        <v>65</v>
      </c>
      <c r="H178" t="s">
        <v>66</v>
      </c>
      <c r="I178" t="s">
        <v>235</v>
      </c>
      <c r="J178">
        <v>1269017000</v>
      </c>
      <c r="K178">
        <v>1397134210</v>
      </c>
      <c r="L178" s="1">
        <v>43853</v>
      </c>
      <c r="M178" s="1">
        <v>51164</v>
      </c>
      <c r="N178" s="2">
        <f>HYPERLINK("https://www.greenbondtransparency.com/bond-info/?handle=b560e3f93699403a87c728fa565ae61a","XS2108987517")</f>
      </c>
      <c r="O178" s="2">
        <f>HYPERLINK("https://www.greenbondtransparency.com/bond-info/?handle=fd47a3cbf44c4c7bb9c69c5ad3fcc8e0","CBI_Chile")</f>
      </c>
      <c r="P178" s="2">
        <f>HYPERLINK("https://www.greenbondtransparency.com/download-document/?entity=Framework&amp;handle=b25746bc73674469a979cd1218fc9355","Chile's Sustainable Bond Framework")</f>
      </c>
    </row>
    <row r="179" spans="1:16" x14ac:dyDescent="0.25">
      <c r="A179" t="s">
        <v>16</v>
      </c>
      <c r="B179" t="s">
        <v>494</v>
      </c>
      <c r="C179" t="s">
        <v>495</v>
      </c>
      <c r="E179" t="s">
        <v>129</v>
      </c>
      <c r="F179" t="s">
        <v>20</v>
      </c>
      <c r="G179" t="s">
        <v>130</v>
      </c>
      <c r="H179" t="s">
        <v>22</v>
      </c>
      <c r="I179" t="s">
        <v>131</v>
      </c>
      <c r="J179">
        <v>600000000000</v>
      </c>
      <c r="K179">
        <v>156847983</v>
      </c>
      <c r="L179" s="1">
        <v>44455</v>
      </c>
      <c r="M179" s="1">
        <v>48838</v>
      </c>
      <c r="N179" s="2">
        <f>HYPERLINK("https://www.greenbondtransparency.com/bond-info/?handle=b5a27427940641ac941aae5bb87fc15e","COB07CBBO198")</f>
      </c>
      <c r="O179" s="2" t="s">
        <v>24</v>
      </c>
      <c r="P179" s="2">
        <f>HYPERLINK("https://www.greenbondtransparency.com/download-document/?entity=Framework&amp;handle=e7161c8807ca44e085439ddf548d7489","Bono Sostenible Bancolombia")</f>
      </c>
    </row>
    <row r="180" spans="1:16" x14ac:dyDescent="0.25">
      <c r="A180" t="s">
        <v>16</v>
      </c>
      <c r="B180" t="s">
        <v>496</v>
      </c>
      <c r="C180" t="s">
        <v>497</v>
      </c>
      <c r="E180" t="s">
        <v>34</v>
      </c>
      <c r="F180" t="s">
        <v>20</v>
      </c>
      <c r="G180" t="s">
        <v>126</v>
      </c>
      <c r="H180" t="s">
        <v>44</v>
      </c>
      <c r="I180" t="s">
        <v>49</v>
      </c>
      <c r="J180">
        <v>500000000</v>
      </c>
      <c r="K180">
        <v>99956019</v>
      </c>
      <c r="L180" s="1">
        <v>44377</v>
      </c>
      <c r="M180" s="1">
        <v>48015</v>
      </c>
      <c r="N180" s="2">
        <f>HYPERLINK("https://www.greenbondtransparency.com/bond-info/?handle=b801a9916932412fb579bb166dbdcdbe","BRSMTODBS005")</f>
      </c>
      <c r="O180" s="2" t="s">
        <v>24</v>
      </c>
      <c r="P180" s="2" t="s">
        <v>24</v>
      </c>
    </row>
    <row r="181" spans="1:16" x14ac:dyDescent="0.25">
      <c r="A181" t="s">
        <v>16</v>
      </c>
      <c r="B181" t="s">
        <v>498</v>
      </c>
      <c r="C181" t="s">
        <v>499</v>
      </c>
      <c r="D181" t="s">
        <v>72</v>
      </c>
      <c r="E181" t="s">
        <v>73</v>
      </c>
      <c r="F181" t="s">
        <v>20</v>
      </c>
      <c r="G181" t="s">
        <v>74</v>
      </c>
      <c r="H181" t="s">
        <v>30</v>
      </c>
      <c r="I181" t="s">
        <v>75</v>
      </c>
      <c r="J181">
        <v>8114000000</v>
      </c>
      <c r="K181">
        <v>399201770.65</v>
      </c>
      <c r="L181" s="1">
        <v>44643</v>
      </c>
      <c r="M181" s="1">
        <v>48289</v>
      </c>
      <c r="N181" s="2">
        <f>HYPERLINK("https://www.greenbondtransparency.com/bond-info/?handle=b9e53c01ef12400ea7f0a9fcfb8945de","MXCDBA0300E4")</f>
      </c>
      <c r="O181" s="2">
        <f>HYPERLINK("https://www.greenbondtransparency.com/bond-info/?handle=a203bf32e36b489bacf6ec7972d80d21","BANCOMEXT CEBUR")</f>
      </c>
      <c r="P181" s="2">
        <f>HYPERLINK("https://www.greenbondtransparency.com/download-document/?entity=Framework&amp;handle=41f78746078d444787f9a1f78b30153c","Bancomext Sustainability Bond Framework")</f>
      </c>
    </row>
    <row r="182" spans="1:16" x14ac:dyDescent="0.25">
      <c r="A182" t="s">
        <v>16</v>
      </c>
      <c r="B182" t="s">
        <v>500</v>
      </c>
      <c r="C182" t="s">
        <v>501</v>
      </c>
      <c r="D182" t="s">
        <v>27</v>
      </c>
      <c r="E182" t="s">
        <v>73</v>
      </c>
      <c r="F182" t="s">
        <v>20</v>
      </c>
      <c r="G182" t="s">
        <v>211</v>
      </c>
      <c r="H182" t="s">
        <v>30</v>
      </c>
      <c r="I182" t="s">
        <v>23</v>
      </c>
      <c r="J182">
        <v>500000000</v>
      </c>
      <c r="K182">
        <v>500000000</v>
      </c>
      <c r="L182" s="1">
        <v>42313</v>
      </c>
      <c r="M182" s="1">
        <v>44140</v>
      </c>
      <c r="N182" s="2">
        <f>HYPERLINK("https://www.greenbondtransparency.com/bond-info/?handle=b9f186bd509f4477ae95d772ed0011dc","US629598AS28")</f>
      </c>
      <c r="O182" s="2" t="s">
        <v>24</v>
      </c>
      <c r="P182" s="2">
        <f>HYPERLINK("https://www.greenbondtransparency.com/download-document/?entity=Framework&amp;handle=7e876d44cd22441faf1a62083a53b7ad","Nacional Financiera Green Bond USD")</f>
      </c>
    </row>
    <row r="183" spans="1:16" x14ac:dyDescent="0.25">
      <c r="A183" t="s">
        <v>16</v>
      </c>
      <c r="B183" t="s">
        <v>502</v>
      </c>
      <c r="C183" t="s">
        <v>503</v>
      </c>
      <c r="E183" t="s">
        <v>34</v>
      </c>
      <c r="F183" t="s">
        <v>20</v>
      </c>
      <c r="G183" t="s">
        <v>118</v>
      </c>
      <c r="H183" t="s">
        <v>44</v>
      </c>
      <c r="I183" t="s">
        <v>49</v>
      </c>
      <c r="J183">
        <v>138507000</v>
      </c>
      <c r="K183">
        <v>25992643</v>
      </c>
      <c r="L183" s="1">
        <v>44007</v>
      </c>
      <c r="M183" s="1">
        <v>44979</v>
      </c>
      <c r="N183" s="2">
        <f>HYPERLINK("https://www.greenbondtransparency.com/bond-info/?handle=bf96a41e500b4f00b41161bfbded8061","BRRBRACRI713")</f>
      </c>
      <c r="O183" s="2" t="s">
        <v>24</v>
      </c>
      <c r="P183" s="2">
        <f>HYPERLINK("https://www.greenbondtransparency.com/download-document/?entity=Framework&amp;handle=56debb04f16d471a921ea472390c8779","FS Green Bond Framework - November 2020")</f>
      </c>
    </row>
    <row r="184" spans="1:16" x14ac:dyDescent="0.25">
      <c r="A184" t="s">
        <v>1</v>
      </c>
      <c r="B184" t="s">
        <v>504</v>
      </c>
      <c r="C184" t="s">
        <v>505</v>
      </c>
      <c r="E184" t="s">
        <v>59</v>
      </c>
      <c r="F184" t="s">
        <v>20</v>
      </c>
      <c r="G184" t="s">
        <v>506</v>
      </c>
      <c r="H184" t="s">
        <v>30</v>
      </c>
      <c r="I184" t="s">
        <v>23</v>
      </c>
      <c r="J184">
        <v>30000000</v>
      </c>
      <c r="K184">
        <v>30000000</v>
      </c>
      <c r="L184" s="1">
        <v>43441</v>
      </c>
      <c r="M184" s="1">
        <v>45266</v>
      </c>
      <c r="N184" s="2">
        <f>HYPERLINK("https://www.greenbondtransparency.com/bond-info/?handle=bfc6f6927d0842d4b44fe9c260c3a4fa","PR_PL_BICE")</f>
      </c>
      <c r="O184" s="2" t="s">
        <v>24</v>
      </c>
      <c r="P184" s="2">
        <f>HYPERLINK("https://www.greenbondtransparency.com/download-document/?entity=Framework&amp;handle=e7422ceebd5f4b049171588f9f404b91","Marco de la Primera Emisión")</f>
      </c>
    </row>
    <row r="185" spans="1:16" x14ac:dyDescent="0.25">
      <c r="A185" t="s">
        <v>16</v>
      </c>
      <c r="B185" t="s">
        <v>507</v>
      </c>
      <c r="C185" t="s">
        <v>508</v>
      </c>
      <c r="D185" t="s">
        <v>27</v>
      </c>
      <c r="E185" t="s">
        <v>34</v>
      </c>
      <c r="F185" t="s">
        <v>20</v>
      </c>
      <c r="G185" t="s">
        <v>473</v>
      </c>
      <c r="H185" t="s">
        <v>44</v>
      </c>
      <c r="I185" t="s">
        <v>49</v>
      </c>
      <c r="J185">
        <v>35000000</v>
      </c>
      <c r="K185">
        <v>6200726</v>
      </c>
      <c r="L185" s="1">
        <v>44298</v>
      </c>
      <c r="M185" s="1">
        <v>45986</v>
      </c>
      <c r="N185" s="2">
        <f>HYPERLINK("https://www.greenbondtransparency.com/bond-info/?handle=c0def428de184b52ba62a6b13efd2b97","BRDNBGDBS025")</f>
      </c>
      <c r="O185" s="2">
        <f>HYPERLINK("https://www.greenbondtransparency.com/bond-info/?handle=bd0f32df9b284f019686cfd86211d218","DIANABIO")</f>
      </c>
      <c r="P185" s="2" t="s">
        <v>24</v>
      </c>
    </row>
    <row r="186" spans="1:16" x14ac:dyDescent="0.25">
      <c r="A186" t="s">
        <v>16</v>
      </c>
      <c r="B186" t="s">
        <v>509</v>
      </c>
      <c r="C186" t="s">
        <v>510</v>
      </c>
      <c r="D186" t="s">
        <v>27</v>
      </c>
      <c r="E186" t="s">
        <v>59</v>
      </c>
      <c r="F186" t="s">
        <v>20</v>
      </c>
      <c r="G186" t="s">
        <v>438</v>
      </c>
      <c r="H186" t="s">
        <v>44</v>
      </c>
      <c r="I186" t="s">
        <v>23</v>
      </c>
      <c r="J186">
        <v>20000000</v>
      </c>
      <c r="K186">
        <v>20000000</v>
      </c>
      <c r="L186" s="1">
        <v>44993</v>
      </c>
      <c r="M186" s="1">
        <v>45724</v>
      </c>
      <c r="N186" s="2">
        <f>HYPERLINK("https://www.greenbondtransparency.com/bond-info/?handle=c527fed125b442ecbb7b7a6b6ec34c21","ARENEY560027")</f>
      </c>
      <c r="O186" s="2" t="s">
        <v>24</v>
      </c>
      <c r="P186" s="2" t="s">
        <v>24</v>
      </c>
    </row>
    <row r="187" spans="1:16" x14ac:dyDescent="0.25">
      <c r="A187" t="s">
        <v>16</v>
      </c>
      <c r="B187" t="s">
        <v>511</v>
      </c>
      <c r="C187" t="s">
        <v>512</v>
      </c>
      <c r="E187" t="s">
        <v>34</v>
      </c>
      <c r="F187" t="s">
        <v>20</v>
      </c>
      <c r="G187" t="s">
        <v>99</v>
      </c>
      <c r="H187" t="s">
        <v>44</v>
      </c>
      <c r="I187" t="s">
        <v>49</v>
      </c>
      <c r="J187">
        <v>1050000000</v>
      </c>
      <c r="K187">
        <v>186514140</v>
      </c>
      <c r="L187" s="1">
        <v>44270</v>
      </c>
      <c r="M187" s="1">
        <v>47192</v>
      </c>
      <c r="N187" s="2">
        <f>HYPERLINK("https://www.greenbondtransparency.com/bond-info/?handle=c772aaa1d45c44249ab562e30a730690","BROMGEDBS069")</f>
      </c>
      <c r="O187" s="2" t="s">
        <v>24</v>
      </c>
      <c r="P187" s="2" t="s">
        <v>24</v>
      </c>
    </row>
    <row r="188" spans="1:16" x14ac:dyDescent="0.25">
      <c r="A188" t="s">
        <v>16</v>
      </c>
      <c r="B188" t="s">
        <v>513</v>
      </c>
      <c r="C188" t="s">
        <v>514</v>
      </c>
      <c r="E188" t="s">
        <v>53</v>
      </c>
      <c r="F188" t="s">
        <v>54</v>
      </c>
      <c r="G188" t="s">
        <v>55</v>
      </c>
      <c r="H188" t="s">
        <v>30</v>
      </c>
      <c r="I188" t="s">
        <v>94</v>
      </c>
      <c r="J188">
        <v>220000000</v>
      </c>
      <c r="K188">
        <v>237068965.52</v>
      </c>
      <c r="L188" s="1">
        <v>44522</v>
      </c>
      <c r="M188" s="1">
        <v>47102</v>
      </c>
      <c r="N188" s="2">
        <f>HYPERLINK("https://www.greenbondtransparency.com/bond-info/?handle=c8b591f6ccb14f81b80ec4b4bb81e572","CH1148308716")</f>
      </c>
      <c r="O188" s="2" t="s">
        <v>24</v>
      </c>
      <c r="P188" s="2">
        <f>HYPERLINK("https://www.greenbondtransparency.com/download-document/?entity=Framework&amp;handle=54743cb2f07c4d9f923a5c04c2547bb4","CABEI´s Green Bond Framework")</f>
      </c>
    </row>
    <row r="189" spans="1:16" x14ac:dyDescent="0.25">
      <c r="A189" t="s">
        <v>16</v>
      </c>
      <c r="B189" t="s">
        <v>515</v>
      </c>
      <c r="C189" t="s">
        <v>516</v>
      </c>
      <c r="D189" t="s">
        <v>72</v>
      </c>
      <c r="E189" t="s">
        <v>129</v>
      </c>
      <c r="F189" t="s">
        <v>20</v>
      </c>
      <c r="G189" t="s">
        <v>517</v>
      </c>
      <c r="H189" t="s">
        <v>30</v>
      </c>
      <c r="I189" t="s">
        <v>131</v>
      </c>
      <c r="J189">
        <v>267173000000</v>
      </c>
      <c r="K189">
        <v>81290866</v>
      </c>
      <c r="L189" s="1">
        <v>43634</v>
      </c>
      <c r="M189" s="1">
        <v>46191</v>
      </c>
      <c r="N189" s="2">
        <f>HYPERLINK("https://www.greenbondtransparency.com/bond-info/?handle=c965ff69d69c472abb516e0dc534a23f","COL06CB00026")</f>
      </c>
      <c r="O189" s="2">
        <f>HYPERLINK("https://www.greenbondtransparency.com/bond-info/?handle=8de35726c38f47e0be910337fedb0a9a","BonoFindeter")</f>
      </c>
      <c r="P189" s="2">
        <f>HYPERLINK("https://www.greenbondtransparency.com/download-document/?entity=Framework&amp;handle=588f4584351c4b9ea59518b315bbf51d","Bono de Sostenibilidad de Findeter")</f>
      </c>
    </row>
    <row r="190" spans="1:16" x14ac:dyDescent="0.25">
      <c r="A190" t="s">
        <v>16</v>
      </c>
      <c r="B190" t="s">
        <v>518</v>
      </c>
      <c r="C190" t="s">
        <v>519</v>
      </c>
      <c r="E190" t="s">
        <v>38</v>
      </c>
      <c r="F190" t="s">
        <v>20</v>
      </c>
      <c r="G190" t="s">
        <v>520</v>
      </c>
      <c r="H190" t="s">
        <v>44</v>
      </c>
      <c r="I190" t="s">
        <v>23</v>
      </c>
      <c r="J190">
        <v>600000000</v>
      </c>
      <c r="K190">
        <v>600000000</v>
      </c>
      <c r="L190" s="1">
        <v>43571</v>
      </c>
      <c r="M190" s="1">
        <v>49050</v>
      </c>
      <c r="N190" s="2">
        <f>HYPERLINK("https://www.greenbondtransparency.com/bond-info/?handle=ca95780fd934421fa99ce5cb0b1f71d2","US210314AB60")</f>
      </c>
      <c r="O190" s="2" t="s">
        <v>24</v>
      </c>
      <c r="P190" s="2">
        <f>HYPERLINK("https://www.greenbondtransparency.com/download-document/?entity=Framework&amp;handle=905be24bcdf943969c19e593cecd74e1","ISA CTM FRAMEWORK")</f>
      </c>
    </row>
    <row r="191" spans="1:16" x14ac:dyDescent="0.25">
      <c r="A191" t="s">
        <v>16</v>
      </c>
      <c r="B191" t="s">
        <v>521</v>
      </c>
      <c r="C191" t="s">
        <v>522</v>
      </c>
      <c r="D191" t="s">
        <v>27</v>
      </c>
      <c r="E191" t="s">
        <v>282</v>
      </c>
      <c r="F191" t="s">
        <v>20</v>
      </c>
      <c r="G191" t="s">
        <v>523</v>
      </c>
      <c r="H191" t="s">
        <v>44</v>
      </c>
      <c r="I191" t="s">
        <v>23</v>
      </c>
      <c r="J191">
        <v>80000000</v>
      </c>
      <c r="K191">
        <v>80000000</v>
      </c>
      <c r="L191" s="1">
        <v>44942</v>
      </c>
      <c r="M191" s="1">
        <v>47134</v>
      </c>
      <c r="N191" s="2">
        <f>HYPERLINK("https://www.greenbondtransparency.com/bond-info/?handle=cceb5f829dd949e79888e0f25d524a53","EC0C311200A4")</f>
      </c>
      <c r="O191" s="2" t="s">
        <v>24</v>
      </c>
      <c r="P191" s="2">
        <f>HYPERLINK("https://www.greenbondtransparency.com/download-document/?entity=Framework&amp;handle=74105bd6a7dd421e81b4531e21ef74af","Green Bond Framework of Banco Guayaquil")</f>
      </c>
    </row>
    <row r="192" spans="1:16" x14ac:dyDescent="0.25">
      <c r="A192" t="s">
        <v>16</v>
      </c>
      <c r="B192" t="s">
        <v>524</v>
      </c>
      <c r="C192" t="s">
        <v>525</v>
      </c>
      <c r="E192" t="s">
        <v>34</v>
      </c>
      <c r="F192" t="s">
        <v>20</v>
      </c>
      <c r="G192" t="s">
        <v>118</v>
      </c>
      <c r="H192" t="s">
        <v>44</v>
      </c>
      <c r="I192" t="s">
        <v>49</v>
      </c>
      <c r="J192">
        <v>300000000</v>
      </c>
      <c r="K192">
        <v>58050658</v>
      </c>
      <c r="L192" s="1">
        <v>44442</v>
      </c>
      <c r="M192" s="1">
        <v>45915</v>
      </c>
      <c r="N192" s="2">
        <f>HYPERLINK("https://www.greenbondtransparency.com/bond-info/?handle=cdd9dbb7c5b7426a8c366cb944a814a9","BRECOACRA7P1")</f>
      </c>
      <c r="O192" s="2" t="s">
        <v>24</v>
      </c>
      <c r="P192" s="2">
        <f>HYPERLINK("https://www.greenbondtransparency.com/download-document/?entity=Framework&amp;handle=06916bad6f3d4631a2127d3f46ff766d","FS Green Bond Framework - July 2021")</f>
      </c>
    </row>
    <row r="193" spans="1:16" x14ac:dyDescent="0.25">
      <c r="A193" t="s">
        <v>1</v>
      </c>
      <c r="B193" t="s">
        <v>526</v>
      </c>
      <c r="C193" t="s">
        <v>527</v>
      </c>
      <c r="D193" t="s">
        <v>27</v>
      </c>
      <c r="E193" t="s">
        <v>223</v>
      </c>
      <c r="F193" t="s">
        <v>20</v>
      </c>
      <c r="G193" t="s">
        <v>528</v>
      </c>
      <c r="H193" t="s">
        <v>44</v>
      </c>
      <c r="I193" t="s">
        <v>23</v>
      </c>
      <c r="J193">
        <v>28071000</v>
      </c>
      <c r="K193">
        <v>28071000</v>
      </c>
      <c r="L193" s="1">
        <v>44090</v>
      </c>
      <c r="M193" s="1">
        <v>51455</v>
      </c>
      <c r="N193" s="2">
        <f>HYPERLINK("https://www.greenbondtransparency.com/bond-info/?handle=cfd7ae09c92d481ba80c9caf94bf5d8d","PR_PL_SOLARIA")</f>
      </c>
      <c r="O193" s="2" t="s">
        <v>24</v>
      </c>
      <c r="P193" s="2" t="s">
        <v>24</v>
      </c>
    </row>
    <row r="194" spans="1:16" x14ac:dyDescent="0.25">
      <c r="A194" t="s">
        <v>16</v>
      </c>
      <c r="B194" t="s">
        <v>529</v>
      </c>
      <c r="C194" t="s">
        <v>530</v>
      </c>
      <c r="D194" t="s">
        <v>72</v>
      </c>
      <c r="E194" t="s">
        <v>73</v>
      </c>
      <c r="F194" t="s">
        <v>20</v>
      </c>
      <c r="G194" t="s">
        <v>87</v>
      </c>
      <c r="H194" t="s">
        <v>88</v>
      </c>
      <c r="I194" t="s">
        <v>75</v>
      </c>
      <c r="J194">
        <v>2000000000</v>
      </c>
      <c r="K194">
        <v>112585354</v>
      </c>
      <c r="L194" s="1">
        <v>42997</v>
      </c>
      <c r="M194" s="1">
        <v>46819</v>
      </c>
      <c r="N194" s="2">
        <f>HYPERLINK("https://www.greenbondtransparency.com/bond-info/?handle=cffe109b8d59400dbf3b62d9e36c0d76","MX90GC040018")</f>
      </c>
      <c r="O194" s="2" t="s">
        <v>24</v>
      </c>
      <c r="P194" s="2">
        <f>HYPERLINK("https://www.greenbondtransparency.com/download-document/?entity=Framework&amp;handle=d20be6c53e8d483da48e9bb992e3d342","Marco de Referencia del Bono Verde de la Ciudad de México 2017")</f>
      </c>
    </row>
    <row r="195" spans="1:16" x14ac:dyDescent="0.25">
      <c r="A195" t="s">
        <v>16</v>
      </c>
      <c r="B195" t="s">
        <v>531</v>
      </c>
      <c r="C195" t="s">
        <v>532</v>
      </c>
      <c r="D195" t="s">
        <v>27</v>
      </c>
      <c r="E195" t="s">
        <v>78</v>
      </c>
      <c r="F195" t="s">
        <v>20</v>
      </c>
      <c r="G195" t="s">
        <v>533</v>
      </c>
      <c r="H195" t="s">
        <v>44</v>
      </c>
      <c r="I195" t="s">
        <v>418</v>
      </c>
      <c r="J195">
        <v>4060000000</v>
      </c>
      <c r="K195">
        <v>6011609</v>
      </c>
      <c r="L195" s="1">
        <v>44770</v>
      </c>
      <c r="M195" s="1">
        <v>46596</v>
      </c>
      <c r="N195" s="2">
        <f>HYPERLINK("https://www.greenbondtransparency.com/bond-info/?handle=d36e148cc02845588f4173c38ab6f688","CRCOOPGV0027")</f>
      </c>
      <c r="O195" s="2" t="s">
        <v>24</v>
      </c>
      <c r="P195" s="2">
        <f>HYPERLINK("https://www.greenbondtransparency.com/download-document/?entity=Framework&amp;handle=e6873103865949bdb9e863d906f83c74","Marco de referencia de bono verde Coopeguanacaste, R.L.")</f>
      </c>
    </row>
    <row r="196" spans="1:16" x14ac:dyDescent="0.25">
      <c r="A196" t="s">
        <v>16</v>
      </c>
      <c r="B196" t="s">
        <v>534</v>
      </c>
      <c r="C196" t="s">
        <v>535</v>
      </c>
      <c r="E196" t="s">
        <v>129</v>
      </c>
      <c r="F196" t="s">
        <v>20</v>
      </c>
      <c r="G196" t="s">
        <v>160</v>
      </c>
      <c r="H196" t="s">
        <v>44</v>
      </c>
      <c r="I196" t="s">
        <v>131</v>
      </c>
      <c r="J196">
        <v>139997669786</v>
      </c>
      <c r="K196">
        <v>37276946</v>
      </c>
      <c r="L196" s="1">
        <v>44056</v>
      </c>
      <c r="M196" s="1">
        <v>51361</v>
      </c>
      <c r="N196" s="2">
        <f>HYPERLINK("https://www.greenbondtransparency.com/bond-info/?handle=d504aa002bf5487f8fc01a2b94b3a137","COE15CB00295")</f>
      </c>
      <c r="O196" s="2">
        <f>HYPERLINK("https://www.greenbondtransparency.com/bond-info/?handle=a0bc4c5a1c144c07bd4a964abff5f34f","ISA GB2020")</f>
      </c>
      <c r="P196" s="2" t="s">
        <v>24</v>
      </c>
    </row>
    <row r="197" spans="1:16" x14ac:dyDescent="0.25">
      <c r="A197" t="s">
        <v>16</v>
      </c>
      <c r="B197" t="s">
        <v>536</v>
      </c>
      <c r="C197" t="s">
        <v>537</v>
      </c>
      <c r="D197" t="s">
        <v>27</v>
      </c>
      <c r="E197" t="s">
        <v>59</v>
      </c>
      <c r="F197" t="s">
        <v>20</v>
      </c>
      <c r="G197" t="s">
        <v>538</v>
      </c>
      <c r="H197" t="s">
        <v>88</v>
      </c>
      <c r="I197" t="s">
        <v>61</v>
      </c>
      <c r="J197">
        <v>300000000</v>
      </c>
      <c r="K197">
        <v>1209677</v>
      </c>
      <c r="L197" s="1">
        <v>45063</v>
      </c>
      <c r="M197" s="1">
        <v>45247</v>
      </c>
      <c r="N197" s="2">
        <f>HYPERLINK("https://www.greenbondtransparency.com/bond-info/?handle=d6f306c4689246d5b3726c64833c00bb","ARMGCZ520013")</f>
      </c>
      <c r="O197" s="2" t="s">
        <v>24</v>
      </c>
      <c r="P197" s="2" t="s">
        <v>24</v>
      </c>
    </row>
    <row r="198" spans="1:16" x14ac:dyDescent="0.25">
      <c r="A198" t="s">
        <v>16</v>
      </c>
      <c r="B198" t="s">
        <v>539</v>
      </c>
      <c r="C198" t="s">
        <v>540</v>
      </c>
      <c r="E198" t="s">
        <v>34</v>
      </c>
      <c r="F198" t="s">
        <v>20</v>
      </c>
      <c r="G198" t="s">
        <v>541</v>
      </c>
      <c r="H198" t="s">
        <v>30</v>
      </c>
      <c r="I198" t="s">
        <v>23</v>
      </c>
      <c r="J198">
        <v>1000000000</v>
      </c>
      <c r="K198">
        <v>1000000000</v>
      </c>
      <c r="L198" s="1">
        <v>42864</v>
      </c>
      <c r="M198" s="1">
        <v>45421</v>
      </c>
      <c r="N198" s="2">
        <f>HYPERLINK("https://www.greenbondtransparency.com/bond-info/?handle=d926bd6190f14503bf5981ccf4d7c715","USP14486AM92")</f>
      </c>
      <c r="O198" s="2" t="s">
        <v>24</v>
      </c>
      <c r="P198" s="2">
        <f>HYPERLINK("https://www.greenbondtransparency.com/download-document/?entity=Framework&amp;handle=8248830a582148988b2d374bbe06b15d","BNDES Green Bond Framework")</f>
      </c>
    </row>
    <row r="199" spans="1:16" x14ac:dyDescent="0.25">
      <c r="A199" t="s">
        <v>279</v>
      </c>
      <c r="B199" t="s">
        <v>542</v>
      </c>
      <c r="C199" t="s">
        <v>543</v>
      </c>
      <c r="D199" t="s">
        <v>27</v>
      </c>
      <c r="E199" t="s">
        <v>59</v>
      </c>
      <c r="F199" t="s">
        <v>20</v>
      </c>
      <c r="G199" t="s">
        <v>272</v>
      </c>
      <c r="H199" t="s">
        <v>44</v>
      </c>
      <c r="I199" t="s">
        <v>23</v>
      </c>
      <c r="J199">
        <v>50000000</v>
      </c>
      <c r="K199">
        <v>50000000</v>
      </c>
      <c r="L199" s="1">
        <v>44553</v>
      </c>
      <c r="M199" s="1">
        <v>48205</v>
      </c>
      <c r="N199" s="2">
        <f>HYPERLINK("https://www.greenbondtransparency.com/bond-info/?handle=db0aed66fef140e2bec6644ac909c86c","BBG0149HK0D6")</f>
      </c>
      <c r="O199" s="2" t="s">
        <v>24</v>
      </c>
      <c r="P199" s="2">
        <f>HYPERLINK("https://www.greenbondtransparency.com/download-document/?entity=Framework&amp;handle=0861b552d06e4b9799ebc7a3b1aa7e2a","Genneia Green Bond Framework")</f>
      </c>
    </row>
    <row r="200" spans="1:16" x14ac:dyDescent="0.25">
      <c r="A200" t="s">
        <v>1</v>
      </c>
      <c r="B200" t="s">
        <v>544</v>
      </c>
      <c r="C200" t="s">
        <v>545</v>
      </c>
      <c r="E200" t="s">
        <v>42</v>
      </c>
      <c r="F200" t="s">
        <v>20</v>
      </c>
      <c r="G200" t="s">
        <v>43</v>
      </c>
      <c r="H200" t="s">
        <v>44</v>
      </c>
      <c r="I200" t="s">
        <v>45</v>
      </c>
      <c r="J200">
        <v>4000000</v>
      </c>
      <c r="K200">
        <v>2000000</v>
      </c>
      <c r="L200" s="1">
        <v>44012</v>
      </c>
      <c r="M200" s="1">
        <v>44742</v>
      </c>
      <c r="N200" s="2">
        <f>HYPERLINK("https://www.greenbondtransparency.com/bond-info/?handle=dd4e23cc5ace413b987d8d6702f2615e","WREL#1_A")</f>
      </c>
      <c r="O200" s="2">
        <f>HYPERLINK("https://www.greenbondtransparency.com/bond-info/?handle=857a2aaaa36240d4ac4b2f568bca4a42","WREL#1")</f>
      </c>
      <c r="P200" s="2" t="s">
        <v>24</v>
      </c>
    </row>
    <row r="201" spans="1:16" x14ac:dyDescent="0.25">
      <c r="A201" t="s">
        <v>16</v>
      </c>
      <c r="B201" t="s">
        <v>546</v>
      </c>
      <c r="C201" t="s">
        <v>547</v>
      </c>
      <c r="E201" t="s">
        <v>34</v>
      </c>
      <c r="F201" t="s">
        <v>20</v>
      </c>
      <c r="G201" t="s">
        <v>548</v>
      </c>
      <c r="H201" t="s">
        <v>44</v>
      </c>
      <c r="I201" t="s">
        <v>23</v>
      </c>
      <c r="J201">
        <v>500000000</v>
      </c>
      <c r="K201">
        <v>500000000</v>
      </c>
      <c r="L201" s="1">
        <v>44012</v>
      </c>
      <c r="M201" s="1">
        <v>46762</v>
      </c>
      <c r="N201" s="2">
        <f>HYPERLINK("https://www.greenbondtransparency.com/bond-info/?handle=ddc074cc122446bc92e5b6929179d0e2","USL79090AC78")</f>
      </c>
      <c r="O201" s="2" t="s">
        <v>24</v>
      </c>
      <c r="P201" s="2">
        <f>HYPERLINK("https://www.greenbondtransparency.com/download-document/?entity=Framework&amp;handle=5ed0f5af81e743d59f6cc5245e8d8fd0","Rumo Green Bond 2028 Framework")</f>
      </c>
    </row>
    <row r="202" spans="1:16" x14ac:dyDescent="0.25">
      <c r="A202" t="s">
        <v>16</v>
      </c>
      <c r="B202" t="s">
        <v>549</v>
      </c>
      <c r="C202" t="s">
        <v>550</v>
      </c>
      <c r="D202" t="s">
        <v>27</v>
      </c>
      <c r="E202" t="s">
        <v>34</v>
      </c>
      <c r="F202" t="s">
        <v>20</v>
      </c>
      <c r="G202" t="s">
        <v>113</v>
      </c>
      <c r="H202" t="s">
        <v>44</v>
      </c>
      <c r="I202" t="s">
        <v>49</v>
      </c>
      <c r="J202">
        <v>60000000</v>
      </c>
      <c r="K202">
        <v>10531304</v>
      </c>
      <c r="L202" s="1">
        <v>44286</v>
      </c>
      <c r="M202" s="1">
        <v>47467</v>
      </c>
      <c r="N202" s="2">
        <f>HYPERLINK("https://www.greenbondtransparency.com/bond-info/?handle=de08d71d4fcd410eac1c1c388f5743cc","BRRANIDBS031")</f>
      </c>
      <c r="O202" s="2" t="s">
        <v>24</v>
      </c>
      <c r="P202" s="2" t="s">
        <v>24</v>
      </c>
    </row>
    <row r="203" spans="1:16" x14ac:dyDescent="0.25">
      <c r="A203" t="s">
        <v>1</v>
      </c>
      <c r="B203" t="s">
        <v>551</v>
      </c>
      <c r="C203" t="s">
        <v>552</v>
      </c>
      <c r="D203" t="s">
        <v>27</v>
      </c>
      <c r="E203" t="s">
        <v>223</v>
      </c>
      <c r="F203" t="s">
        <v>20</v>
      </c>
      <c r="G203" t="s">
        <v>224</v>
      </c>
      <c r="H203" t="s">
        <v>44</v>
      </c>
      <c r="I203" t="s">
        <v>23</v>
      </c>
      <c r="J203">
        <v>55539288.96</v>
      </c>
      <c r="K203">
        <v>55539288.96</v>
      </c>
      <c r="L203" s="1">
        <v>44419</v>
      </c>
      <c r="M203" s="1">
        <v>53036</v>
      </c>
      <c r="N203" s="2">
        <f>HYPERLINK("https://www.greenbondtransparency.com/bond-info/?handle=df57d6a3698d41908685999048e46b1f","PR_PL_Tealov")</f>
      </c>
      <c r="O203" s="2" t="s">
        <v>24</v>
      </c>
      <c r="P203" s="2" t="s">
        <v>24</v>
      </c>
    </row>
    <row r="204" spans="1:16" x14ac:dyDescent="0.25">
      <c r="A204" t="s">
        <v>16</v>
      </c>
      <c r="B204" t="s">
        <v>553</v>
      </c>
      <c r="C204" t="s">
        <v>554</v>
      </c>
      <c r="D204" t="s">
        <v>27</v>
      </c>
      <c r="E204" t="s">
        <v>59</v>
      </c>
      <c r="F204" t="s">
        <v>20</v>
      </c>
      <c r="G204" t="s">
        <v>272</v>
      </c>
      <c r="H204" t="s">
        <v>44</v>
      </c>
      <c r="I204" t="s">
        <v>23</v>
      </c>
      <c r="J204">
        <v>15196669</v>
      </c>
      <c r="K204">
        <v>15196669</v>
      </c>
      <c r="L204" s="1">
        <v>45246</v>
      </c>
      <c r="M204" s="1">
        <v>46523</v>
      </c>
      <c r="N204" s="2">
        <f>HYPERLINK("https://www.greenbondtransparency.com/bond-info/?handle=dfcc0dc402434cf9b677d5f1a319bd81","AR0329026279")</f>
      </c>
      <c r="O204" s="2" t="s">
        <v>24</v>
      </c>
      <c r="P204" s="2">
        <f>HYPERLINK("https://www.greenbondtransparency.com/download-document/?entity=Framework&amp;handle=0861b552d06e4b9799ebc7a3b1aa7e2a","Genneia Green Bond Framework")</f>
      </c>
    </row>
    <row r="205" spans="1:16" x14ac:dyDescent="0.25">
      <c r="A205" t="s">
        <v>16</v>
      </c>
      <c r="B205" t="s">
        <v>555</v>
      </c>
      <c r="C205" t="s">
        <v>556</v>
      </c>
      <c r="D205" t="s">
        <v>27</v>
      </c>
      <c r="E205" t="s">
        <v>129</v>
      </c>
      <c r="F205" t="s">
        <v>20</v>
      </c>
      <c r="G205" t="s">
        <v>214</v>
      </c>
      <c r="H205" t="s">
        <v>22</v>
      </c>
      <c r="I205" t="s">
        <v>131</v>
      </c>
      <c r="J205">
        <v>80855000000</v>
      </c>
      <c r="K205">
        <v>21128122</v>
      </c>
      <c r="L205" s="1">
        <v>44637</v>
      </c>
      <c r="M205" s="1">
        <v>45368</v>
      </c>
      <c r="N205" s="2">
        <f>HYPERLINK("https://www.greenbondtransparency.com/bond-info/?handle=dfcf690c361b41209d466c53b12f3844","COB63CB00457")</f>
      </c>
      <c r="O205" s="2">
        <f>HYPERLINK("https://www.greenbondtransparency.com/bond-info/?handle=c0573c3a55414bb284866d6334dfb985","Prog Finandina")</f>
      </c>
      <c r="P205" s="2">
        <f>HYPERLINK("https://www.greenbondtransparency.com/download-document/?entity=Framework&amp;handle=46bc90cd9f664b57a297ff3b221857bd","Cartilla Bonos Verdes")</f>
      </c>
    </row>
    <row r="206" spans="1:16" x14ac:dyDescent="0.25">
      <c r="A206" t="s">
        <v>16</v>
      </c>
      <c r="B206" t="s">
        <v>557</v>
      </c>
      <c r="C206" t="s">
        <v>558</v>
      </c>
      <c r="E206" t="s">
        <v>53</v>
      </c>
      <c r="F206" t="s">
        <v>54</v>
      </c>
      <c r="G206" t="s">
        <v>234</v>
      </c>
      <c r="H206" t="s">
        <v>30</v>
      </c>
      <c r="I206" t="s">
        <v>94</v>
      </c>
      <c r="J206">
        <v>350000000</v>
      </c>
      <c r="K206">
        <v>382096069.87</v>
      </c>
      <c r="L206" s="1">
        <v>44616</v>
      </c>
      <c r="M206" s="1">
        <v>46442</v>
      </c>
      <c r="N206" s="2">
        <f>HYPERLINK("https://www.greenbondtransparency.com/bond-info/?handle=e0a694559f4542f5b1dc0222a650b513","CH1151526238")</f>
      </c>
      <c r="O206" s="2">
        <f>HYPERLINK("https://www.greenbondtransparency.com/bond-info/?handle=91d5f951533040578939c60b74089a81","CAF GB Program")</f>
      </c>
      <c r="P206" s="2">
        <f>HYPERLINK("https://www.greenbondtransparency.com/download-document/?entity=Framework&amp;handle=20ab6a5a7a89447fa8ffc6208696d342","CAF’s GREEN BOND FRAMEWORK")</f>
      </c>
    </row>
    <row r="207" spans="1:16" x14ac:dyDescent="0.25">
      <c r="A207" t="s">
        <v>16</v>
      </c>
      <c r="B207" t="s">
        <v>559</v>
      </c>
      <c r="C207" t="s">
        <v>560</v>
      </c>
      <c r="E207" t="s">
        <v>59</v>
      </c>
      <c r="F207" t="s">
        <v>20</v>
      </c>
      <c r="G207" t="s">
        <v>561</v>
      </c>
      <c r="H207" t="s">
        <v>44</v>
      </c>
      <c r="I207" t="s">
        <v>23</v>
      </c>
      <c r="J207">
        <v>63900000</v>
      </c>
      <c r="K207">
        <v>63900000</v>
      </c>
      <c r="L207" s="1">
        <v>44595</v>
      </c>
      <c r="M207" s="1">
        <v>48247</v>
      </c>
      <c r="N207" s="2">
        <f>HYPERLINK("https://www.greenbondtransparency.com/bond-info/?handle=e1a151fc549946899135468e9f745cc9","ARYPFE5600G5")</f>
      </c>
      <c r="O207" s="2" t="s">
        <v>24</v>
      </c>
      <c r="P207" s="2" t="s">
        <v>24</v>
      </c>
    </row>
    <row r="208" spans="1:16" x14ac:dyDescent="0.25">
      <c r="A208" t="s">
        <v>16</v>
      </c>
      <c r="B208" t="s">
        <v>562</v>
      </c>
      <c r="C208" t="s">
        <v>563</v>
      </c>
      <c r="E208" t="s">
        <v>64</v>
      </c>
      <c r="F208" t="s">
        <v>20</v>
      </c>
      <c r="G208" t="s">
        <v>300</v>
      </c>
      <c r="H208" t="s">
        <v>44</v>
      </c>
      <c r="I208" t="s">
        <v>23</v>
      </c>
      <c r="J208">
        <v>153670000</v>
      </c>
      <c r="K208">
        <v>153670000</v>
      </c>
      <c r="L208" s="1">
        <v>44356</v>
      </c>
      <c r="M208" s="1">
        <v>48745</v>
      </c>
      <c r="N208" s="2">
        <f>HYPERLINK("https://www.greenbondtransparency.com/bond-info/?handle=e409442424864da7afa12f94bb6ac8de","US46137NAC20")</f>
      </c>
      <c r="O208" s="2" t="s">
        <v>24</v>
      </c>
      <c r="P208" s="2">
        <f>HYPERLINK("https://www.greenbondtransparency.com/download-document/?entity=Framework&amp;handle=a40381fb70654535ada4454c2ff5e808","ILAP Green Financing Framework")</f>
      </c>
    </row>
    <row r="209" spans="1:16" x14ac:dyDescent="0.25">
      <c r="A209" t="s">
        <v>1</v>
      </c>
      <c r="B209" t="s">
        <v>564</v>
      </c>
      <c r="C209" t="s">
        <v>565</v>
      </c>
      <c r="D209" t="s">
        <v>27</v>
      </c>
      <c r="E209" t="s">
        <v>34</v>
      </c>
      <c r="F209" t="s">
        <v>20</v>
      </c>
      <c r="G209" t="s">
        <v>566</v>
      </c>
      <c r="H209" t="s">
        <v>22</v>
      </c>
      <c r="I209" t="s">
        <v>49</v>
      </c>
      <c r="J209">
        <v>1200000000</v>
      </c>
      <c r="K209">
        <v>231928875</v>
      </c>
      <c r="L209" s="1">
        <v>44188</v>
      </c>
      <c r="M209" s="1">
        <v>45131</v>
      </c>
      <c r="N209" s="2">
        <f>HYPERLINK("https://www.greenbondtransparency.com/bond-info/?handle=e4570195ee594e479365900b4140ec5f","PR_PV_BRADESCO")</f>
      </c>
      <c r="O209" s="2" t="s">
        <v>24</v>
      </c>
      <c r="P209" s="2" t="s">
        <v>24</v>
      </c>
    </row>
    <row r="210" spans="1:16" x14ac:dyDescent="0.25">
      <c r="A210" t="s">
        <v>16</v>
      </c>
      <c r="B210" t="s">
        <v>567</v>
      </c>
      <c r="C210" t="s">
        <v>568</v>
      </c>
      <c r="D210" t="s">
        <v>72</v>
      </c>
      <c r="E210" t="s">
        <v>34</v>
      </c>
      <c r="F210" t="s">
        <v>20</v>
      </c>
      <c r="G210" t="s">
        <v>149</v>
      </c>
      <c r="H210" t="s">
        <v>22</v>
      </c>
      <c r="I210" t="s">
        <v>49</v>
      </c>
      <c r="J210">
        <v>0</v>
      </c>
      <c r="K210">
        <v>0</v>
      </c>
      <c r="L210" s="1" t="s">
        <v>569</v>
      </c>
      <c r="M210" s="1">
        <v>43025</v>
      </c>
      <c r="N210" s="2">
        <f>HYPERLINK("https://www.greenbondtransparency.com/bond-info/?handle=e47911ad0266447b902d580f98ddf8b9","BRGCIIDBS014")</f>
      </c>
      <c r="O210" s="2" t="s">
        <v>24</v>
      </c>
      <c r="P210" s="2" t="s">
        <v>24</v>
      </c>
    </row>
    <row r="211" spans="1:16" x14ac:dyDescent="0.25">
      <c r="A211" t="s">
        <v>16</v>
      </c>
      <c r="B211" t="s">
        <v>570</v>
      </c>
      <c r="C211" t="s">
        <v>571</v>
      </c>
      <c r="D211" t="s">
        <v>72</v>
      </c>
      <c r="E211" t="s">
        <v>38</v>
      </c>
      <c r="F211" t="s">
        <v>20</v>
      </c>
      <c r="G211" t="s">
        <v>39</v>
      </c>
      <c r="H211" t="s">
        <v>30</v>
      </c>
      <c r="I211" t="s">
        <v>40</v>
      </c>
      <c r="J211">
        <v>100000000</v>
      </c>
      <c r="K211">
        <v>29868578</v>
      </c>
      <c r="L211" s="1">
        <v>43763</v>
      </c>
      <c r="M211" s="1">
        <v>44859</v>
      </c>
      <c r="N211" s="2">
        <f>HYPERLINK("https://www.greenbondtransparency.com/bond-info/?handle=e64ffa5c0591438394d37c2907df6fd9","PEP11100M351")</f>
      </c>
      <c r="O211" s="2" t="s">
        <v>24</v>
      </c>
      <c r="P211" s="2">
        <f>HYPERLINK("https://www.greenbondtransparency.com/download-document/?entity=Framework&amp;handle=830cb84d78304b5ca38d002488709460","Marco del Bono Sostenible")</f>
      </c>
    </row>
    <row r="212" spans="1:16" x14ac:dyDescent="0.25">
      <c r="A212" t="s">
        <v>16</v>
      </c>
      <c r="B212" t="s">
        <v>572</v>
      </c>
      <c r="C212" t="s">
        <v>573</v>
      </c>
      <c r="D212" t="s">
        <v>27</v>
      </c>
      <c r="E212" t="s">
        <v>59</v>
      </c>
      <c r="F212" t="s">
        <v>20</v>
      </c>
      <c r="G212" t="s">
        <v>438</v>
      </c>
      <c r="H212" t="s">
        <v>44</v>
      </c>
      <c r="I212" t="s">
        <v>23</v>
      </c>
      <c r="J212">
        <v>60000000</v>
      </c>
      <c r="K212">
        <v>60000000</v>
      </c>
      <c r="L212" s="1">
        <v>44993</v>
      </c>
      <c r="M212" s="1">
        <v>48281</v>
      </c>
      <c r="N212" s="2">
        <f>HYPERLINK("https://www.greenbondtransparency.com/bond-info/?handle=e6bb16f3d1e04ba789445370e5e99dc0","ARENEY560035")</f>
      </c>
      <c r="O212" s="2" t="s">
        <v>24</v>
      </c>
      <c r="P212" s="2" t="s">
        <v>24</v>
      </c>
    </row>
    <row r="213" spans="1:16" x14ac:dyDescent="0.25">
      <c r="A213" t="s">
        <v>16</v>
      </c>
      <c r="B213" t="s">
        <v>574</v>
      </c>
      <c r="C213" t="s">
        <v>575</v>
      </c>
      <c r="E213" t="s">
        <v>73</v>
      </c>
      <c r="F213" t="s">
        <v>20</v>
      </c>
      <c r="G213" t="s">
        <v>576</v>
      </c>
      <c r="H213" t="s">
        <v>44</v>
      </c>
      <c r="I213" t="s">
        <v>23</v>
      </c>
      <c r="J213">
        <v>705000000</v>
      </c>
      <c r="K213">
        <v>705000000</v>
      </c>
      <c r="L213" s="1">
        <v>44075</v>
      </c>
      <c r="M213" s="1">
        <v>48458</v>
      </c>
      <c r="N213" s="2">
        <f>HYPERLINK("https://www.greenbondtransparency.com/bond-info/?handle=e7a60b9c1e1547e78842af5b5db91a2f","US191241AJ70")</f>
      </c>
      <c r="O213" s="2" t="s">
        <v>24</v>
      </c>
      <c r="P213" s="2">
        <f>HYPERLINK("https://www.greenbondtransparency.com/download-document/?entity=Framework&amp;handle=766cfab46e8a4f4c9ad6466bfd582707","Coca-Cola FEMSA Green Bond Framework")</f>
      </c>
    </row>
    <row r="214" spans="1:16" x14ac:dyDescent="0.25">
      <c r="A214" t="s">
        <v>16</v>
      </c>
      <c r="B214" t="s">
        <v>577</v>
      </c>
      <c r="C214" t="s">
        <v>578</v>
      </c>
      <c r="E214" t="s">
        <v>34</v>
      </c>
      <c r="F214" t="s">
        <v>20</v>
      </c>
      <c r="G214" t="s">
        <v>579</v>
      </c>
      <c r="H214" t="s">
        <v>44</v>
      </c>
      <c r="I214" t="s">
        <v>49</v>
      </c>
      <c r="J214">
        <v>1200000000</v>
      </c>
      <c r="K214">
        <v>227703984</v>
      </c>
      <c r="L214" s="1">
        <v>44211</v>
      </c>
      <c r="M214" s="1">
        <v>48197</v>
      </c>
      <c r="N214" s="2">
        <f>HYPERLINK("https://www.greenbondtransparency.com/bond-info/?handle=e803ccf87ecb45d7a8e5c36f97782157","BRMGPRDBS068")</f>
      </c>
      <c r="O214" s="2" t="s">
        <v>24</v>
      </c>
      <c r="P214" s="2" t="s">
        <v>24</v>
      </c>
    </row>
    <row r="215" spans="1:16" x14ac:dyDescent="0.25">
      <c r="A215" t="s">
        <v>16</v>
      </c>
      <c r="B215" t="s">
        <v>580</v>
      </c>
      <c r="C215" t="s">
        <v>581</v>
      </c>
      <c r="D215" t="s">
        <v>72</v>
      </c>
      <c r="E215" t="s">
        <v>64</v>
      </c>
      <c r="F215" t="s">
        <v>20</v>
      </c>
      <c r="G215" t="s">
        <v>65</v>
      </c>
      <c r="H215" t="s">
        <v>66</v>
      </c>
      <c r="I215" t="s">
        <v>23</v>
      </c>
      <c r="J215">
        <v>1500000000</v>
      </c>
      <c r="K215">
        <v>1500000000</v>
      </c>
      <c r="L215" s="1">
        <v>44592</v>
      </c>
      <c r="M215" s="1">
        <v>46418</v>
      </c>
      <c r="N215" s="2">
        <f>HYPERLINK("https://www.greenbondtransparency.com/bond-info/?handle=e91e942fa37544299f136f2cedcd069e","US168863DX33")</f>
      </c>
      <c r="O215" s="2">
        <f>HYPERLINK("https://www.greenbondtransparency.com/bond-info/?handle=fd47a3cbf44c4c7bb9c69c5ad3fcc8e0","CBI_Chile")</f>
      </c>
      <c r="P215" s="2">
        <f>HYPERLINK("https://www.greenbondtransparency.com/download-document/?entity=Framework&amp;handle=b25746bc73674469a979cd1218fc9355","Chile's Sustainable Bond Framework")</f>
      </c>
    </row>
    <row r="216" spans="1:16" x14ac:dyDescent="0.25">
      <c r="A216" t="s">
        <v>16</v>
      </c>
      <c r="B216" t="s">
        <v>582</v>
      </c>
      <c r="C216" t="s">
        <v>583</v>
      </c>
      <c r="D216" t="s">
        <v>27</v>
      </c>
      <c r="E216" t="s">
        <v>34</v>
      </c>
      <c r="F216" t="s">
        <v>20</v>
      </c>
      <c r="G216" t="s">
        <v>48</v>
      </c>
      <c r="H216" t="s">
        <v>22</v>
      </c>
      <c r="I216" t="s">
        <v>49</v>
      </c>
      <c r="J216">
        <v>83150000</v>
      </c>
      <c r="K216">
        <v>16530815</v>
      </c>
      <c r="L216" s="1">
        <v>44365</v>
      </c>
      <c r="M216" s="1">
        <v>45474</v>
      </c>
      <c r="N216" s="2">
        <f>HYPERLINK("https://www.greenbondtransparency.com/bond-info/?handle=e9262b027b574458921d2b6cbacdfd08","BRBEVELFNAW2")</f>
      </c>
      <c r="O216" s="2" t="s">
        <v>24</v>
      </c>
      <c r="P216" s="2" t="s">
        <v>24</v>
      </c>
    </row>
    <row r="217" spans="1:16" x14ac:dyDescent="0.25">
      <c r="A217" t="s">
        <v>16</v>
      </c>
      <c r="B217" t="s">
        <v>584</v>
      </c>
      <c r="C217" t="s">
        <v>585</v>
      </c>
      <c r="E217" t="s">
        <v>34</v>
      </c>
      <c r="F217" t="s">
        <v>20</v>
      </c>
      <c r="G217" t="s">
        <v>157</v>
      </c>
      <c r="H217" t="s">
        <v>44</v>
      </c>
      <c r="I217" t="s">
        <v>49</v>
      </c>
      <c r="J217">
        <v>335000000</v>
      </c>
      <c r="K217">
        <v>62350602</v>
      </c>
      <c r="L217" s="1">
        <v>44242</v>
      </c>
      <c r="M217" s="1">
        <v>47894</v>
      </c>
      <c r="N217" s="2">
        <f>HYPERLINK("https://www.greenbondtransparency.com/bond-info/?handle=e966bfa760da47229e612d1814fcd544","BRRSANDBS055")</f>
      </c>
      <c r="O217" s="2" t="s">
        <v>24</v>
      </c>
      <c r="P217" s="2" t="s">
        <v>24</v>
      </c>
    </row>
    <row r="218" spans="1:16" x14ac:dyDescent="0.25">
      <c r="A218" t="s">
        <v>16</v>
      </c>
      <c r="B218" t="s">
        <v>586</v>
      </c>
      <c r="C218" t="s">
        <v>587</v>
      </c>
      <c r="D218" t="s">
        <v>27</v>
      </c>
      <c r="E218" t="s">
        <v>53</v>
      </c>
      <c r="F218" t="s">
        <v>54</v>
      </c>
      <c r="G218" t="s">
        <v>55</v>
      </c>
      <c r="H218" t="s">
        <v>30</v>
      </c>
      <c r="I218" t="s">
        <v>235</v>
      </c>
      <c r="J218">
        <v>25000000</v>
      </c>
      <c r="K218">
        <v>24725000</v>
      </c>
      <c r="L218" s="1">
        <v>44869</v>
      </c>
      <c r="M218" s="1">
        <v>50360</v>
      </c>
      <c r="N218" s="2">
        <f>HYPERLINK("https://www.greenbondtransparency.com/bond-info/?handle=e9a0f59f69594dab8b3a2da1c11b7d70","XS2553215521")</f>
      </c>
      <c r="O218" s="2" t="s">
        <v>24</v>
      </c>
      <c r="P218" s="2">
        <f>HYPERLINK("https://www.greenbondtransparency.com/download-document/?entity=Framework&amp;handle=54743cb2f07c4d9f923a5c04c2547bb4","CABEI´s Green Bond Framework")</f>
      </c>
    </row>
    <row r="219" spans="1:16" x14ac:dyDescent="0.25">
      <c r="A219" t="s">
        <v>16</v>
      </c>
      <c r="B219" t="s">
        <v>588</v>
      </c>
      <c r="C219" t="s">
        <v>589</v>
      </c>
      <c r="D219" t="s">
        <v>72</v>
      </c>
      <c r="E219" t="s">
        <v>129</v>
      </c>
      <c r="F219" t="s">
        <v>20</v>
      </c>
      <c r="G219" t="s">
        <v>517</v>
      </c>
      <c r="H219" t="s">
        <v>30</v>
      </c>
      <c r="I219" t="s">
        <v>131</v>
      </c>
      <c r="J219">
        <v>132827000000</v>
      </c>
      <c r="K219">
        <v>40414345</v>
      </c>
      <c r="L219" s="1">
        <v>43634</v>
      </c>
      <c r="M219" s="1">
        <v>45461</v>
      </c>
      <c r="N219" s="2">
        <f>HYPERLINK("https://www.greenbondtransparency.com/bond-info/?handle=ed59ee0d7fc44227976ce655ff761e54","COL06CB00034")</f>
      </c>
      <c r="O219" s="2">
        <f>HYPERLINK("https://www.greenbondtransparency.com/bond-info/?handle=8de35726c38f47e0be910337fedb0a9a","BonoFindeter")</f>
      </c>
      <c r="P219" s="2">
        <f>HYPERLINK("https://www.greenbondtransparency.com/download-document/?entity=Framework&amp;handle=588f4584351c4b9ea59518b315bbf51d","Bono de Sostenibilidad de Findeter")</f>
      </c>
    </row>
    <row r="220" spans="1:16" x14ac:dyDescent="0.25">
      <c r="A220" t="s">
        <v>16</v>
      </c>
      <c r="B220" t="s">
        <v>590</v>
      </c>
      <c r="C220" t="s">
        <v>591</v>
      </c>
      <c r="E220" t="s">
        <v>34</v>
      </c>
      <c r="F220" t="s">
        <v>20</v>
      </c>
      <c r="G220" t="s">
        <v>196</v>
      </c>
      <c r="H220" t="s">
        <v>44</v>
      </c>
      <c r="I220" t="s">
        <v>23</v>
      </c>
      <c r="J220">
        <v>700000000</v>
      </c>
      <c r="K220">
        <v>700000000</v>
      </c>
      <c r="L220" s="1">
        <v>42565</v>
      </c>
      <c r="M220" s="1">
        <v>46217</v>
      </c>
      <c r="N220" s="2">
        <f>HYPERLINK("https://www.greenbondtransparency.com/bond-info/?handle=ee7a68239dbe4664adad596c19403c93","US05674XAA90")</f>
      </c>
      <c r="O220" s="2" t="s">
        <v>24</v>
      </c>
      <c r="P220" s="2" t="s">
        <v>24</v>
      </c>
    </row>
    <row r="221" spans="1:16" x14ac:dyDescent="0.25">
      <c r="A221" t="s">
        <v>16</v>
      </c>
      <c r="B221" t="s">
        <v>592</v>
      </c>
      <c r="C221" t="s">
        <v>593</v>
      </c>
      <c r="D221" t="s">
        <v>72</v>
      </c>
      <c r="E221" t="s">
        <v>594</v>
      </c>
      <c r="F221" t="s">
        <v>20</v>
      </c>
      <c r="G221" t="s">
        <v>595</v>
      </c>
      <c r="H221" t="s">
        <v>22</v>
      </c>
      <c r="I221" t="s">
        <v>23</v>
      </c>
      <c r="J221">
        <v>300000000</v>
      </c>
      <c r="K221">
        <v>300000000</v>
      </c>
      <c r="L221" s="1">
        <v>44175</v>
      </c>
      <c r="M221" s="1">
        <v>46001</v>
      </c>
      <c r="N221" s="2">
        <f>HYPERLINK("https://www.greenbondtransparency.com/bond-info/?handle=ef2fe8d0cf9f4c9b9cd7bec81089a3e3","USP09110AB65")</f>
      </c>
      <c r="O221" s="2" t="s">
        <v>24</v>
      </c>
      <c r="P221" s="2">
        <f>HYPERLINK("https://www.greenbondtransparency.com/download-document/?entity=Framework&amp;handle=ee40d1f5b8cf43d5a5e7373fcead8db7","Sustainability Bond Framework")</f>
      </c>
    </row>
    <row r="222" spans="1:16" x14ac:dyDescent="0.25">
      <c r="A222" t="s">
        <v>16</v>
      </c>
      <c r="B222" t="s">
        <v>596</v>
      </c>
      <c r="C222" t="s">
        <v>597</v>
      </c>
      <c r="E222" t="s">
        <v>19</v>
      </c>
      <c r="F222" t="s">
        <v>20</v>
      </c>
      <c r="G222" t="s">
        <v>21</v>
      </c>
      <c r="H222" t="s">
        <v>22</v>
      </c>
      <c r="I222" t="s">
        <v>23</v>
      </c>
      <c r="J222">
        <v>1000000</v>
      </c>
      <c r="K222">
        <v>1000000</v>
      </c>
      <c r="L222" s="1">
        <v>44181</v>
      </c>
      <c r="M222" s="1">
        <v>44729</v>
      </c>
      <c r="N222" s="2">
        <f>HYPERLINK("https://www.greenbondtransparency.com/bond-info/?handle=efccb817483a461688c4cc612e645b68","PAL3009913K1")</f>
      </c>
      <c r="O222" s="2">
        <f>HYPERLINK("https://www.greenbondtransparency.com/bond-info/?handle=c8db70a600e4496aa0bdff98338e72ee","CIFI_GB")</f>
      </c>
      <c r="P222" s="2" t="s">
        <v>24</v>
      </c>
    </row>
    <row r="223" spans="1:16" x14ac:dyDescent="0.25">
      <c r="A223" t="s">
        <v>16</v>
      </c>
      <c r="B223" t="s">
        <v>598</v>
      </c>
      <c r="C223" t="s">
        <v>599</v>
      </c>
      <c r="D223" t="s">
        <v>27</v>
      </c>
      <c r="E223" t="s">
        <v>59</v>
      </c>
      <c r="F223" t="s">
        <v>20</v>
      </c>
      <c r="G223" t="s">
        <v>600</v>
      </c>
      <c r="H223" t="s">
        <v>88</v>
      </c>
      <c r="I223" t="s">
        <v>61</v>
      </c>
      <c r="J223">
        <v>2000000000</v>
      </c>
      <c r="K223">
        <v>12845355</v>
      </c>
      <c r="L223" s="1">
        <v>44861</v>
      </c>
      <c r="M223" s="1">
        <v>45957</v>
      </c>
      <c r="N223" s="2">
        <f>HYPERLINK("https://www.greenbondtransparency.com/bond-info/?handle=f0bc9a72c6c845c69b76bdc585cf07da","ARMUCO320161")</f>
      </c>
      <c r="O223" s="2" t="s">
        <v>24</v>
      </c>
      <c r="P223" s="2" t="s">
        <v>24</v>
      </c>
    </row>
    <row r="224" spans="1:16" x14ac:dyDescent="0.25">
      <c r="A224" t="s">
        <v>16</v>
      </c>
      <c r="B224" t="s">
        <v>601</v>
      </c>
      <c r="C224" t="s">
        <v>602</v>
      </c>
      <c r="E224" t="s">
        <v>34</v>
      </c>
      <c r="F224" t="s">
        <v>20</v>
      </c>
      <c r="G224" t="s">
        <v>603</v>
      </c>
      <c r="H224" t="s">
        <v>44</v>
      </c>
      <c r="I224" t="s">
        <v>49</v>
      </c>
      <c r="J224">
        <v>410000000</v>
      </c>
      <c r="K224">
        <v>76235101</v>
      </c>
      <c r="L224" s="1">
        <v>44155</v>
      </c>
      <c r="M224" s="1">
        <v>50729</v>
      </c>
      <c r="N224" s="2">
        <f>HYPERLINK("https://www.greenbondtransparency.com/bond-info/?handle=f0dceb4939764cf79116320d82d6536c","LTTE15")</f>
      </c>
      <c r="O224" s="2" t="s">
        <v>24</v>
      </c>
      <c r="P224" s="2" t="s">
        <v>24</v>
      </c>
    </row>
    <row r="225" spans="1:16" x14ac:dyDescent="0.25">
      <c r="A225" t="s">
        <v>16</v>
      </c>
      <c r="B225" t="s">
        <v>604</v>
      </c>
      <c r="C225" t="s">
        <v>605</v>
      </c>
      <c r="E225" t="s">
        <v>19</v>
      </c>
      <c r="F225" t="s">
        <v>20</v>
      </c>
      <c r="G225" t="s">
        <v>21</v>
      </c>
      <c r="H225" t="s">
        <v>22</v>
      </c>
      <c r="I225" t="s">
        <v>23</v>
      </c>
      <c r="J225">
        <v>7000000</v>
      </c>
      <c r="K225">
        <v>7000000</v>
      </c>
      <c r="L225" s="1">
        <v>43815</v>
      </c>
      <c r="M225" s="1">
        <v>45644</v>
      </c>
      <c r="N225" s="2">
        <f>HYPERLINK("https://www.greenbondtransparency.com/bond-info/?handle=f1985f32b06e470d94a2449373c82379","PAL3009913D6")</f>
      </c>
      <c r="O225" s="2">
        <f>HYPERLINK("https://www.greenbondtransparency.com/bond-info/?handle=c8db70a600e4496aa0bdff98338e72ee","CIFI_GB")</f>
      </c>
      <c r="P225" s="2" t="s">
        <v>24</v>
      </c>
    </row>
    <row r="226" spans="1:16" x14ac:dyDescent="0.25">
      <c r="A226" t="s">
        <v>16</v>
      </c>
      <c r="B226" t="s">
        <v>606</v>
      </c>
      <c r="C226" t="s">
        <v>607</v>
      </c>
      <c r="E226" t="s">
        <v>19</v>
      </c>
      <c r="F226" t="s">
        <v>20</v>
      </c>
      <c r="G226" t="s">
        <v>21</v>
      </c>
      <c r="H226" t="s">
        <v>22</v>
      </c>
      <c r="I226" t="s">
        <v>23</v>
      </c>
      <c r="J226">
        <v>1000000</v>
      </c>
      <c r="K226">
        <v>1000000</v>
      </c>
      <c r="L226" s="1">
        <v>44072</v>
      </c>
      <c r="M226" s="1">
        <v>44524</v>
      </c>
      <c r="N226" s="2">
        <f>HYPERLINK("https://www.greenbondtransparency.com/bond-info/?handle=f1d14902b93342ed933751f295a5a0ab","PAL3009913H7")</f>
      </c>
      <c r="O226" s="2">
        <f>HYPERLINK("https://www.greenbondtransparency.com/bond-info/?handle=c8db70a600e4496aa0bdff98338e72ee","CIFI_GB")</f>
      </c>
      <c r="P226" s="2" t="s">
        <v>24</v>
      </c>
    </row>
    <row r="227" spans="1:16" x14ac:dyDescent="0.25">
      <c r="A227" t="s">
        <v>16</v>
      </c>
      <c r="B227" t="s">
        <v>608</v>
      </c>
      <c r="C227" t="s">
        <v>609</v>
      </c>
      <c r="D227" t="s">
        <v>27</v>
      </c>
      <c r="E227" t="s">
        <v>34</v>
      </c>
      <c r="F227" t="s">
        <v>20</v>
      </c>
      <c r="G227" t="s">
        <v>171</v>
      </c>
      <c r="H227" t="s">
        <v>44</v>
      </c>
      <c r="I227" t="s">
        <v>49</v>
      </c>
      <c r="J227">
        <v>950000000</v>
      </c>
      <c r="K227">
        <v>182800000</v>
      </c>
      <c r="L227" s="1">
        <v>44484</v>
      </c>
      <c r="M227" s="1">
        <v>51058</v>
      </c>
      <c r="N227" s="2">
        <f>HYPERLINK("https://www.greenbondtransparency.com/bond-info/?handle=f1d6d989d8ea4e09b00dcd41200c9e35","BRTRPLDBS0G4")</f>
      </c>
      <c r="O227" s="2" t="s">
        <v>24</v>
      </c>
      <c r="P227" s="2">
        <f>HYPERLINK("https://www.greenbondtransparency.com/download-document/?entity=Framework&amp;handle=e791ce8ea3eb4c6897df799280b78881","Framework ISA CTEEP")</f>
      </c>
    </row>
    <row r="228" spans="1:16" x14ac:dyDescent="0.25">
      <c r="A228" t="s">
        <v>16</v>
      </c>
      <c r="B228" t="s">
        <v>610</v>
      </c>
      <c r="C228" t="s">
        <v>611</v>
      </c>
      <c r="E228" t="s">
        <v>34</v>
      </c>
      <c r="F228" t="s">
        <v>20</v>
      </c>
      <c r="G228" t="s">
        <v>612</v>
      </c>
      <c r="H228" t="s">
        <v>44</v>
      </c>
      <c r="I228" t="s">
        <v>49</v>
      </c>
      <c r="J228">
        <v>185000000</v>
      </c>
      <c r="K228">
        <v>35191173</v>
      </c>
      <c r="L228" s="1">
        <v>44454</v>
      </c>
      <c r="M228" s="1">
        <v>47376</v>
      </c>
      <c r="N228" s="2">
        <f>HYPERLINK("https://www.greenbondtransparency.com/bond-info/?handle=f21e0d60edce484e9ebf4c459d4e16a3","BRCTGEDBS010")</f>
      </c>
      <c r="O228" s="2" t="s">
        <v>24</v>
      </c>
      <c r="P228" s="2">
        <f>HYPERLINK("https://www.greenbondtransparency.com/download-document/?entity=Framework&amp;handle=62947748118b4a87bfa9d3d52dfb49f1","Green Bond Framework")</f>
      </c>
    </row>
    <row r="229" spans="1:16" x14ac:dyDescent="0.25">
      <c r="A229" t="s">
        <v>279</v>
      </c>
      <c r="B229" t="s">
        <v>613</v>
      </c>
      <c r="C229" t="s">
        <v>614</v>
      </c>
      <c r="D229" t="s">
        <v>27</v>
      </c>
      <c r="E229" t="s">
        <v>59</v>
      </c>
      <c r="F229" t="s">
        <v>20</v>
      </c>
      <c r="G229" t="s">
        <v>272</v>
      </c>
      <c r="H229" t="s">
        <v>44</v>
      </c>
      <c r="I229" t="s">
        <v>23</v>
      </c>
      <c r="J229">
        <v>48971674</v>
      </c>
      <c r="K229">
        <v>48971674</v>
      </c>
      <c r="L229" s="1">
        <v>44418</v>
      </c>
      <c r="M229" s="1">
        <v>45148</v>
      </c>
      <c r="N229" s="2">
        <f>HYPERLINK("https://www.greenbondtransparency.com/bond-info/?handle=f3475e2874264a62a2a2804c493ed2e5","BBG0123NW8B5")</f>
      </c>
      <c r="O229" s="2" t="s">
        <v>24</v>
      </c>
      <c r="P229" s="2">
        <f>HYPERLINK("https://www.greenbondtransparency.com/download-document/?entity=Framework&amp;handle=0861b552d06e4b9799ebc7a3b1aa7e2a","Genneia Green Bond Framework")</f>
      </c>
    </row>
    <row r="230" spans="1:16" x14ac:dyDescent="0.25">
      <c r="A230" t="s">
        <v>1</v>
      </c>
      <c r="B230" t="s">
        <v>615</v>
      </c>
      <c r="C230" t="s">
        <v>616</v>
      </c>
      <c r="E230" t="s">
        <v>34</v>
      </c>
      <c r="F230" t="s">
        <v>20</v>
      </c>
      <c r="G230" t="s">
        <v>144</v>
      </c>
      <c r="H230" t="s">
        <v>44</v>
      </c>
      <c r="I230" t="s">
        <v>49</v>
      </c>
      <c r="J230">
        <v>82850000</v>
      </c>
      <c r="K230">
        <v>15906000</v>
      </c>
      <c r="L230" s="1">
        <v>44427</v>
      </c>
      <c r="M230" s="1">
        <v>49552</v>
      </c>
      <c r="N230" s="2">
        <f>HYPERLINK("https://www.greenbondtransparency.com/bond-info/?handle=f495dc7708c7482192c314338682e805","CRI_ATHON1")</f>
      </c>
      <c r="O230" s="2" t="s">
        <v>24</v>
      </c>
      <c r="P230" s="2">
        <f>HYPERLINK("https://www.greenbondtransparency.com/download-document/?entity=Framework&amp;handle=d583c1a1b1f2463ebec5379b3985a990","Climate Bond Framework of Athon in 2021")</f>
      </c>
    </row>
    <row r="231" spans="1:16" x14ac:dyDescent="0.25">
      <c r="A231" t="s">
        <v>16</v>
      </c>
      <c r="B231" t="s">
        <v>617</v>
      </c>
      <c r="C231" t="s">
        <v>618</v>
      </c>
      <c r="D231" t="s">
        <v>27</v>
      </c>
      <c r="E231" t="s">
        <v>59</v>
      </c>
      <c r="F231" t="s">
        <v>20</v>
      </c>
      <c r="G231" t="s">
        <v>272</v>
      </c>
      <c r="H231" t="s">
        <v>44</v>
      </c>
      <c r="I231" t="s">
        <v>23</v>
      </c>
      <c r="J231">
        <v>73432000</v>
      </c>
      <c r="K231">
        <v>73432000</v>
      </c>
      <c r="L231" s="1">
        <v>44967</v>
      </c>
      <c r="M231" s="1">
        <v>48620</v>
      </c>
      <c r="N231" s="2">
        <f>HYPERLINK("https://www.greenbondtransparency.com/bond-info/?handle=f566f05a4aae4b2485cb8306fd41679c","AREMGA5600Q9")</f>
      </c>
      <c r="O231" s="2" t="s">
        <v>24</v>
      </c>
      <c r="P231" s="2">
        <f>HYPERLINK("https://www.greenbondtransparency.com/download-document/?entity=Framework&amp;handle=0861b552d06e4b9799ebc7a3b1aa7e2a","Genneia Green Bond Framework")</f>
      </c>
    </row>
    <row r="232" spans="1:16" x14ac:dyDescent="0.25">
      <c r="A232" t="s">
        <v>16</v>
      </c>
      <c r="B232" t="s">
        <v>619</v>
      </c>
      <c r="C232" t="s">
        <v>620</v>
      </c>
      <c r="E232" t="s">
        <v>34</v>
      </c>
      <c r="F232" t="s">
        <v>20</v>
      </c>
      <c r="G232" t="s">
        <v>126</v>
      </c>
      <c r="H232" t="s">
        <v>44</v>
      </c>
      <c r="I232" t="s">
        <v>49</v>
      </c>
      <c r="J232">
        <v>492884000</v>
      </c>
      <c r="K232">
        <v>100163388</v>
      </c>
      <c r="L232" s="1">
        <v>44614</v>
      </c>
      <c r="M232" s="1">
        <v>50055</v>
      </c>
      <c r="N232" s="2">
        <f>HYPERLINK("https://www.greenbondtransparency.com/bond-info/?handle=f5ae13b56104475c94e09bc5a1fbbcd7","BRSMTODBS021")</f>
      </c>
      <c r="O232" s="2" t="s">
        <v>24</v>
      </c>
      <c r="P232" s="2" t="s">
        <v>24</v>
      </c>
    </row>
    <row r="233" spans="1:16" x14ac:dyDescent="0.25">
      <c r="A233" t="s">
        <v>16</v>
      </c>
      <c r="B233" t="s">
        <v>621</v>
      </c>
      <c r="C233" t="s">
        <v>622</v>
      </c>
      <c r="D233" t="s">
        <v>27</v>
      </c>
      <c r="E233" t="s">
        <v>34</v>
      </c>
      <c r="F233" t="s">
        <v>20</v>
      </c>
      <c r="G233" t="s">
        <v>163</v>
      </c>
      <c r="H233" t="s">
        <v>44</v>
      </c>
      <c r="I233" t="s">
        <v>49</v>
      </c>
      <c r="J233">
        <v>420000000</v>
      </c>
      <c r="K233">
        <v>87589414</v>
      </c>
      <c r="L233" s="1">
        <v>45121</v>
      </c>
      <c r="M233" s="1">
        <v>49649</v>
      </c>
      <c r="N233" s="2">
        <f>HYPERLINK("https://www.greenbondtransparency.com/bond-info/?handle=f6100a0c2fc5436a959efff44d32d2c9","BR0FWRCTF044")</f>
      </c>
      <c r="O233" s="2" t="s">
        <v>24</v>
      </c>
      <c r="P233" s="2" t="s">
        <v>24</v>
      </c>
    </row>
    <row r="234" spans="1:16" x14ac:dyDescent="0.25">
      <c r="A234" t="s">
        <v>16</v>
      </c>
      <c r="B234" t="s">
        <v>623</v>
      </c>
      <c r="C234" t="s">
        <v>624</v>
      </c>
      <c r="D234" t="s">
        <v>27</v>
      </c>
      <c r="E234" t="s">
        <v>34</v>
      </c>
      <c r="F234" t="s">
        <v>20</v>
      </c>
      <c r="G234" t="s">
        <v>625</v>
      </c>
      <c r="H234" t="s">
        <v>44</v>
      </c>
      <c r="I234" t="s">
        <v>49</v>
      </c>
      <c r="J234">
        <v>100000000</v>
      </c>
      <c r="K234">
        <v>17500000</v>
      </c>
      <c r="L234" s="1">
        <v>44516</v>
      </c>
      <c r="M234" s="1">
        <v>45999</v>
      </c>
      <c r="N234" s="2">
        <f>HYPERLINK("https://www.greenbondtransparency.com/bond-info/?handle=f9632afcb3694a64802fe137e6f54c15","BRPVSCCRA013")</f>
      </c>
      <c r="O234" s="2" t="s">
        <v>24</v>
      </c>
      <c r="P234" s="2" t="s">
        <v>24</v>
      </c>
    </row>
    <row r="235" spans="1:16" x14ac:dyDescent="0.25">
      <c r="A235" t="s">
        <v>16</v>
      </c>
      <c r="B235" t="s">
        <v>626</v>
      </c>
      <c r="C235" t="s">
        <v>627</v>
      </c>
      <c r="D235" t="s">
        <v>27</v>
      </c>
      <c r="E235" t="s">
        <v>34</v>
      </c>
      <c r="F235" t="s">
        <v>20</v>
      </c>
      <c r="G235" t="s">
        <v>163</v>
      </c>
      <c r="H235" t="s">
        <v>44</v>
      </c>
      <c r="I235" t="s">
        <v>49</v>
      </c>
      <c r="J235">
        <v>60000000</v>
      </c>
      <c r="K235">
        <v>11700000</v>
      </c>
      <c r="L235" s="1">
        <v>44610</v>
      </c>
      <c r="M235" s="1">
        <v>48628</v>
      </c>
      <c r="N235" s="2">
        <f>HYPERLINK("https://www.greenbondtransparency.com/bond-info/?handle=fcd1f68501024459925b0f72399a50e6","BRAMSCDBS018")</f>
      </c>
      <c r="O235" s="2" t="s">
        <v>24</v>
      </c>
      <c r="P235" s="2" t="s">
        <v>24</v>
      </c>
    </row>
    <row r="236" spans="1:16" x14ac:dyDescent="0.25">
      <c r="A236" t="s">
        <v>16</v>
      </c>
      <c r="B236" t="s">
        <v>628</v>
      </c>
      <c r="C236" t="s">
        <v>629</v>
      </c>
      <c r="E236" t="s">
        <v>34</v>
      </c>
      <c r="F236" t="s">
        <v>20</v>
      </c>
      <c r="G236" t="s">
        <v>118</v>
      </c>
      <c r="H236" t="s">
        <v>44</v>
      </c>
      <c r="I236" t="s">
        <v>49</v>
      </c>
      <c r="J236">
        <v>16000000</v>
      </c>
      <c r="K236">
        <v>2884442</v>
      </c>
      <c r="L236" s="1">
        <v>44518</v>
      </c>
      <c r="M236" s="1">
        <v>46343</v>
      </c>
      <c r="N236" s="2">
        <f>HYPERLINK("https://www.greenbondtransparency.com/bond-info/?handle=fe0a421accf44c3d96fa8f387676d503","BROCTSCRA3B3")</f>
      </c>
      <c r="O236" s="2" t="s">
        <v>24</v>
      </c>
      <c r="P236" s="2">
        <f>HYPERLINK("https://www.greenbondtransparency.com/download-document/?entity=Framework&amp;handle=06916bad6f3d4631a2127d3f46ff766d","FS Green Bond Framework - July 2021")</f>
      </c>
    </row>
    <row r="237" spans="1:16" x14ac:dyDescent="0.25">
      <c r="A237" t="s">
        <v>16</v>
      </c>
      <c r="B237" t="s">
        <v>630</v>
      </c>
      <c r="C237" t="s">
        <v>631</v>
      </c>
      <c r="D237" t="s">
        <v>27</v>
      </c>
      <c r="E237" t="s">
        <v>73</v>
      </c>
      <c r="F237" t="s">
        <v>20</v>
      </c>
      <c r="G237" t="s">
        <v>87</v>
      </c>
      <c r="H237" t="s">
        <v>88</v>
      </c>
      <c r="I237" t="s">
        <v>75</v>
      </c>
      <c r="J237">
        <v>1000000000</v>
      </c>
      <c r="K237">
        <v>49269093</v>
      </c>
      <c r="L237" s="1">
        <v>42711</v>
      </c>
      <c r="M237" s="1">
        <v>44537</v>
      </c>
      <c r="N237" s="2">
        <f>HYPERLINK("https://www.greenbondtransparency.com/bond-info/?handle=fe8a86a4318f49fb850f1dfa256f263b","MX90GC040000")</f>
      </c>
      <c r="O237" s="2" t="s">
        <v>24</v>
      </c>
      <c r="P237" s="2">
        <f>HYPERLINK("https://www.greenbondtransparency.com/download-document/?entity=Framework&amp;handle=32a1a5a27135419ca0571c622c7d8237","Marco de Referencia del Bono Verde de la Ciudad de México 2016")</f>
      </c>
    </row>
    <row r="238" spans="1:16" x14ac:dyDescent="0.25">
      <c r="A238" t="s">
        <v>16</v>
      </c>
      <c r="B238" t="s">
        <v>632</v>
      </c>
      <c r="C238" t="s">
        <v>633</v>
      </c>
      <c r="E238" t="s">
        <v>78</v>
      </c>
      <c r="F238" t="s">
        <v>20</v>
      </c>
      <c r="G238" t="s">
        <v>634</v>
      </c>
      <c r="H238" t="s">
        <v>44</v>
      </c>
      <c r="I238" t="s">
        <v>418</v>
      </c>
      <c r="J238">
        <v>14443000000</v>
      </c>
      <c r="K238">
        <v>22444096</v>
      </c>
      <c r="L238" s="1">
        <v>44508</v>
      </c>
      <c r="M238" s="1">
        <v>46989</v>
      </c>
      <c r="N238" s="2">
        <f>HYPERLINK("https://www.greenbondtransparency.com/bond-info/?handle=ff0274d7d0c14d4abbc9bfd497c65e5f","CRICE00B0226")</f>
      </c>
      <c r="O238" s="2" t="s">
        <v>24</v>
      </c>
      <c r="P238" s="2">
        <f>HYPERLINK("https://www.greenbondtransparency.com/download-document/?entity=Framework&amp;handle=540e3b9e7ad24ec29091bc6c98dbbc0a","Marco de Gestión de Bono Verde")</f>
      </c>
    </row>
    <row r="239" spans="1:16" x14ac:dyDescent="0.25">
      <c r="A239" t="s">
        <v>16</v>
      </c>
      <c r="B239" t="s">
        <v>635</v>
      </c>
      <c r="C239" t="s">
        <v>636</v>
      </c>
      <c r="D239" t="s">
        <v>27</v>
      </c>
      <c r="E239" t="s">
        <v>73</v>
      </c>
      <c r="F239" t="s">
        <v>20</v>
      </c>
      <c r="G239" t="s">
        <v>637</v>
      </c>
      <c r="H239" t="s">
        <v>44</v>
      </c>
      <c r="I239" t="s">
        <v>75</v>
      </c>
      <c r="J239">
        <v>502100000</v>
      </c>
      <c r="K239">
        <v>25281139</v>
      </c>
      <c r="L239" s="1">
        <v>44180</v>
      </c>
      <c r="M239" s="1">
        <v>46731</v>
      </c>
      <c r="N239" s="2">
        <f>HYPERLINK("https://www.greenbondtransparency.com/bond-info/?handle=fff649d8ad8e44c8b95865b97246f16f","MX91CA130053")</f>
      </c>
      <c r="O239" s="2" t="s">
        <v>24</v>
      </c>
      <c r="P239" s="2">
        <f>HYPERLINK("https://www.greenbondtransparency.com/download-document/?entity=Framework&amp;handle=38a2706058d5487d82e4af8bb087ae84","CADU GREEN BOND FRAMEWORK")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2025-08-19T08:56:01Z</dcterms:created>
  <dcterms:modified xsi:type="dcterms:W3CDTF">2025-08-19T08:56:01Z</dcterms:modified>
</cp:coreProperties>
</file>