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1cf48d30a961fd/Desktop/INMT5518/Case Study 2/"/>
    </mc:Choice>
  </mc:AlternateContent>
  <xr:revisionPtr revIDLastSave="205" documentId="13_ncr:1_{093C2291-1CA2-4938-9906-A6560F5C7FED}" xr6:coauthVersionLast="47" xr6:coauthVersionMax="47" xr10:uidLastSave="{19AFE3D9-2476-4E24-9601-6C4A6817A10C}"/>
  <bookViews>
    <workbookView xWindow="-103" yWindow="-103" windowWidth="22149" windowHeight="13200" xr2:uid="{399CA544-9204-43C1-AA14-92DA1949C8CC}"/>
  </bookViews>
  <sheets>
    <sheet name="FORECAST" sheetId="23" r:id="rId1"/>
    <sheet name="EOQ" sheetId="14" r:id="rId2"/>
    <sheet name="8MA" sheetId="16" r:id="rId3"/>
    <sheet name="WMA" sheetId="19" r:id="rId4"/>
    <sheet name="SES" sheetId="22" r:id="rId5"/>
  </sheets>
  <definedNames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1</definedName>
    <definedName name="_AtRisk_SimSetting_StdRecalcWithoutRiskStaticPercentile" hidden="1">0.5</definedName>
    <definedName name="alpha">#REF!</definedName>
    <definedName name="AnHolding" localSheetId="1">EOQ!$C$16</definedName>
    <definedName name="AnHolding">#REF!</definedName>
    <definedName name="AnOrdering" localSheetId="1">EOQ!$C$17</definedName>
    <definedName name="AnOrdering">#REF!</definedName>
    <definedName name="Ch" localSheetId="1">EOQ!$C$9</definedName>
    <definedName name="Ch">#REF!</definedName>
    <definedName name="Ch2_">#REF!</definedName>
    <definedName name="Co" localSheetId="1">EOQ!$C$10</definedName>
    <definedName name="Co">#REF!</definedName>
    <definedName name="Co2_">#REF!</definedName>
    <definedName name="CycleTime" localSheetId="1">EOQ!$C$20</definedName>
    <definedName name="CycleTime">#REF!</definedName>
    <definedName name="dailyDemand" localSheetId="1">EOQ!$C$11</definedName>
    <definedName name="dailyDemand">#REF!</definedName>
    <definedName name="dailyDemand2">#REF!</definedName>
    <definedName name="days" localSheetId="1">EOQ!$C$6</definedName>
    <definedName name="days">#REF!</definedName>
    <definedName name="days2">#REF!</definedName>
    <definedName name="Demand" localSheetId="1">EOQ!$C$3</definedName>
    <definedName name="Demand">#REF!</definedName>
    <definedName name="Demand2">#REF!</definedName>
    <definedName name="EOQ" localSheetId="1">EOQ!$C$14</definedName>
    <definedName name="EOQ">#REF!</definedName>
    <definedName name="EOQ2_">#REF!</definedName>
    <definedName name="Inv_rate" localSheetId="1">EOQ!$C$5</definedName>
    <definedName name="Inv_rate">#REF!</definedName>
    <definedName name="Inv_rate2">#REF!</definedName>
    <definedName name="Lead_Time" localSheetId="1">EOQ!$C$7</definedName>
    <definedName name="Lead_Time">#REF!</definedName>
    <definedName name="Lead_Time2">#REF!</definedName>
    <definedName name="NumCycles" localSheetId="1">EOQ!$C$19</definedName>
    <definedName name="NumCycles">#REF!</definedName>
    <definedName name="PalisadeReportWorkbookCreatedBy" hidden="1">"StatTools"</definedName>
    <definedName name="Reorderpoint" localSheetId="1">EOQ!$C$12</definedName>
    <definedName name="Reorderpoint">#REF!</definedName>
    <definedName name="Reorderpoint2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</definedName>
    <definedName name="RiskNumSimulations" hidden="1">10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0</definedName>
    <definedName name="RiskUpdateDisplay" hidden="1">FALSE</definedName>
    <definedName name="RiskUseDifferentSeedForEachSim" hidden="1">TRUE</definedName>
    <definedName name="RiskUseFixedSeed" hidden="1">FALSE</definedName>
    <definedName name="RiskUseMultipleCPUs" hidden="1">FALSE</definedName>
    <definedName name="ST_demand">#REF!</definedName>
    <definedName name="ST_ES">#REF!</definedName>
    <definedName name="ST_MA">#REF!</definedName>
    <definedName name="ST_week">#REF!</definedName>
    <definedName name="ST_WMA">#REF!</definedName>
    <definedName name="STWBD_StatToolsForecast_Deseasonalize" hidden="1">"FALSE"</definedName>
    <definedName name="STWBD_StatToolsForecast_ForecastMethod" hidden="1">" 0"</definedName>
    <definedName name="STWBD_StatToolsForecast_GraphDeseasonalizedForecastErrors" hidden="1">"FALSE"</definedName>
    <definedName name="STWBD_StatToolsForecast_GraphDeseasonalizedForecastOverlay" hidden="1">"FALSE"</definedName>
    <definedName name="STWBD_StatToolsForecast_GraphDeseasonalizedOriginalSeries" hidden="1">"FALSE"</definedName>
    <definedName name="STWBD_StatToolsForecast_GraphForecastErrors" hidden="1">"TRUE"</definedName>
    <definedName name="STWBD_StatToolsForecast_GraphForecastOverlay" hidden="1">"TRUE"</definedName>
    <definedName name="STWBD_StatToolsForecast_GraphOriginalSeries" hidden="1">"TRUE"</definedName>
    <definedName name="STWBD_StatToolsForecast_HasDefaultInfo" hidden="1">"TRUE"</definedName>
    <definedName name="STWBD_StatToolsForecast_Level" hidden="1">" 0"</definedName>
    <definedName name="STWBD_StatToolsForecast_NumberOfForecasts" hidden="1">" 4"</definedName>
    <definedName name="STWBD_StatToolsForecast_NumberOfHoldOuts" hidden="1">" 0"</definedName>
    <definedName name="STWBD_StatToolsForecast_NumberOfSeasons" hidden="1">" 52"</definedName>
    <definedName name="STWBD_StatToolsForecast_OptimizeParameters" hidden="1">"TRUE"</definedName>
    <definedName name="STWBD_StatToolsForecast_Seasonality" hidden="1">" 0"</definedName>
    <definedName name="STWBD_StatToolsForecast_SeasonalPeriod" hidden="1">" 3"</definedName>
    <definedName name="STWBD_StatToolsForecast_Span" hidden="1">" 8"</definedName>
    <definedName name="STWBD_StatToolsForecast_StartingDay" hidden="1">" 1"</definedName>
    <definedName name="STWBD_StatToolsForecast_StartingIndex" hidden="1">" 1"</definedName>
    <definedName name="STWBD_StatToolsForecast_StartingMonth" hidden="1">" 1"</definedName>
    <definedName name="STWBD_StatToolsForecast_StartingQuarter" hidden="1">" 1"</definedName>
    <definedName name="STWBD_StatToolsForecast_StartingWeek" hidden="1">" 1"</definedName>
    <definedName name="STWBD_StatToolsForecast_StartingYear" hidden="1">" 2022"</definedName>
    <definedName name="STWBD_StatToolsForecast_Trend" hidden="1">" 0"</definedName>
    <definedName name="STWBD_StatToolsForecast_UseSeasonLabels" hidden="1">"TRUE"</definedName>
    <definedName name="STWBD_StatToolsForecast_Variable" hidden="1">"U_x0001_VG1B521BDDCEA4725_x0001_"</definedName>
    <definedName name="STWBD_StatToolsForecast_VarSelectorDefaultDataSet" hidden="1">"DG2B4CDB5B"</definedName>
    <definedName name="STWBD_StatToolsOneVarSummary_Count" hidden="1">"FALSE"</definedName>
    <definedName name="STWBD_StatToolsOneVarSummary_DefaultDataFormat" hidden="1">" 0"</definedName>
    <definedName name="STWBD_StatToolsOneVarSummary_FirstQuartile" hidden="1">"FALSE"</definedName>
    <definedName name="STWBD_StatToolsOneVarSummary_HasDefaultInfo" hidden="1">"TRUE"</definedName>
    <definedName name="STWBD_StatToolsOneVarSummary_InterQuartileRange" hidden="1">"FALSE"</definedName>
    <definedName name="STWBD_StatToolsOneVarSummary_Kurtosis" hidden="1">"FALSE"</definedName>
    <definedName name="STWBD_StatToolsOneVarSummary_Maximum" hidden="1">"TRUE"</definedName>
    <definedName name="STWBD_StatToolsOneVarSummary_Mean" hidden="1">"TRUE"</definedName>
    <definedName name="STWBD_StatToolsOneVarSummary_MeanAbsDeviation" hidden="1">"FALSE"</definedName>
    <definedName name="STWBD_StatToolsOneVarSummary_Median" hidden="1">"FALSE"</definedName>
    <definedName name="STWBD_StatToolsOneVarSummary_Minimum" hidden="1">"TRUE"</definedName>
    <definedName name="STWBD_StatToolsOneVarSummary_Mode" hidden="1">"FALSE"</definedName>
    <definedName name="STWBD_StatToolsOneVarSummary_OtherPercentiles" hidden="1">"TRUE"</definedName>
    <definedName name="STWBD_StatToolsOneVarSummary_PercentileList" hidden="1">" .01, .025, .05, .1, .2, .8, .9, .95, .975, .99"</definedName>
    <definedName name="STWBD_StatToolsOneVarSummary_Range" hidden="1">"FALSE"</definedName>
    <definedName name="STWBD_StatToolsOneVarSummary_Skewness" hidden="1">"FALSE"</definedName>
    <definedName name="STWBD_StatToolsOneVarSummary_StandardDeviation" hidden="1">"TRUE"</definedName>
    <definedName name="STWBD_StatToolsOneVarSummary_Sum" hidden="1">"FALSE"</definedName>
    <definedName name="STWBD_StatToolsOneVarSummary_ThirdQuartile" hidden="1">"FALSE"</definedName>
    <definedName name="STWBD_StatToolsOneVarSummary_VariableList" hidden="1">4</definedName>
    <definedName name="STWBD_StatToolsOneVarSummary_VariableList_1" hidden="1">"U_x0001_VG37689F462C492A1_x0001_"</definedName>
    <definedName name="STWBD_StatToolsOneVarSummary_VariableList_2" hidden="1">"U_x0001_VG24A71C08BFA7408_x0001_"</definedName>
    <definedName name="STWBD_StatToolsOneVarSummary_VariableList_3" hidden="1">"U_x0001_VG2BA6C8401501A3E8_x0001_"</definedName>
    <definedName name="STWBD_StatToolsOneVarSummary_VariableList_4" hidden="1">"U_x0001_VG32AAE59D140B20CB_x0001_"</definedName>
    <definedName name="STWBD_StatToolsOneVarSummary_Variance" hidden="1">"FALSE"</definedName>
    <definedName name="STWBD_StatToolsOneVarSummary_VarSelectorDefaultDataSet" hidden="1">"DG25215E86"</definedName>
    <definedName name="TotalCost" localSheetId="1">EOQ!$C$18</definedName>
    <definedName name="TotalCost">#REF!</definedName>
    <definedName name="Unit_Cost" localSheetId="1">EOQ!$C$4</definedName>
    <definedName name="Unit_Cost">#REF!</definedName>
    <definedName name="Unit_Cost2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16" l="1"/>
  <c r="E27" i="16"/>
  <c r="I3" i="22"/>
  <c r="B45" i="22"/>
  <c r="B28" i="22"/>
  <c r="B45" i="19"/>
  <c r="B28" i="19"/>
  <c r="N29" i="16"/>
  <c r="D10" i="23" l="1"/>
  <c r="B46" i="23"/>
  <c r="B47" i="23" s="1"/>
  <c r="B45" i="23"/>
  <c r="L40" i="23"/>
  <c r="T40" i="23" s="1"/>
  <c r="D40" i="23"/>
  <c r="M40" i="23" s="1"/>
  <c r="C40" i="23"/>
  <c r="D39" i="23"/>
  <c r="M39" i="23" s="1"/>
  <c r="C39" i="23"/>
  <c r="L39" i="23" s="1"/>
  <c r="D38" i="23"/>
  <c r="M38" i="23" s="1"/>
  <c r="C38" i="23"/>
  <c r="L38" i="23" s="1"/>
  <c r="D37" i="23"/>
  <c r="M37" i="23" s="1"/>
  <c r="C37" i="23"/>
  <c r="L37" i="23" s="1"/>
  <c r="D36" i="23"/>
  <c r="M36" i="23" s="1"/>
  <c r="C36" i="23"/>
  <c r="L36" i="23" s="1"/>
  <c r="C35" i="23"/>
  <c r="L35" i="23" s="1"/>
  <c r="L34" i="23"/>
  <c r="T34" i="23" s="1"/>
  <c r="D34" i="23"/>
  <c r="M34" i="23" s="1"/>
  <c r="C34" i="23"/>
  <c r="C33" i="23"/>
  <c r="L33" i="23" s="1"/>
  <c r="D32" i="23"/>
  <c r="M32" i="23" s="1"/>
  <c r="C32" i="23"/>
  <c r="L32" i="23" s="1"/>
  <c r="C31" i="23"/>
  <c r="L31" i="23" s="1"/>
  <c r="C30" i="23"/>
  <c r="L30" i="23" s="1"/>
  <c r="C29" i="23"/>
  <c r="L29" i="23" s="1"/>
  <c r="C28" i="23"/>
  <c r="L28" i="23" s="1"/>
  <c r="C27" i="23"/>
  <c r="L27" i="23" s="1"/>
  <c r="L26" i="23"/>
  <c r="T26" i="23" s="1"/>
  <c r="C26" i="23"/>
  <c r="L25" i="23"/>
  <c r="P25" i="23" s="1"/>
  <c r="X25" i="23" s="1"/>
  <c r="C25" i="23"/>
  <c r="L24" i="23"/>
  <c r="T24" i="23" s="1"/>
  <c r="D24" i="23"/>
  <c r="M24" i="23" s="1"/>
  <c r="C24" i="23"/>
  <c r="D23" i="23"/>
  <c r="M23" i="23" s="1"/>
  <c r="C23" i="23"/>
  <c r="L23" i="23" s="1"/>
  <c r="D22" i="23"/>
  <c r="M22" i="23" s="1"/>
  <c r="C22" i="23"/>
  <c r="L22" i="23" s="1"/>
  <c r="D21" i="23"/>
  <c r="M21" i="23" s="1"/>
  <c r="C21" i="23"/>
  <c r="L21" i="23" s="1"/>
  <c r="D20" i="23"/>
  <c r="M20" i="23" s="1"/>
  <c r="C20" i="23"/>
  <c r="L20" i="23" s="1"/>
  <c r="M19" i="23"/>
  <c r="U19" i="23" s="1"/>
  <c r="D19" i="23"/>
  <c r="C19" i="23"/>
  <c r="L19" i="23" s="1"/>
  <c r="L18" i="23"/>
  <c r="T18" i="23" s="1"/>
  <c r="D18" i="23"/>
  <c r="M18" i="23" s="1"/>
  <c r="C18" i="23"/>
  <c r="D17" i="23"/>
  <c r="M17" i="23" s="1"/>
  <c r="C17" i="23"/>
  <c r="L17" i="23" s="1"/>
  <c r="D16" i="23"/>
  <c r="M16" i="23" s="1"/>
  <c r="C16" i="23"/>
  <c r="L16" i="23" s="1"/>
  <c r="C15" i="23"/>
  <c r="L15" i="23" s="1"/>
  <c r="C14" i="23"/>
  <c r="L14" i="23" s="1"/>
  <c r="D13" i="23"/>
  <c r="C13" i="23"/>
  <c r="D12" i="23"/>
  <c r="C12" i="23"/>
  <c r="D11" i="23"/>
  <c r="C11" i="23"/>
  <c r="C10" i="23"/>
  <c r="C46" i="23" s="1"/>
  <c r="C47" i="23" s="1"/>
  <c r="E4" i="23"/>
  <c r="E5" i="23" s="1"/>
  <c r="E6" i="23" s="1"/>
  <c r="E7" i="23" s="1"/>
  <c r="E8" i="23" s="1"/>
  <c r="E9" i="23" s="1"/>
  <c r="E10" i="23" s="1"/>
  <c r="E11" i="23" s="1"/>
  <c r="E12" i="23" s="1"/>
  <c r="E13" i="23" s="1"/>
  <c r="E14" i="23" s="1"/>
  <c r="E3" i="23"/>
  <c r="H2" i="23"/>
  <c r="D41" i="23" s="1"/>
  <c r="H10" i="16"/>
  <c r="H9" i="16"/>
  <c r="T57" i="16"/>
  <c r="T58" i="16"/>
  <c r="S57" i="16"/>
  <c r="Q58" i="16"/>
  <c r="S58" i="16" s="1"/>
  <c r="Q59" i="16" s="1"/>
  <c r="S59" i="16" s="1"/>
  <c r="T59" i="16" s="1"/>
  <c r="T28" i="23" l="1"/>
  <c r="P28" i="23"/>
  <c r="X28" i="23" s="1"/>
  <c r="P27" i="23"/>
  <c r="X27" i="23" s="1"/>
  <c r="T27" i="23"/>
  <c r="T20" i="23"/>
  <c r="P20" i="23"/>
  <c r="X20" i="23" s="1"/>
  <c r="U20" i="23"/>
  <c r="Q20" i="23"/>
  <c r="Y20" i="23" s="1"/>
  <c r="P30" i="23"/>
  <c r="X30" i="23" s="1"/>
  <c r="T30" i="23"/>
  <c r="T31" i="23"/>
  <c r="P31" i="23"/>
  <c r="X31" i="23" s="1"/>
  <c r="U40" i="23"/>
  <c r="Q40" i="23"/>
  <c r="Y40" i="23" s="1"/>
  <c r="U22" i="23"/>
  <c r="Q22" i="23"/>
  <c r="Y22" i="23" s="1"/>
  <c r="P16" i="23"/>
  <c r="X16" i="23" s="1"/>
  <c r="T16" i="23"/>
  <c r="T23" i="23"/>
  <c r="P23" i="23"/>
  <c r="X23" i="23" s="1"/>
  <c r="T33" i="23"/>
  <c r="P33" i="23"/>
  <c r="X33" i="23" s="1"/>
  <c r="Q16" i="23"/>
  <c r="Y16" i="23" s="1"/>
  <c r="U16" i="23"/>
  <c r="U23" i="23"/>
  <c r="Q23" i="23"/>
  <c r="Y23" i="23" s="1"/>
  <c r="T17" i="23"/>
  <c r="P17" i="23"/>
  <c r="X17" i="23" s="1"/>
  <c r="U34" i="23"/>
  <c r="Q34" i="23"/>
  <c r="Y34" i="23" s="1"/>
  <c r="U37" i="23"/>
  <c r="Q37" i="23"/>
  <c r="Y37" i="23" s="1"/>
  <c r="U38" i="23"/>
  <c r="Q38" i="23"/>
  <c r="Y38" i="23" s="1"/>
  <c r="U39" i="23"/>
  <c r="Q39" i="23"/>
  <c r="Y39" i="23" s="1"/>
  <c r="T22" i="23"/>
  <c r="P22" i="23"/>
  <c r="X22" i="23" s="1"/>
  <c r="U24" i="23"/>
  <c r="Q24" i="23"/>
  <c r="Y24" i="23" s="1"/>
  <c r="U36" i="23"/>
  <c r="Q36" i="23"/>
  <c r="Y36" i="23" s="1"/>
  <c r="T19" i="23"/>
  <c r="P19" i="23"/>
  <c r="X19" i="23" s="1"/>
  <c r="T38" i="23"/>
  <c r="P38" i="23"/>
  <c r="X38" i="23" s="1"/>
  <c r="T29" i="23"/>
  <c r="P29" i="23"/>
  <c r="X29" i="23" s="1"/>
  <c r="T21" i="23"/>
  <c r="P21" i="23"/>
  <c r="X21" i="23" s="1"/>
  <c r="U21" i="23"/>
  <c r="Q21" i="23"/>
  <c r="Y21" i="23" s="1"/>
  <c r="P14" i="23"/>
  <c r="T14" i="23"/>
  <c r="P32" i="23"/>
  <c r="X32" i="23" s="1"/>
  <c r="T32" i="23"/>
  <c r="T15" i="23"/>
  <c r="P15" i="23"/>
  <c r="X15" i="23" s="1"/>
  <c r="Q32" i="23"/>
  <c r="Y32" i="23" s="1"/>
  <c r="U32" i="23"/>
  <c r="Q17" i="23"/>
  <c r="Y17" i="23" s="1"/>
  <c r="U17" i="23"/>
  <c r="T35" i="23"/>
  <c r="P35" i="23"/>
  <c r="X35" i="23" s="1"/>
  <c r="N14" i="23"/>
  <c r="E15" i="23"/>
  <c r="T37" i="23"/>
  <c r="P37" i="23"/>
  <c r="X37" i="23" s="1"/>
  <c r="T39" i="23"/>
  <c r="P39" i="23"/>
  <c r="X39" i="23" s="1"/>
  <c r="U18" i="23"/>
  <c r="Q18" i="23"/>
  <c r="Y18" i="23" s="1"/>
  <c r="T36" i="23"/>
  <c r="P36" i="23"/>
  <c r="X36" i="23" s="1"/>
  <c r="P26" i="23"/>
  <c r="X26" i="23" s="1"/>
  <c r="P24" i="23"/>
  <c r="X24" i="23" s="1"/>
  <c r="D35" i="23"/>
  <c r="M35" i="23" s="1"/>
  <c r="P40" i="23"/>
  <c r="X40" i="23" s="1"/>
  <c r="C45" i="23"/>
  <c r="T25" i="23"/>
  <c r="D33" i="23"/>
  <c r="M33" i="23" s="1"/>
  <c r="D15" i="23"/>
  <c r="M15" i="23" s="1"/>
  <c r="D31" i="23"/>
  <c r="M31" i="23" s="1"/>
  <c r="D14" i="23"/>
  <c r="M14" i="23" s="1"/>
  <c r="D30" i="23"/>
  <c r="M30" i="23" s="1"/>
  <c r="P18" i="23"/>
  <c r="X18" i="23" s="1"/>
  <c r="Q19" i="23"/>
  <c r="Y19" i="23" s="1"/>
  <c r="D29" i="23"/>
  <c r="M29" i="23" s="1"/>
  <c r="P34" i="23"/>
  <c r="X34" i="23" s="1"/>
  <c r="D28" i="23"/>
  <c r="M28" i="23" s="1"/>
  <c r="D27" i="23"/>
  <c r="M27" i="23" s="1"/>
  <c r="D26" i="23"/>
  <c r="M26" i="23" s="1"/>
  <c r="D25" i="23"/>
  <c r="M25" i="23" s="1"/>
  <c r="U30" i="23" l="1"/>
  <c r="Q30" i="23"/>
  <c r="Y30" i="23" s="1"/>
  <c r="Q27" i="23"/>
  <c r="Y27" i="23" s="1"/>
  <c r="U27" i="23"/>
  <c r="U25" i="23"/>
  <c r="Q25" i="23"/>
  <c r="Y25" i="23" s="1"/>
  <c r="Q26" i="23"/>
  <c r="Y26" i="23" s="1"/>
  <c r="U26" i="23"/>
  <c r="AC3" i="23"/>
  <c r="AC4" i="23" s="1"/>
  <c r="Q15" i="23"/>
  <c r="Y15" i="23" s="1"/>
  <c r="U15" i="23"/>
  <c r="D46" i="23"/>
  <c r="D47" i="23" s="1"/>
  <c r="D45" i="23"/>
  <c r="Q29" i="23"/>
  <c r="Y29" i="23" s="1"/>
  <c r="U29" i="23"/>
  <c r="U14" i="23"/>
  <c r="Q14" i="23"/>
  <c r="Q31" i="23"/>
  <c r="Y31" i="23" s="1"/>
  <c r="U31" i="23"/>
  <c r="AC2" i="23"/>
  <c r="X14" i="23"/>
  <c r="AC5" i="23" s="1"/>
  <c r="U35" i="23"/>
  <c r="Q35" i="23"/>
  <c r="Y35" i="23" s="1"/>
  <c r="U28" i="23"/>
  <c r="Q28" i="23"/>
  <c r="Y28" i="23" s="1"/>
  <c r="Q33" i="23"/>
  <c r="Y33" i="23" s="1"/>
  <c r="U33" i="23"/>
  <c r="N15" i="23"/>
  <c r="E16" i="23"/>
  <c r="R14" i="23"/>
  <c r="V14" i="23"/>
  <c r="Z14" i="23" l="1"/>
  <c r="V15" i="23"/>
  <c r="R15" i="23"/>
  <c r="Z15" i="23" s="1"/>
  <c r="E17" i="23"/>
  <c r="N16" i="23"/>
  <c r="Y14" i="23"/>
  <c r="AD5" i="23" s="1"/>
  <c r="AD2" i="23"/>
  <c r="AD3" i="23"/>
  <c r="AD4" i="23" s="1"/>
  <c r="N17" i="23" l="1"/>
  <c r="E18" i="23"/>
  <c r="R16" i="23"/>
  <c r="Z16" i="23" s="1"/>
  <c r="V16" i="23"/>
  <c r="N18" i="23" l="1"/>
  <c r="E19" i="23"/>
  <c r="R17" i="23"/>
  <c r="V17" i="23"/>
  <c r="R18" i="23" l="1"/>
  <c r="Z18" i="23" s="1"/>
  <c r="V18" i="23"/>
  <c r="Z17" i="23"/>
  <c r="N19" i="23"/>
  <c r="E20" i="23"/>
  <c r="N20" i="23" l="1"/>
  <c r="E21" i="23"/>
  <c r="V19" i="23"/>
  <c r="R19" i="23"/>
  <c r="Z19" i="23" l="1"/>
  <c r="N21" i="23"/>
  <c r="E22" i="23"/>
  <c r="V20" i="23"/>
  <c r="R20" i="23"/>
  <c r="Z20" i="23" s="1"/>
  <c r="E23" i="23" l="1"/>
  <c r="N22" i="23"/>
  <c r="V21" i="23"/>
  <c r="R21" i="23"/>
  <c r="Z21" i="23" s="1"/>
  <c r="V22" i="23" l="1"/>
  <c r="R22" i="23"/>
  <c r="Z22" i="23" s="1"/>
  <c r="E24" i="23"/>
  <c r="N23" i="23"/>
  <c r="V23" i="23" l="1"/>
  <c r="R23" i="23"/>
  <c r="Z23" i="23" s="1"/>
  <c r="N24" i="23"/>
  <c r="E25" i="23"/>
  <c r="E26" i="23" l="1"/>
  <c r="N25" i="23"/>
  <c r="V24" i="23"/>
  <c r="R24" i="23"/>
  <c r="Z24" i="23" s="1"/>
  <c r="V25" i="23" l="1"/>
  <c r="R25" i="23"/>
  <c r="Z25" i="23" s="1"/>
  <c r="E27" i="23"/>
  <c r="N26" i="23"/>
  <c r="V26" i="23" l="1"/>
  <c r="R26" i="23"/>
  <c r="Z26" i="23" s="1"/>
  <c r="E28" i="23"/>
  <c r="N27" i="23"/>
  <c r="E29" i="23" l="1"/>
  <c r="N28" i="23"/>
  <c r="R27" i="23"/>
  <c r="Z27" i="23" s="1"/>
  <c r="V27" i="23"/>
  <c r="R28" i="23" l="1"/>
  <c r="Z28" i="23" s="1"/>
  <c r="V28" i="23"/>
  <c r="N29" i="23"/>
  <c r="E30" i="23"/>
  <c r="N30" i="23" l="1"/>
  <c r="E31" i="23"/>
  <c r="R29" i="23"/>
  <c r="Z29" i="23" s="1"/>
  <c r="V29" i="23"/>
  <c r="N31" i="23" l="1"/>
  <c r="E32" i="23"/>
  <c r="R30" i="23"/>
  <c r="Z30" i="23" s="1"/>
  <c r="V30" i="23"/>
  <c r="N32" i="23" l="1"/>
  <c r="E33" i="23"/>
  <c r="V31" i="23"/>
  <c r="R31" i="23"/>
  <c r="Z31" i="23" s="1"/>
  <c r="N33" i="23" l="1"/>
  <c r="E34" i="23"/>
  <c r="R32" i="23"/>
  <c r="Z32" i="23" s="1"/>
  <c r="V32" i="23"/>
  <c r="N34" i="23" l="1"/>
  <c r="E35" i="23"/>
  <c r="R33" i="23"/>
  <c r="Z33" i="23" s="1"/>
  <c r="V33" i="23"/>
  <c r="N35" i="23" l="1"/>
  <c r="E36" i="23"/>
  <c r="R34" i="23"/>
  <c r="Z34" i="23" s="1"/>
  <c r="V34" i="23"/>
  <c r="N36" i="23" l="1"/>
  <c r="E37" i="23"/>
  <c r="V35" i="23"/>
  <c r="R35" i="23"/>
  <c r="Z35" i="23" s="1"/>
  <c r="E38" i="23" l="1"/>
  <c r="N37" i="23"/>
  <c r="V36" i="23"/>
  <c r="R36" i="23"/>
  <c r="Z36" i="23" s="1"/>
  <c r="V37" i="23" l="1"/>
  <c r="R37" i="23"/>
  <c r="Z37" i="23" s="1"/>
  <c r="E39" i="23"/>
  <c r="N38" i="23"/>
  <c r="E40" i="23" l="1"/>
  <c r="N39" i="23"/>
  <c r="V38" i="23"/>
  <c r="R38" i="23"/>
  <c r="Z38" i="23" s="1"/>
  <c r="V39" i="23" l="1"/>
  <c r="R39" i="23"/>
  <c r="Z39" i="23" s="1"/>
  <c r="N40" i="23"/>
  <c r="E41" i="23"/>
  <c r="E45" i="23" l="1"/>
  <c r="E46" i="23"/>
  <c r="E47" i="23" s="1"/>
  <c r="V40" i="23"/>
  <c r="AE3" i="23" s="1"/>
  <c r="AE4" i="23" s="1"/>
  <c r="R40" i="23"/>
  <c r="Z40" i="23" l="1"/>
  <c r="AE5" i="23" s="1"/>
  <c r="AE2" i="23"/>
  <c r="I4" i="16" l="1"/>
  <c r="K3" i="16"/>
  <c r="J3" i="16"/>
  <c r="I3" i="16"/>
  <c r="M18" i="16"/>
  <c r="K18" i="16"/>
  <c r="S17" i="16"/>
  <c r="N17" i="16"/>
  <c r="M17" i="16"/>
  <c r="G17" i="16"/>
  <c r="E18" i="16" s="1"/>
  <c r="G18" i="16" s="1"/>
  <c r="F6" i="16"/>
  <c r="K4" i="16"/>
  <c r="J4" i="16"/>
  <c r="B20" i="16"/>
  <c r="B37" i="16" s="1"/>
  <c r="B19" i="16"/>
  <c r="B36" i="16" s="1"/>
  <c r="K4" i="19"/>
  <c r="J4" i="19"/>
  <c r="I4" i="19"/>
  <c r="B37" i="19"/>
  <c r="B20" i="19"/>
  <c r="B36" i="19"/>
  <c r="B19" i="19"/>
  <c r="B36" i="22"/>
  <c r="B40" i="22"/>
  <c r="B37" i="22"/>
  <c r="K4" i="22"/>
  <c r="J4" i="22"/>
  <c r="I4" i="22"/>
  <c r="B20" i="22"/>
  <c r="B19" i="22"/>
  <c r="B8" i="22"/>
  <c r="K14" i="14"/>
  <c r="K17" i="14" s="1"/>
  <c r="K12" i="14"/>
  <c r="K11" i="14"/>
  <c r="K19" i="14"/>
  <c r="K20" i="14" s="1"/>
  <c r="K9" i="14"/>
  <c r="G14" i="14"/>
  <c r="G17" i="14" s="1"/>
  <c r="G12" i="14"/>
  <c r="G11" i="14"/>
  <c r="G9" i="14"/>
  <c r="B44" i="16"/>
  <c r="B43" i="16" s="1"/>
  <c r="B27" i="16"/>
  <c r="B26" i="16" s="1"/>
  <c r="S17" i="19"/>
  <c r="Q18" i="19" s="1"/>
  <c r="S18" i="19" s="1"/>
  <c r="M17" i="19"/>
  <c r="K18" i="19" s="1"/>
  <c r="M18" i="19" s="1"/>
  <c r="G17" i="19"/>
  <c r="E18" i="19" s="1"/>
  <c r="G18" i="19" s="1"/>
  <c r="F6" i="19"/>
  <c r="B40" i="19"/>
  <c r="B42" i="19"/>
  <c r="B44" i="19"/>
  <c r="B43" i="19" s="1"/>
  <c r="B48" i="19"/>
  <c r="B23" i="19"/>
  <c r="B31" i="19" s="1"/>
  <c r="B25" i="19"/>
  <c r="B27" i="19"/>
  <c r="B26" i="19" s="1"/>
  <c r="K18" i="22"/>
  <c r="M18" i="22" s="1"/>
  <c r="M17" i="22"/>
  <c r="S17" i="22"/>
  <c r="B42" i="22"/>
  <c r="B44" i="22"/>
  <c r="B43" i="22" s="1"/>
  <c r="B48" i="22"/>
  <c r="B23" i="22"/>
  <c r="B31" i="22" s="1"/>
  <c r="B25" i="22"/>
  <c r="B27" i="22"/>
  <c r="B26" i="22" s="1"/>
  <c r="G17" i="22"/>
  <c r="E18" i="22" s="1"/>
  <c r="G18" i="22" s="1"/>
  <c r="H18" i="22" s="1"/>
  <c r="F6" i="22"/>
  <c r="B10" i="22"/>
  <c r="B13" i="22" s="1"/>
  <c r="B15" i="22" s="1"/>
  <c r="B6" i="22"/>
  <c r="B14" i="22" s="1"/>
  <c r="B10" i="19"/>
  <c r="B9" i="19" s="1"/>
  <c r="B8" i="19"/>
  <c r="B6" i="19"/>
  <c r="B14" i="19" s="1"/>
  <c r="B10" i="16"/>
  <c r="B13" i="16" s="1"/>
  <c r="B15" i="16" s="1"/>
  <c r="B8" i="16"/>
  <c r="B6" i="16"/>
  <c r="B14" i="16" s="1"/>
  <c r="C9" i="14"/>
  <c r="C14" i="14" s="1"/>
  <c r="C16" i="14" s="1"/>
  <c r="C11" i="14"/>
  <c r="C12" i="14" s="1"/>
  <c r="H18" i="16" l="1"/>
  <c r="N18" i="16"/>
  <c r="Q18" i="16"/>
  <c r="S18" i="16" s="1"/>
  <c r="H17" i="16"/>
  <c r="K19" i="16"/>
  <c r="M19" i="16" s="1"/>
  <c r="T17" i="16"/>
  <c r="B25" i="16"/>
  <c r="B23" i="16"/>
  <c r="B31" i="16" s="1"/>
  <c r="B40" i="16"/>
  <c r="B48" i="16" s="1"/>
  <c r="B42" i="16"/>
  <c r="B47" i="16"/>
  <c r="B49" i="16" s="1"/>
  <c r="B50" i="16" s="1"/>
  <c r="G19" i="14"/>
  <c r="G20" i="14" s="1"/>
  <c r="G16" i="14"/>
  <c r="G18" i="14" s="1"/>
  <c r="K16" i="14"/>
  <c r="B16" i="16"/>
  <c r="B30" i="16"/>
  <c r="B32" i="16" s="1"/>
  <c r="B33" i="16" s="1"/>
  <c r="B47" i="19"/>
  <c r="B49" i="19" s="1"/>
  <c r="B30" i="19"/>
  <c r="Q18" i="22"/>
  <c r="S18" i="22" s="1"/>
  <c r="B47" i="22"/>
  <c r="B30" i="22"/>
  <c r="H17" i="22"/>
  <c r="E19" i="22" s="1"/>
  <c r="G19" i="22" s="1"/>
  <c r="B16" i="22"/>
  <c r="B9" i="22"/>
  <c r="B13" i="19"/>
  <c r="B9" i="16"/>
  <c r="C19" i="14"/>
  <c r="C20" i="14" s="1"/>
  <c r="C17" i="14"/>
  <c r="C18" i="14" s="1"/>
  <c r="K3" i="19" l="1"/>
  <c r="B50" i="19"/>
  <c r="B32" i="19"/>
  <c r="J3" i="19" s="1"/>
  <c r="B15" i="19"/>
  <c r="I3" i="19" s="1"/>
  <c r="Q19" i="16"/>
  <c r="S19" i="16" s="1"/>
  <c r="T18" i="16"/>
  <c r="N19" i="16"/>
  <c r="K20" i="16"/>
  <c r="M20" i="16" s="1"/>
  <c r="E19" i="16"/>
  <c r="G19" i="16" s="1"/>
  <c r="K18" i="14"/>
  <c r="E20" i="22"/>
  <c r="G20" i="22" s="1"/>
  <c r="B32" i="22"/>
  <c r="B49" i="22"/>
  <c r="H19" i="22"/>
  <c r="T17" i="19" l="1"/>
  <c r="Q19" i="19" s="1"/>
  <c r="S19" i="19" s="1"/>
  <c r="T18" i="19"/>
  <c r="N17" i="19"/>
  <c r="K19" i="19" s="1"/>
  <c r="M19" i="19" s="1"/>
  <c r="N18" i="19"/>
  <c r="B33" i="19"/>
  <c r="H18" i="19"/>
  <c r="H17" i="19"/>
  <c r="E19" i="19" s="1"/>
  <c r="G19" i="19" s="1"/>
  <c r="B16" i="19"/>
  <c r="K21" i="16"/>
  <c r="M21" i="16" s="1"/>
  <c r="N20" i="16"/>
  <c r="T19" i="16"/>
  <c r="Q20" i="16"/>
  <c r="S20" i="16" s="1"/>
  <c r="E20" i="16"/>
  <c r="G20" i="16" s="1"/>
  <c r="H19" i="16"/>
  <c r="B50" i="22"/>
  <c r="K3" i="22"/>
  <c r="B33" i="22"/>
  <c r="J3" i="22"/>
  <c r="N17" i="22" s="1"/>
  <c r="H20" i="22"/>
  <c r="E21" i="22"/>
  <c r="G21" i="22" s="1"/>
  <c r="H21" i="22" s="1"/>
  <c r="E22" i="22" l="1"/>
  <c r="G22" i="22" s="1"/>
  <c r="H22" i="22" s="1"/>
  <c r="T19" i="19"/>
  <c r="Q20" i="19"/>
  <c r="S20" i="19" s="1"/>
  <c r="N19" i="19"/>
  <c r="K20" i="19"/>
  <c r="M20" i="19" s="1"/>
  <c r="E20" i="19"/>
  <c r="G20" i="19" s="1"/>
  <c r="H19" i="19"/>
  <c r="H20" i="16"/>
  <c r="E21" i="16"/>
  <c r="G21" i="16" s="1"/>
  <c r="N21" i="16"/>
  <c r="K22" i="16"/>
  <c r="M22" i="16" s="1"/>
  <c r="Q21" i="16"/>
  <c r="S21" i="16" s="1"/>
  <c r="T20" i="16"/>
  <c r="K19" i="22"/>
  <c r="M19" i="22" s="1"/>
  <c r="N18" i="22"/>
  <c r="T17" i="22"/>
  <c r="Q19" i="22" s="1"/>
  <c r="S19" i="22" s="1"/>
  <c r="T18" i="22"/>
  <c r="E23" i="22"/>
  <c r="G23" i="22" s="1"/>
  <c r="E24" i="22" s="1"/>
  <c r="G24" i="22" s="1"/>
  <c r="Q21" i="19" l="1"/>
  <c r="S21" i="19" s="1"/>
  <c r="T20" i="19"/>
  <c r="N20" i="19"/>
  <c r="K21" i="19"/>
  <c r="M21" i="19" s="1"/>
  <c r="E21" i="19"/>
  <c r="G21" i="19" s="1"/>
  <c r="H20" i="19"/>
  <c r="Q22" i="16"/>
  <c r="S22" i="16" s="1"/>
  <c r="T21" i="16"/>
  <c r="K23" i="16"/>
  <c r="M23" i="16" s="1"/>
  <c r="N22" i="16"/>
  <c r="H21" i="16"/>
  <c r="E22" i="16"/>
  <c r="G22" i="16" s="1"/>
  <c r="T19" i="22"/>
  <c r="Q20" i="22"/>
  <c r="S20" i="22" s="1"/>
  <c r="N19" i="22"/>
  <c r="K20" i="22"/>
  <c r="M20" i="22" s="1"/>
  <c r="H23" i="22"/>
  <c r="E25" i="22"/>
  <c r="H24" i="22"/>
  <c r="G25" i="22"/>
  <c r="Q22" i="19" l="1"/>
  <c r="S22" i="19" s="1"/>
  <c r="T21" i="19"/>
  <c r="N21" i="19"/>
  <c r="K22" i="19"/>
  <c r="M22" i="19" s="1"/>
  <c r="H21" i="19"/>
  <c r="E22" i="19"/>
  <c r="G22" i="19" s="1"/>
  <c r="N23" i="16"/>
  <c r="K24" i="16"/>
  <c r="M24" i="16" s="1"/>
  <c r="T22" i="16"/>
  <c r="Q23" i="16"/>
  <c r="S23" i="16" s="1"/>
  <c r="E23" i="16"/>
  <c r="G23" i="16" s="1"/>
  <c r="H22" i="16"/>
  <c r="T20" i="22"/>
  <c r="Q21" i="22"/>
  <c r="S21" i="22" s="1"/>
  <c r="N20" i="22"/>
  <c r="K21" i="22"/>
  <c r="M21" i="22" s="1"/>
  <c r="H25" i="22"/>
  <c r="E26" i="22"/>
  <c r="G26" i="22" s="1"/>
  <c r="T22" i="19" l="1"/>
  <c r="Q23" i="19"/>
  <c r="S23" i="19" s="1"/>
  <c r="K23" i="19"/>
  <c r="M23" i="19" s="1"/>
  <c r="N22" i="19"/>
  <c r="H22" i="19"/>
  <c r="E23" i="19"/>
  <c r="G23" i="19" s="1"/>
  <c r="H23" i="16"/>
  <c r="E24" i="16"/>
  <c r="G24" i="16" s="1"/>
  <c r="Q24" i="16"/>
  <c r="S24" i="16" s="1"/>
  <c r="T23" i="16"/>
  <c r="N24" i="16"/>
  <c r="K25" i="16"/>
  <c r="M25" i="16" s="1"/>
  <c r="N21" i="22"/>
  <c r="K22" i="22"/>
  <c r="M22" i="22" s="1"/>
  <c r="T21" i="22"/>
  <c r="Q22" i="22"/>
  <c r="S22" i="22" s="1"/>
  <c r="E27" i="22"/>
  <c r="G27" i="22" s="1"/>
  <c r="H26" i="22"/>
  <c r="T23" i="19" l="1"/>
  <c r="Q24" i="19"/>
  <c r="S24" i="19" s="1"/>
  <c r="N23" i="19"/>
  <c r="K24" i="19"/>
  <c r="M24" i="19" s="1"/>
  <c r="E24" i="19"/>
  <c r="G24" i="19" s="1"/>
  <c r="H23" i="19"/>
  <c r="T24" i="16"/>
  <c r="Q25" i="16"/>
  <c r="S25" i="16" s="1"/>
  <c r="K26" i="16"/>
  <c r="M26" i="16" s="1"/>
  <c r="N25" i="16"/>
  <c r="E25" i="16"/>
  <c r="G25" i="16" s="1"/>
  <c r="H24" i="16"/>
  <c r="T22" i="22"/>
  <c r="Q23" i="22"/>
  <c r="S23" i="22" s="1"/>
  <c r="N22" i="22"/>
  <c r="K23" i="22"/>
  <c r="M23" i="22" s="1"/>
  <c r="E28" i="22"/>
  <c r="G28" i="22" s="1"/>
  <c r="H27" i="22"/>
  <c r="T24" i="19" l="1"/>
  <c r="Q25" i="19"/>
  <c r="S25" i="19" s="1"/>
  <c r="K25" i="19"/>
  <c r="M25" i="19" s="1"/>
  <c r="N24" i="19"/>
  <c r="H24" i="19"/>
  <c r="E25" i="19"/>
  <c r="G25" i="19" s="1"/>
  <c r="H25" i="16"/>
  <c r="E26" i="16"/>
  <c r="N26" i="16"/>
  <c r="K27" i="16"/>
  <c r="M27" i="16" s="1"/>
  <c r="Q26" i="16"/>
  <c r="S26" i="16" s="1"/>
  <c r="T25" i="16"/>
  <c r="T23" i="22"/>
  <c r="Q24" i="22"/>
  <c r="S24" i="22" s="1"/>
  <c r="N23" i="22"/>
  <c r="K24" i="22"/>
  <c r="M24" i="22" s="1"/>
  <c r="E29" i="22"/>
  <c r="G29" i="22" s="1"/>
  <c r="H28" i="22"/>
  <c r="T25" i="19" l="1"/>
  <c r="Q26" i="19"/>
  <c r="S26" i="19" s="1"/>
  <c r="K26" i="19"/>
  <c r="M26" i="19" s="1"/>
  <c r="N25" i="19"/>
  <c r="H25" i="19"/>
  <c r="E26" i="19"/>
  <c r="G26" i="19" s="1"/>
  <c r="G26" i="16"/>
  <c r="T26" i="16"/>
  <c r="Q27" i="16"/>
  <c r="S27" i="16" s="1"/>
  <c r="K28" i="16"/>
  <c r="M28" i="16" s="1"/>
  <c r="N27" i="16"/>
  <c r="H26" i="16"/>
  <c r="T24" i="22"/>
  <c r="Q25" i="22"/>
  <c r="S25" i="22" s="1"/>
  <c r="N24" i="22"/>
  <c r="K25" i="22"/>
  <c r="M25" i="22" s="1"/>
  <c r="E30" i="22"/>
  <c r="G30" i="22" s="1"/>
  <c r="H29" i="22"/>
  <c r="T26" i="19" l="1"/>
  <c r="Q27" i="19"/>
  <c r="S27" i="19" s="1"/>
  <c r="N26" i="19"/>
  <c r="K27" i="19"/>
  <c r="M27" i="19" s="1"/>
  <c r="E27" i="19"/>
  <c r="G27" i="19" s="1"/>
  <c r="H26" i="19"/>
  <c r="G27" i="16"/>
  <c r="E28" i="16"/>
  <c r="H27" i="16"/>
  <c r="N28" i="16"/>
  <c r="K29" i="16"/>
  <c r="M29" i="16" s="1"/>
  <c r="Q28" i="16"/>
  <c r="S28" i="16" s="1"/>
  <c r="T27" i="16"/>
  <c r="N25" i="22"/>
  <c r="K26" i="22"/>
  <c r="M26" i="22" s="1"/>
  <c r="T25" i="22"/>
  <c r="Q26" i="22"/>
  <c r="S26" i="22" s="1"/>
  <c r="H30" i="22"/>
  <c r="E31" i="22"/>
  <c r="G31" i="22" s="1"/>
  <c r="T27" i="19" l="1"/>
  <c r="Q28" i="19"/>
  <c r="S28" i="19" s="1"/>
  <c r="K28" i="19"/>
  <c r="M28" i="19" s="1"/>
  <c r="N27" i="19"/>
  <c r="E28" i="19"/>
  <c r="G28" i="19" s="1"/>
  <c r="H27" i="19"/>
  <c r="G28" i="16"/>
  <c r="K30" i="16"/>
  <c r="M30" i="16" s="1"/>
  <c r="Q29" i="16"/>
  <c r="S29" i="16" s="1"/>
  <c r="T28" i="16"/>
  <c r="H28" i="16"/>
  <c r="E29" i="16"/>
  <c r="T26" i="22"/>
  <c r="Q27" i="22"/>
  <c r="S27" i="22" s="1"/>
  <c r="N26" i="22"/>
  <c r="K27" i="22"/>
  <c r="M27" i="22" s="1"/>
  <c r="E32" i="22"/>
  <c r="G32" i="22" s="1"/>
  <c r="H31" i="22"/>
  <c r="Q29" i="19" l="1"/>
  <c r="S29" i="19" s="1"/>
  <c r="T28" i="19"/>
  <c r="N28" i="19"/>
  <c r="K29" i="19"/>
  <c r="M29" i="19" s="1"/>
  <c r="H28" i="19"/>
  <c r="E29" i="19"/>
  <c r="G29" i="19" s="1"/>
  <c r="G29" i="16"/>
  <c r="E30" i="16"/>
  <c r="T29" i="16"/>
  <c r="Q30" i="16"/>
  <c r="S30" i="16" s="1"/>
  <c r="N30" i="16"/>
  <c r="K31" i="16"/>
  <c r="M31" i="16" s="1"/>
  <c r="T27" i="22"/>
  <c r="Q28" i="22"/>
  <c r="S28" i="22" s="1"/>
  <c r="N27" i="22"/>
  <c r="K28" i="22"/>
  <c r="M28" i="22" s="1"/>
  <c r="H32" i="22"/>
  <c r="E33" i="22"/>
  <c r="G33" i="22" s="1"/>
  <c r="Q30" i="19" l="1"/>
  <c r="S30" i="19" s="1"/>
  <c r="T29" i="19"/>
  <c r="K30" i="19"/>
  <c r="M30" i="19" s="1"/>
  <c r="N29" i="19"/>
  <c r="H29" i="19"/>
  <c r="E30" i="19"/>
  <c r="G30" i="19" s="1"/>
  <c r="G30" i="16"/>
  <c r="K32" i="16"/>
  <c r="M32" i="16" s="1"/>
  <c r="N31" i="16"/>
  <c r="Q31" i="16"/>
  <c r="S31" i="16" s="1"/>
  <c r="T30" i="16"/>
  <c r="H30" i="16"/>
  <c r="E31" i="16"/>
  <c r="N28" i="22"/>
  <c r="K29" i="22"/>
  <c r="M29" i="22" s="1"/>
  <c r="T28" i="22"/>
  <c r="Q29" i="22"/>
  <c r="S29" i="22" s="1"/>
  <c r="E34" i="22"/>
  <c r="G34" i="22" s="1"/>
  <c r="H33" i="22"/>
  <c r="Q31" i="19" l="1"/>
  <c r="S31" i="19" s="1"/>
  <c r="T30" i="19"/>
  <c r="K31" i="19"/>
  <c r="M31" i="19" s="1"/>
  <c r="N30" i="19"/>
  <c r="H30" i="19"/>
  <c r="E31" i="19"/>
  <c r="G31" i="19" s="1"/>
  <c r="G31" i="16"/>
  <c r="H31" i="16" s="1"/>
  <c r="T31" i="16"/>
  <c r="Q32" i="16"/>
  <c r="S32" i="16" s="1"/>
  <c r="K33" i="16"/>
  <c r="M33" i="16" s="1"/>
  <c r="N32" i="16"/>
  <c r="T29" i="22"/>
  <c r="Q30" i="22"/>
  <c r="S30" i="22" s="1"/>
  <c r="N29" i="22"/>
  <c r="K30" i="22"/>
  <c r="M30" i="22" s="1"/>
  <c r="E35" i="22"/>
  <c r="G35" i="22" s="1"/>
  <c r="H35" i="22" s="1"/>
  <c r="H34" i="22"/>
  <c r="E32" i="16" l="1"/>
  <c r="T31" i="19"/>
  <c r="Q32" i="19"/>
  <c r="S32" i="19" s="1"/>
  <c r="K32" i="19"/>
  <c r="M32" i="19" s="1"/>
  <c r="N31" i="19"/>
  <c r="H31" i="19"/>
  <c r="E32" i="19"/>
  <c r="G32" i="19" s="1"/>
  <c r="G32" i="16"/>
  <c r="E33" i="16" s="1"/>
  <c r="Q33" i="16"/>
  <c r="S33" i="16" s="1"/>
  <c r="T32" i="16"/>
  <c r="N33" i="16"/>
  <c r="K34" i="16"/>
  <c r="M34" i="16" s="1"/>
  <c r="H32" i="16"/>
  <c r="N30" i="22"/>
  <c r="K31" i="22"/>
  <c r="M31" i="22" s="1"/>
  <c r="T30" i="22"/>
  <c r="Q31" i="22"/>
  <c r="S31" i="22" s="1"/>
  <c r="E36" i="22"/>
  <c r="G36" i="22" s="1"/>
  <c r="E37" i="22" s="1"/>
  <c r="G37" i="22" s="1"/>
  <c r="Q33" i="19" l="1"/>
  <c r="S33" i="19" s="1"/>
  <c r="T32" i="19"/>
  <c r="K33" i="19"/>
  <c r="M33" i="19" s="1"/>
  <c r="N32" i="19"/>
  <c r="H32" i="19"/>
  <c r="E33" i="19"/>
  <c r="G33" i="19" s="1"/>
  <c r="G33" i="16"/>
  <c r="E34" i="16" s="1"/>
  <c r="H33" i="16"/>
  <c r="K35" i="16"/>
  <c r="M35" i="16" s="1"/>
  <c r="N34" i="16"/>
  <c r="T33" i="16"/>
  <c r="Q34" i="16"/>
  <c r="S34" i="16" s="1"/>
  <c r="T31" i="22"/>
  <c r="Q32" i="22"/>
  <c r="S32" i="22" s="1"/>
  <c r="N31" i="22"/>
  <c r="K32" i="22"/>
  <c r="M32" i="22" s="1"/>
  <c r="H36" i="22"/>
  <c r="E38" i="22" s="1"/>
  <c r="G38" i="22" s="1"/>
  <c r="H37" i="22"/>
  <c r="T33" i="19" l="1"/>
  <c r="Q34" i="19"/>
  <c r="S34" i="19" s="1"/>
  <c r="N33" i="19"/>
  <c r="K34" i="19"/>
  <c r="M34" i="19" s="1"/>
  <c r="E34" i="19"/>
  <c r="G34" i="19" s="1"/>
  <c r="H33" i="19"/>
  <c r="G34" i="16"/>
  <c r="Q35" i="16"/>
  <c r="S35" i="16" s="1"/>
  <c r="T34" i="16"/>
  <c r="N35" i="16"/>
  <c r="K36" i="16"/>
  <c r="M36" i="16" s="1"/>
  <c r="E35" i="16"/>
  <c r="H34" i="16"/>
  <c r="N32" i="22"/>
  <c r="K33" i="22"/>
  <c r="M33" i="22" s="1"/>
  <c r="T32" i="22"/>
  <c r="Q33" i="22"/>
  <c r="S33" i="22" s="1"/>
  <c r="H38" i="22"/>
  <c r="E39" i="22"/>
  <c r="G39" i="22" s="1"/>
  <c r="Q35" i="19" l="1"/>
  <c r="S35" i="19" s="1"/>
  <c r="T34" i="19"/>
  <c r="K35" i="19"/>
  <c r="M35" i="19" s="1"/>
  <c r="N34" i="19"/>
  <c r="H34" i="19"/>
  <c r="E35" i="19"/>
  <c r="G35" i="19" s="1"/>
  <c r="G35" i="16"/>
  <c r="K37" i="16"/>
  <c r="M37" i="16" s="1"/>
  <c r="N36" i="16"/>
  <c r="H35" i="16"/>
  <c r="E36" i="16"/>
  <c r="T35" i="16"/>
  <c r="Q36" i="16"/>
  <c r="S36" i="16" s="1"/>
  <c r="T33" i="22"/>
  <c r="Q34" i="22"/>
  <c r="S34" i="22" s="1"/>
  <c r="N33" i="22"/>
  <c r="K34" i="22"/>
  <c r="M34" i="22" s="1"/>
  <c r="H39" i="22"/>
  <c r="E40" i="22"/>
  <c r="G40" i="22" s="1"/>
  <c r="T35" i="19" l="1"/>
  <c r="Q36" i="19"/>
  <c r="S36" i="19" s="1"/>
  <c r="N35" i="19"/>
  <c r="K36" i="19"/>
  <c r="M36" i="19" s="1"/>
  <c r="E36" i="19"/>
  <c r="G36" i="19" s="1"/>
  <c r="H35" i="19"/>
  <c r="G36" i="16"/>
  <c r="E37" i="16" s="1"/>
  <c r="Q37" i="16"/>
  <c r="S37" i="16" s="1"/>
  <c r="T36" i="16"/>
  <c r="N37" i="16"/>
  <c r="K38" i="16"/>
  <c r="M38" i="16" s="1"/>
  <c r="N34" i="22"/>
  <c r="K35" i="22"/>
  <c r="M35" i="22" s="1"/>
  <c r="T34" i="22"/>
  <c r="Q35" i="22"/>
  <c r="S35" i="22" s="1"/>
  <c r="E41" i="22"/>
  <c r="G41" i="22" s="1"/>
  <c r="H40" i="22"/>
  <c r="Q37" i="19" l="1"/>
  <c r="S37" i="19" s="1"/>
  <c r="T36" i="19"/>
  <c r="N36" i="19"/>
  <c r="K37" i="19"/>
  <c r="M37" i="19" s="1"/>
  <c r="E37" i="19"/>
  <c r="G37" i="19" s="1"/>
  <c r="H36" i="19"/>
  <c r="H36" i="16"/>
  <c r="G37" i="16"/>
  <c r="H37" i="16" s="1"/>
  <c r="K39" i="16"/>
  <c r="M39" i="16" s="1"/>
  <c r="N38" i="16"/>
  <c r="Q38" i="16"/>
  <c r="S38" i="16" s="1"/>
  <c r="T37" i="16"/>
  <c r="T35" i="22"/>
  <c r="Q36" i="22"/>
  <c r="S36" i="22" s="1"/>
  <c r="N35" i="22"/>
  <c r="K36" i="22"/>
  <c r="M36" i="22" s="1"/>
  <c r="E42" i="22"/>
  <c r="G42" i="22" s="1"/>
  <c r="H41" i="22"/>
  <c r="T37" i="19" l="1"/>
  <c r="Q38" i="19"/>
  <c r="S38" i="19" s="1"/>
  <c r="N37" i="19"/>
  <c r="K38" i="19"/>
  <c r="M38" i="19" s="1"/>
  <c r="E38" i="19"/>
  <c r="G38" i="19" s="1"/>
  <c r="H37" i="19"/>
  <c r="E38" i="16"/>
  <c r="G38" i="16" s="1"/>
  <c r="T38" i="16"/>
  <c r="Q39" i="16"/>
  <c r="S39" i="16" s="1"/>
  <c r="K40" i="16"/>
  <c r="M40" i="16" s="1"/>
  <c r="N39" i="16"/>
  <c r="N36" i="22"/>
  <c r="K37" i="22"/>
  <c r="M37" i="22" s="1"/>
  <c r="T36" i="22"/>
  <c r="Q37" i="22"/>
  <c r="S37" i="22" s="1"/>
  <c r="E43" i="22"/>
  <c r="G43" i="22" s="1"/>
  <c r="H42" i="22"/>
  <c r="H38" i="16" l="1"/>
  <c r="E39" i="16"/>
  <c r="Q39" i="19"/>
  <c r="S39" i="19" s="1"/>
  <c r="T38" i="19"/>
  <c r="K39" i="19"/>
  <c r="M39" i="19" s="1"/>
  <c r="N38" i="19"/>
  <c r="E39" i="19"/>
  <c r="G39" i="19" s="1"/>
  <c r="H38" i="19"/>
  <c r="G39" i="16"/>
  <c r="H39" i="16" s="1"/>
  <c r="N40" i="16"/>
  <c r="K41" i="16"/>
  <c r="M41" i="16" s="1"/>
  <c r="Q40" i="16"/>
  <c r="S40" i="16" s="1"/>
  <c r="T39" i="16"/>
  <c r="T37" i="22"/>
  <c r="Q38" i="22"/>
  <c r="S38" i="22" s="1"/>
  <c r="N37" i="22"/>
  <c r="K38" i="22"/>
  <c r="M38" i="22" s="1"/>
  <c r="H43" i="22"/>
  <c r="E44" i="22"/>
  <c r="G44" i="22" s="1"/>
  <c r="T39" i="19" l="1"/>
  <c r="Q40" i="19"/>
  <c r="S40" i="19" s="1"/>
  <c r="N39" i="19"/>
  <c r="K40" i="19"/>
  <c r="M40" i="19" s="1"/>
  <c r="E40" i="19"/>
  <c r="G40" i="19" s="1"/>
  <c r="H39" i="19"/>
  <c r="E40" i="16"/>
  <c r="G40" i="16"/>
  <c r="E41" i="16"/>
  <c r="H40" i="16"/>
  <c r="T40" i="16"/>
  <c r="Q41" i="16"/>
  <c r="S41" i="16" s="1"/>
  <c r="N41" i="16"/>
  <c r="K42" i="16"/>
  <c r="M42" i="16" s="1"/>
  <c r="N38" i="22"/>
  <c r="K39" i="22"/>
  <c r="M39" i="22" s="1"/>
  <c r="T38" i="22"/>
  <c r="Q39" i="22"/>
  <c r="S39" i="22" s="1"/>
  <c r="E45" i="22"/>
  <c r="G45" i="22" s="1"/>
  <c r="H44" i="22"/>
  <c r="T40" i="19" l="1"/>
  <c r="Q41" i="19"/>
  <c r="S41" i="19" s="1"/>
  <c r="N40" i="19"/>
  <c r="K41" i="19"/>
  <c r="M41" i="19" s="1"/>
  <c r="E41" i="19"/>
  <c r="G41" i="19" s="1"/>
  <c r="H40" i="19"/>
  <c r="G41" i="16"/>
  <c r="N42" i="16"/>
  <c r="K43" i="16"/>
  <c r="M43" i="16" s="1"/>
  <c r="Q42" i="16"/>
  <c r="S42" i="16" s="1"/>
  <c r="T41" i="16"/>
  <c r="H41" i="16"/>
  <c r="E42" i="16"/>
  <c r="T39" i="22"/>
  <c r="Q40" i="22"/>
  <c r="S40" i="22" s="1"/>
  <c r="N39" i="22"/>
  <c r="K40" i="22"/>
  <c r="M40" i="22" s="1"/>
  <c r="E46" i="22"/>
  <c r="G46" i="22" s="1"/>
  <c r="H45" i="22"/>
  <c r="Q42" i="19" l="1"/>
  <c r="S42" i="19" s="1"/>
  <c r="T41" i="19"/>
  <c r="K42" i="19"/>
  <c r="M42" i="19" s="1"/>
  <c r="N41" i="19"/>
  <c r="H41" i="19"/>
  <c r="E42" i="19"/>
  <c r="G42" i="19" s="1"/>
  <c r="G42" i="16"/>
  <c r="H42" i="16" s="1"/>
  <c r="T42" i="16"/>
  <c r="Q43" i="16"/>
  <c r="S43" i="16" s="1"/>
  <c r="K44" i="16"/>
  <c r="M44" i="16" s="1"/>
  <c r="N43" i="16"/>
  <c r="N40" i="22"/>
  <c r="K41" i="22"/>
  <c r="M41" i="22" s="1"/>
  <c r="K42" i="22" s="1"/>
  <c r="T40" i="22"/>
  <c r="Q41" i="22"/>
  <c r="S41" i="22" s="1"/>
  <c r="E47" i="22"/>
  <c r="G47" i="22" s="1"/>
  <c r="H46" i="22"/>
  <c r="T42" i="19" l="1"/>
  <c r="Q43" i="19"/>
  <c r="S43" i="19" s="1"/>
  <c r="N42" i="19"/>
  <c r="K43" i="19"/>
  <c r="M43" i="19" s="1"/>
  <c r="H42" i="19"/>
  <c r="E43" i="19"/>
  <c r="G43" i="19" s="1"/>
  <c r="E43" i="16"/>
  <c r="Q44" i="16"/>
  <c r="S44" i="16" s="1"/>
  <c r="T43" i="16"/>
  <c r="N44" i="16"/>
  <c r="K45" i="16"/>
  <c r="M45" i="16" s="1"/>
  <c r="T41" i="22"/>
  <c r="Q42" i="22"/>
  <c r="S42" i="22" s="1"/>
  <c r="N41" i="22"/>
  <c r="M42" i="22"/>
  <c r="E48" i="22"/>
  <c r="G48" i="22" s="1"/>
  <c r="H47" i="22"/>
  <c r="Q44" i="19" l="1"/>
  <c r="S44" i="19" s="1"/>
  <c r="T43" i="19"/>
  <c r="K44" i="19"/>
  <c r="M44" i="19" s="1"/>
  <c r="N43" i="19"/>
  <c r="H43" i="19"/>
  <c r="E44" i="19"/>
  <c r="G44" i="19" s="1"/>
  <c r="G43" i="16"/>
  <c r="K46" i="16"/>
  <c r="M46" i="16" s="1"/>
  <c r="N45" i="16"/>
  <c r="T44" i="16"/>
  <c r="Q45" i="16"/>
  <c r="S45" i="16" s="1"/>
  <c r="N42" i="22"/>
  <c r="K43" i="22"/>
  <c r="M43" i="22" s="1"/>
  <c r="T42" i="22"/>
  <c r="Q43" i="22"/>
  <c r="S43" i="22" s="1"/>
  <c r="E49" i="22"/>
  <c r="G49" i="22" s="1"/>
  <c r="H48" i="22"/>
  <c r="T44" i="19" l="1"/>
  <c r="Q45" i="19"/>
  <c r="S45" i="19" s="1"/>
  <c r="K45" i="19"/>
  <c r="M45" i="19" s="1"/>
  <c r="N44" i="19"/>
  <c r="E45" i="19"/>
  <c r="G45" i="19" s="1"/>
  <c r="H44" i="19"/>
  <c r="E44" i="16"/>
  <c r="H43" i="16"/>
  <c r="T45" i="16"/>
  <c r="Q46" i="16"/>
  <c r="S46" i="16" s="1"/>
  <c r="N46" i="16"/>
  <c r="K47" i="16"/>
  <c r="M47" i="16" s="1"/>
  <c r="T43" i="22"/>
  <c r="Q44" i="22"/>
  <c r="S44" i="22" s="1"/>
  <c r="N43" i="22"/>
  <c r="K44" i="22"/>
  <c r="M44" i="22" s="1"/>
  <c r="H49" i="22"/>
  <c r="E50" i="22"/>
  <c r="G50" i="22" s="1"/>
  <c r="T45" i="19" l="1"/>
  <c r="Q46" i="19"/>
  <c r="S46" i="19" s="1"/>
  <c r="K46" i="19"/>
  <c r="M46" i="19" s="1"/>
  <c r="N45" i="19"/>
  <c r="E46" i="19"/>
  <c r="G46" i="19" s="1"/>
  <c r="H45" i="19"/>
  <c r="G44" i="16"/>
  <c r="K48" i="16"/>
  <c r="M48" i="16" s="1"/>
  <c r="N47" i="16"/>
  <c r="Q47" i="16"/>
  <c r="S47" i="16" s="1"/>
  <c r="T46" i="16"/>
  <c r="N44" i="22"/>
  <c r="K45" i="22"/>
  <c r="M45" i="22" s="1"/>
  <c r="T44" i="22"/>
  <c r="Q45" i="22"/>
  <c r="S45" i="22" s="1"/>
  <c r="E51" i="22"/>
  <c r="G51" i="22" s="1"/>
  <c r="H50" i="22"/>
  <c r="T46" i="19" l="1"/>
  <c r="Q47" i="19"/>
  <c r="S47" i="19" s="1"/>
  <c r="N46" i="19"/>
  <c r="K47" i="19"/>
  <c r="M47" i="19" s="1"/>
  <c r="H46" i="19"/>
  <c r="E47" i="19"/>
  <c r="G47" i="19" s="1"/>
  <c r="E45" i="16"/>
  <c r="H44" i="16"/>
  <c r="T47" i="16"/>
  <c r="Q48" i="16"/>
  <c r="S48" i="16" s="1"/>
  <c r="K49" i="16"/>
  <c r="M49" i="16" s="1"/>
  <c r="N48" i="16"/>
  <c r="T45" i="22"/>
  <c r="Q46" i="22"/>
  <c r="S46" i="22" s="1"/>
  <c r="N45" i="22"/>
  <c r="K46" i="22"/>
  <c r="M46" i="22" s="1"/>
  <c r="E52" i="22"/>
  <c r="G52" i="22" s="1"/>
  <c r="H51" i="22"/>
  <c r="T47" i="19" l="1"/>
  <c r="Q48" i="19"/>
  <c r="S48" i="19" s="1"/>
  <c r="N47" i="19"/>
  <c r="K48" i="19"/>
  <c r="M48" i="19" s="1"/>
  <c r="H47" i="19"/>
  <c r="E48" i="19"/>
  <c r="G48" i="19" s="1"/>
  <c r="G45" i="16"/>
  <c r="N49" i="16"/>
  <c r="K50" i="16"/>
  <c r="M50" i="16" s="1"/>
  <c r="Q49" i="16"/>
  <c r="S49" i="16" s="1"/>
  <c r="T48" i="16"/>
  <c r="N46" i="22"/>
  <c r="K47" i="22"/>
  <c r="M47" i="22" s="1"/>
  <c r="T46" i="22"/>
  <c r="Q47" i="22"/>
  <c r="S47" i="22" s="1"/>
  <c r="E53" i="22"/>
  <c r="G53" i="22" s="1"/>
  <c r="H52" i="22"/>
  <c r="Q49" i="19" l="1"/>
  <c r="S49" i="19" s="1"/>
  <c r="T48" i="19"/>
  <c r="K49" i="19"/>
  <c r="M49" i="19" s="1"/>
  <c r="N48" i="19"/>
  <c r="E49" i="19"/>
  <c r="G49" i="19" s="1"/>
  <c r="H48" i="19"/>
  <c r="E46" i="16"/>
  <c r="H45" i="16"/>
  <c r="T49" i="16"/>
  <c r="Q50" i="16"/>
  <c r="S50" i="16" s="1"/>
  <c r="K51" i="16"/>
  <c r="M51" i="16" s="1"/>
  <c r="N50" i="16"/>
  <c r="T47" i="22"/>
  <c r="Q48" i="22"/>
  <c r="S48" i="22" s="1"/>
  <c r="N47" i="22"/>
  <c r="K48" i="22"/>
  <c r="M48" i="22" s="1"/>
  <c r="E54" i="22"/>
  <c r="G54" i="22" s="1"/>
  <c r="H53" i="22"/>
  <c r="Q50" i="19" l="1"/>
  <c r="S50" i="19" s="1"/>
  <c r="T49" i="19"/>
  <c r="N49" i="19"/>
  <c r="K50" i="19"/>
  <c r="M50" i="19" s="1"/>
  <c r="H49" i="19"/>
  <c r="E50" i="19"/>
  <c r="G50" i="19" s="1"/>
  <c r="G46" i="16"/>
  <c r="Q51" i="16"/>
  <c r="S51" i="16" s="1"/>
  <c r="T50" i="16"/>
  <c r="N51" i="16"/>
  <c r="K52" i="16"/>
  <c r="M52" i="16" s="1"/>
  <c r="N48" i="22"/>
  <c r="K49" i="22"/>
  <c r="M49" i="22" s="1"/>
  <c r="T48" i="22"/>
  <c r="Q49" i="22"/>
  <c r="S49" i="22" s="1"/>
  <c r="E55" i="22"/>
  <c r="G55" i="22" s="1"/>
  <c r="H54" i="22"/>
  <c r="Q51" i="19" l="1"/>
  <c r="S51" i="19" s="1"/>
  <c r="T50" i="19"/>
  <c r="K51" i="19"/>
  <c r="M51" i="19" s="1"/>
  <c r="N50" i="19"/>
  <c r="H50" i="19"/>
  <c r="E51" i="19"/>
  <c r="G51" i="19" s="1"/>
  <c r="H46" i="16"/>
  <c r="E47" i="16"/>
  <c r="K53" i="16"/>
  <c r="M53" i="16" s="1"/>
  <c r="N52" i="16"/>
  <c r="T51" i="16"/>
  <c r="Q52" i="16"/>
  <c r="S52" i="16" s="1"/>
  <c r="T49" i="22"/>
  <c r="Q50" i="22"/>
  <c r="S50" i="22" s="1"/>
  <c r="E56" i="22"/>
  <c r="G56" i="22" s="1"/>
  <c r="N49" i="22"/>
  <c r="K50" i="22"/>
  <c r="M50" i="22" s="1"/>
  <c r="H55" i="22"/>
  <c r="Q52" i="19" l="1"/>
  <c r="S52" i="19" s="1"/>
  <c r="T51" i="19"/>
  <c r="N51" i="19"/>
  <c r="K52" i="19"/>
  <c r="M52" i="19" s="1"/>
  <c r="H51" i="19"/>
  <c r="E52" i="19"/>
  <c r="G52" i="19" s="1"/>
  <c r="G47" i="16"/>
  <c r="Q53" i="16"/>
  <c r="S53" i="16" s="1"/>
  <c r="T52" i="16"/>
  <c r="N53" i="16"/>
  <c r="K54" i="16"/>
  <c r="M54" i="16" s="1"/>
  <c r="N50" i="22"/>
  <c r="K51" i="22"/>
  <c r="M51" i="22" s="1"/>
  <c r="T50" i="22"/>
  <c r="Q51" i="22"/>
  <c r="S51" i="22" s="1"/>
  <c r="E57" i="22"/>
  <c r="F10" i="22"/>
  <c r="F11" i="22"/>
  <c r="H56" i="22"/>
  <c r="F9" i="22" s="1"/>
  <c r="F13" i="22"/>
  <c r="Q53" i="19" l="1"/>
  <c r="S53" i="19" s="1"/>
  <c r="T52" i="19"/>
  <c r="K53" i="19"/>
  <c r="M53" i="19" s="1"/>
  <c r="N52" i="19"/>
  <c r="E53" i="19"/>
  <c r="G53" i="19" s="1"/>
  <c r="H52" i="19"/>
  <c r="E48" i="16"/>
  <c r="H47" i="16"/>
  <c r="K55" i="16"/>
  <c r="M55" i="16" s="1"/>
  <c r="N54" i="16"/>
  <c r="Q54" i="16"/>
  <c r="S54" i="16" s="1"/>
  <c r="T53" i="16"/>
  <c r="T51" i="22"/>
  <c r="Q52" i="22"/>
  <c r="S52" i="22" s="1"/>
  <c r="N51" i="22"/>
  <c r="K52" i="22"/>
  <c r="M52" i="22" s="1"/>
  <c r="F12" i="22"/>
  <c r="Q54" i="19" l="1"/>
  <c r="S54" i="19" s="1"/>
  <c r="T53" i="19"/>
  <c r="K54" i="19"/>
  <c r="M54" i="19" s="1"/>
  <c r="N53" i="19"/>
  <c r="H53" i="19"/>
  <c r="E54" i="19"/>
  <c r="G54" i="19" s="1"/>
  <c r="G48" i="16"/>
  <c r="T54" i="16"/>
  <c r="Q55" i="16"/>
  <c r="S55" i="16" s="1"/>
  <c r="K56" i="16"/>
  <c r="M56" i="16" s="1"/>
  <c r="N55" i="16"/>
  <c r="T52" i="22"/>
  <c r="Q53" i="22"/>
  <c r="S53" i="22" s="1"/>
  <c r="N52" i="22"/>
  <c r="K53" i="22"/>
  <c r="M53" i="22" s="1"/>
  <c r="Q55" i="19" l="1"/>
  <c r="S55" i="19" s="1"/>
  <c r="T54" i="19"/>
  <c r="N54" i="19"/>
  <c r="K55" i="19"/>
  <c r="M55" i="19" s="1"/>
  <c r="E55" i="19"/>
  <c r="G55" i="19" s="1"/>
  <c r="H54" i="19"/>
  <c r="E49" i="16"/>
  <c r="H48" i="16"/>
  <c r="K57" i="16"/>
  <c r="M57" i="16" s="1"/>
  <c r="N56" i="16"/>
  <c r="G13" i="16"/>
  <c r="Q56" i="16"/>
  <c r="S56" i="16" s="1"/>
  <c r="T55" i="16"/>
  <c r="N53" i="22"/>
  <c r="K54" i="22"/>
  <c r="M54" i="22" s="1"/>
  <c r="T53" i="22"/>
  <c r="Q54" i="22"/>
  <c r="S54" i="22" s="1"/>
  <c r="Q56" i="19" l="1"/>
  <c r="S56" i="19" s="1"/>
  <c r="T55" i="19"/>
  <c r="K56" i="19"/>
  <c r="M56" i="19" s="1"/>
  <c r="N55" i="19"/>
  <c r="H55" i="19"/>
  <c r="E56" i="19"/>
  <c r="G56" i="19" s="1"/>
  <c r="K58" i="16"/>
  <c r="M58" i="16" s="1"/>
  <c r="N57" i="16"/>
  <c r="G49" i="16"/>
  <c r="Q57" i="16"/>
  <c r="T56" i="16"/>
  <c r="H13" i="16"/>
  <c r="H11" i="16"/>
  <c r="T54" i="22"/>
  <c r="Q55" i="22"/>
  <c r="S55" i="22" s="1"/>
  <c r="N54" i="22"/>
  <c r="K55" i="22"/>
  <c r="M55" i="22" s="1"/>
  <c r="H11" i="19" l="1"/>
  <c r="H13" i="19"/>
  <c r="Q57" i="19"/>
  <c r="T56" i="19"/>
  <c r="H9" i="19" s="1"/>
  <c r="H12" i="19" s="1"/>
  <c r="H10" i="19"/>
  <c r="K57" i="19"/>
  <c r="G11" i="19"/>
  <c r="N56" i="19"/>
  <c r="G9" i="19" s="1"/>
  <c r="G10" i="19"/>
  <c r="G13" i="19"/>
  <c r="F11" i="19"/>
  <c r="F13" i="19"/>
  <c r="F10" i="19"/>
  <c r="E57" i="19"/>
  <c r="H56" i="19"/>
  <c r="F9" i="19" s="1"/>
  <c r="K59" i="16"/>
  <c r="M59" i="16" s="1"/>
  <c r="N58" i="16"/>
  <c r="E50" i="16"/>
  <c r="H49" i="16"/>
  <c r="H12" i="16"/>
  <c r="T55" i="22"/>
  <c r="Q56" i="22"/>
  <c r="S56" i="22" s="1"/>
  <c r="N55" i="22"/>
  <c r="K56" i="22"/>
  <c r="M56" i="22" s="1"/>
  <c r="G11" i="22" s="1"/>
  <c r="G12" i="19" l="1"/>
  <c r="F12" i="19"/>
  <c r="N59" i="16"/>
  <c r="G9" i="16" s="1"/>
  <c r="G11" i="16"/>
  <c r="G10" i="16"/>
  <c r="G50" i="16"/>
  <c r="H11" i="22"/>
  <c r="H10" i="22"/>
  <c r="H13" i="22"/>
  <c r="Q57" i="22"/>
  <c r="T56" i="22"/>
  <c r="H9" i="22" s="1"/>
  <c r="H12" i="22" s="1"/>
  <c r="K57" i="22"/>
  <c r="N56" i="22"/>
  <c r="G9" i="22" s="1"/>
  <c r="G13" i="22"/>
  <c r="G10" i="22"/>
  <c r="G12" i="16" l="1"/>
  <c r="E51" i="16"/>
  <c r="H50" i="16"/>
  <c r="G12" i="22"/>
  <c r="G51" i="16" l="1"/>
  <c r="H51" i="16" l="1"/>
  <c r="E52" i="16"/>
  <c r="G52" i="16" l="1"/>
  <c r="E53" i="16" l="1"/>
  <c r="H52" i="16"/>
  <c r="G53" i="16" l="1"/>
  <c r="H53" i="16" l="1"/>
  <c r="E54" i="16"/>
  <c r="G54" i="16" l="1"/>
  <c r="E55" i="16" l="1"/>
  <c r="G55" i="16" s="1"/>
  <c r="H54" i="16"/>
  <c r="H55" i="16" l="1"/>
  <c r="E56" i="16"/>
  <c r="G56" i="16" s="1"/>
  <c r="E57" i="16" l="1"/>
  <c r="G57" i="16" s="1"/>
  <c r="H56" i="16"/>
  <c r="F13" i="16"/>
  <c r="H57" i="16" l="1"/>
  <c r="E58" i="16"/>
  <c r="G58" i="16" s="1"/>
  <c r="H58" i="16" l="1"/>
  <c r="E59" i="16"/>
  <c r="G59" i="16" s="1"/>
  <c r="H59" i="16" l="1"/>
  <c r="F10" i="16"/>
  <c r="F11" i="16"/>
  <c r="F9" i="16" l="1"/>
  <c r="F12" i="16" s="1"/>
</calcChain>
</file>

<file path=xl/sharedStrings.xml><?xml version="1.0" encoding="utf-8"?>
<sst xmlns="http://schemas.openxmlformats.org/spreadsheetml/2006/main" count="451" uniqueCount="113">
  <si>
    <t>Demand</t>
  </si>
  <si>
    <t>EOQ</t>
  </si>
  <si>
    <t>lead time</t>
  </si>
  <si>
    <t>reorder</t>
  </si>
  <si>
    <t>Number of Orders Per Year</t>
  </si>
  <si>
    <t xml:space="preserve">p stock out </t>
  </si>
  <si>
    <t>p no stock out</t>
  </si>
  <si>
    <t>mean</t>
  </si>
  <si>
    <t>st dev</t>
  </si>
  <si>
    <t>reorder for uncertain</t>
  </si>
  <si>
    <t>reordxer at expected demand</t>
  </si>
  <si>
    <t>reorder for level of service</t>
  </si>
  <si>
    <t xml:space="preserve">EOQ Model Inputs </t>
  </si>
  <si>
    <t>Value</t>
  </si>
  <si>
    <t>Unit Cost (C)</t>
  </si>
  <si>
    <t>Unit_Cost</t>
  </si>
  <si>
    <t>Holding cost rate (I)</t>
  </si>
  <si>
    <t>Inv_rate</t>
  </si>
  <si>
    <t>days</t>
  </si>
  <si>
    <t>Lead_Time</t>
  </si>
  <si>
    <t>Intermediate Calculations</t>
  </si>
  <si>
    <t>Unit Hoding Cost (Ch)</t>
  </si>
  <si>
    <t>Ch</t>
  </si>
  <si>
    <t>Unit Ordering Cost (Co)</t>
  </si>
  <si>
    <t>Co</t>
  </si>
  <si>
    <t>reorder point</t>
  </si>
  <si>
    <t>Reorderpoint</t>
  </si>
  <si>
    <t>Economic ordering Quanity</t>
  </si>
  <si>
    <t>Solution (Q*)</t>
  </si>
  <si>
    <t>Model outputs</t>
  </si>
  <si>
    <t>Annual Hodling Cost</t>
  </si>
  <si>
    <t>AnHolding</t>
  </si>
  <si>
    <t>Annual Ordering Cost</t>
  </si>
  <si>
    <t>AnOrdering</t>
  </si>
  <si>
    <t>Total Annual Cost</t>
  </si>
  <si>
    <t>TotalCost</t>
  </si>
  <si>
    <t>Number of Cycles per Year</t>
  </si>
  <si>
    <t>NumCycles</t>
  </si>
  <si>
    <t xml:space="preserve">Cycle time </t>
  </si>
  <si>
    <t>CycleTime</t>
  </si>
  <si>
    <t>Yearly Demand (D) 52 weeks</t>
  </si>
  <si>
    <t>tonnes</t>
  </si>
  <si>
    <t>%</t>
  </si>
  <si>
    <t>$</t>
  </si>
  <si>
    <t>$/tonne</t>
  </si>
  <si>
    <t>DailyDemand</t>
  </si>
  <si>
    <t>demand per day(d)</t>
  </si>
  <si>
    <t>Days per year</t>
  </si>
  <si>
    <t>CSL</t>
  </si>
  <si>
    <t>day/year</t>
  </si>
  <si>
    <t xml:space="preserve">safety stock </t>
  </si>
  <si>
    <t>Known constants</t>
  </si>
  <si>
    <t>Beginning inventory</t>
  </si>
  <si>
    <t>Fixed cost per order</t>
  </si>
  <si>
    <t>Holding cost per unit in inventory</t>
  </si>
  <si>
    <t>Shortage cost per unit backordered</t>
  </si>
  <si>
    <t>Outputs</t>
  </si>
  <si>
    <t>Fixed cost</t>
  </si>
  <si>
    <t>Holding cost</t>
  </si>
  <si>
    <t>Shortage cost</t>
  </si>
  <si>
    <t>Parameters of ordering policy</t>
  </si>
  <si>
    <t>Total cost</t>
  </si>
  <si>
    <t>Week</t>
  </si>
  <si>
    <t>Ending inv.</t>
  </si>
  <si>
    <t>Order amount</t>
  </si>
  <si>
    <t>CSL = 99.9</t>
  </si>
  <si>
    <t>CSL = 99</t>
  </si>
  <si>
    <t>CSL = 95</t>
  </si>
  <si>
    <t xml:space="preserve"> </t>
  </si>
  <si>
    <t>Weeks with stockouts (weeks)</t>
  </si>
  <si>
    <t>Reorder point (tonnes)</t>
  </si>
  <si>
    <t>Order quantity (tonnes)</t>
  </si>
  <si>
    <t>Beginning inv.</t>
  </si>
  <si>
    <t>8-Point MA</t>
  </si>
  <si>
    <t>WMA</t>
  </si>
  <si>
    <t>SES</t>
  </si>
  <si>
    <t>orders/year</t>
  </si>
  <si>
    <t>Demand(t)</t>
  </si>
  <si>
    <t>8 point Moving Average</t>
  </si>
  <si>
    <t>Weighted Moving Average</t>
  </si>
  <si>
    <t xml:space="preserve">Exponential Smooting </t>
  </si>
  <si>
    <t>Weights</t>
  </si>
  <si>
    <t>alpha</t>
  </si>
  <si>
    <t>Error MA</t>
  </si>
  <si>
    <t>Error WMA</t>
  </si>
  <si>
    <t>Error SES</t>
  </si>
  <si>
    <t>Absolute Error Moving Average</t>
  </si>
  <si>
    <t>Absolute Error Weighted Moving average.</t>
  </si>
  <si>
    <t>Absolute Error SES</t>
  </si>
  <si>
    <t>Sq Error Moving Average</t>
  </si>
  <si>
    <t>Sq  Error Weighted Moving average.</t>
  </si>
  <si>
    <t>Sq                  Error SES</t>
  </si>
  <si>
    <t>Absolute Perentage Moving Average</t>
  </si>
  <si>
    <t>Absolute Percentage  Error Weighted Moving average.</t>
  </si>
  <si>
    <t>Absolute PercentageError SES</t>
  </si>
  <si>
    <t>Errors</t>
  </si>
  <si>
    <t>Moving Average</t>
  </si>
  <si>
    <t>Exponential Smoothing</t>
  </si>
  <si>
    <t>T-8</t>
  </si>
  <si>
    <t>MAE</t>
  </si>
  <si>
    <t>T-7</t>
  </si>
  <si>
    <t>MSE</t>
  </si>
  <si>
    <t>T-6</t>
  </si>
  <si>
    <t>RMSE</t>
  </si>
  <si>
    <t>T-5</t>
  </si>
  <si>
    <t>MAPE</t>
  </si>
  <si>
    <t>T-4</t>
  </si>
  <si>
    <t>T-3</t>
  </si>
  <si>
    <t>T-2</t>
  </si>
  <si>
    <t>T-1</t>
  </si>
  <si>
    <t>SUM</t>
  </si>
  <si>
    <t>MEAN</t>
  </si>
  <si>
    <t>YEARLY 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</si>
</sst>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0.0"/>
    <numFmt numFmtId="165" formatCode="0.000"/>
    <numFmt numFmtId="166" formatCode="0.0000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6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5" borderId="1" xfId="0" applyFill="1" applyBorder="1"/>
    <xf numFmtId="0" fontId="0" fillId="4" borderId="0" xfId="0" applyFill="1"/>
    <xf numFmtId="0" fontId="0" fillId="3" borderId="0" xfId="0" applyFill="1"/>
    <xf numFmtId="0" fontId="1" fillId="2" borderId="0" xfId="0" applyFont="1" applyFill="1"/>
    <xf numFmtId="0" fontId="4" fillId="0" borderId="0" xfId="0" applyFont="1"/>
    <xf numFmtId="164" fontId="0" fillId="6" borderId="2" xfId="0" applyNumberFormat="1" applyFill="1" applyBorder="1"/>
    <xf numFmtId="0" fontId="0" fillId="0" borderId="2" xfId="0" applyBorder="1"/>
    <xf numFmtId="0" fontId="5" fillId="0" borderId="0" xfId="0" applyFont="1"/>
    <xf numFmtId="164" fontId="0" fillId="6" borderId="3" xfId="0" applyNumberFormat="1" applyFill="1" applyBorder="1"/>
    <xf numFmtId="0" fontId="0" fillId="0" borderId="3" xfId="0" applyBorder="1"/>
    <xf numFmtId="44" fontId="0" fillId="6" borderId="3" xfId="0" applyNumberFormat="1" applyFill="1" applyBorder="1"/>
    <xf numFmtId="44" fontId="0" fillId="6" borderId="3" xfId="1" applyFont="1" applyFill="1" applyBorder="1"/>
    <xf numFmtId="44" fontId="0" fillId="6" borderId="4" xfId="1" applyFont="1" applyFill="1" applyBorder="1"/>
    <xf numFmtId="0" fontId="0" fillId="0" borderId="4" xfId="0" applyBorder="1"/>
    <xf numFmtId="0" fontId="3" fillId="0" borderId="0" xfId="0" applyFont="1"/>
    <xf numFmtId="164" fontId="0" fillId="6" borderId="5" xfId="0" applyNumberFormat="1" applyFill="1" applyBorder="1"/>
    <xf numFmtId="0" fontId="0" fillId="0" borderId="5" xfId="0" applyBorder="1"/>
    <xf numFmtId="0" fontId="0" fillId="4" borderId="3" xfId="0" applyFill="1" applyBorder="1"/>
    <xf numFmtId="0" fontId="0" fillId="3" borderId="3" xfId="0" applyFill="1" applyBorder="1"/>
    <xf numFmtId="0" fontId="0" fillId="4" borderId="4" xfId="0" applyFill="1" applyBorder="1"/>
    <xf numFmtId="2" fontId="0" fillId="3" borderId="2" xfId="0" applyNumberFormat="1" applyFill="1" applyBorder="1"/>
    <xf numFmtId="0" fontId="0" fillId="3" borderId="4" xfId="0" applyFill="1" applyBorder="1"/>
    <xf numFmtId="2" fontId="0" fillId="4" borderId="2" xfId="0" applyNumberFormat="1" applyFill="1" applyBorder="1"/>
    <xf numFmtId="0" fontId="1" fillId="2" borderId="6" xfId="0" applyFont="1" applyFill="1" applyBorder="1"/>
    <xf numFmtId="0" fontId="0" fillId="4" borderId="6" xfId="0" applyFill="1" applyBorder="1"/>
    <xf numFmtId="0" fontId="0" fillId="0" borderId="1" xfId="0" applyBorder="1"/>
    <xf numFmtId="0" fontId="0" fillId="0" borderId="0" xfId="0" applyAlignment="1">
      <alignment horizontal="center"/>
    </xf>
    <xf numFmtId="0" fontId="3" fillId="7" borderId="0" xfId="0" applyFont="1" applyFill="1"/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15" xfId="0" applyBorder="1"/>
    <xf numFmtId="0" fontId="3" fillId="3" borderId="14" xfId="0" applyFont="1" applyFill="1" applyBorder="1"/>
    <xf numFmtId="0" fontId="0" fillId="3" borderId="15" xfId="0" applyFill="1" applyBorder="1"/>
    <xf numFmtId="0" fontId="3" fillId="3" borderId="1" xfId="0" applyFont="1" applyFill="1" applyBorder="1"/>
    <xf numFmtId="0" fontId="0" fillId="0" borderId="14" xfId="0" applyBorder="1"/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3" fillId="3" borderId="6" xfId="0" applyFont="1" applyFill="1" applyBorder="1"/>
    <xf numFmtId="44" fontId="0" fillId="0" borderId="9" xfId="1" applyFont="1" applyBorder="1"/>
    <xf numFmtId="44" fontId="0" fillId="0" borderId="6" xfId="1" applyFont="1" applyBorder="1"/>
    <xf numFmtId="44" fontId="0" fillId="0" borderId="12" xfId="1" applyFont="1" applyBorder="1"/>
    <xf numFmtId="0" fontId="3" fillId="7" borderId="1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164" fontId="0" fillId="3" borderId="1" xfId="0" applyNumberFormat="1" applyFill="1" applyBorder="1"/>
    <xf numFmtId="0" fontId="1" fillId="2" borderId="14" xfId="0" applyFont="1" applyFill="1" applyBorder="1"/>
    <xf numFmtId="0" fontId="0" fillId="3" borderId="13" xfId="0" applyFill="1" applyBorder="1"/>
    <xf numFmtId="164" fontId="0" fillId="3" borderId="0" xfId="0" applyNumberFormat="1" applyFill="1"/>
    <xf numFmtId="164" fontId="0" fillId="0" borderId="14" xfId="0" applyNumberFormat="1" applyBorder="1"/>
    <xf numFmtId="164" fontId="0" fillId="0" borderId="1" xfId="0" applyNumberFormat="1" applyBorder="1"/>
    <xf numFmtId="164" fontId="7" fillId="8" borderId="16" xfId="0" applyNumberFormat="1" applyFont="1" applyFill="1" applyBorder="1" applyAlignment="1">
      <alignment horizontal="center" wrapText="1"/>
    </xf>
    <xf numFmtId="0" fontId="3" fillId="3" borderId="17" xfId="0" applyFont="1" applyFill="1" applyBorder="1"/>
    <xf numFmtId="0" fontId="0" fillId="0" borderId="18" xfId="0" applyBorder="1"/>
    <xf numFmtId="0" fontId="0" fillId="0" borderId="9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13" xfId="0" applyBorder="1"/>
    <xf numFmtId="0" fontId="5" fillId="7" borderId="1" xfId="0" applyFont="1" applyFill="1" applyBorder="1"/>
    <xf numFmtId="0" fontId="3" fillId="7" borderId="1" xfId="0" applyFont="1" applyFill="1" applyBorder="1"/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9" borderId="0" xfId="0" applyFill="1" applyAlignment="1">
      <alignment horizontal="right"/>
    </xf>
    <xf numFmtId="0" fontId="1" fillId="2" borderId="1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0" fillId="8" borderId="21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7" fillId="8" borderId="22" xfId="0" applyFont="1" applyFill="1" applyBorder="1" applyAlignment="1">
      <alignment horizontal="center" wrapText="1"/>
    </xf>
    <xf numFmtId="0" fontId="7" fillId="8" borderId="23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10" borderId="0" xfId="0" applyFill="1" applyAlignment="1">
      <alignment horizontal="right"/>
    </xf>
    <xf numFmtId="0" fontId="1" fillId="3" borderId="14" xfId="0" applyFont="1" applyFill="1" applyBorder="1" applyAlignment="1">
      <alignment horizontal="center" vertical="center"/>
    </xf>
    <xf numFmtId="164" fontId="6" fillId="11" borderId="24" xfId="0" applyNumberFormat="1" applyFont="1" applyFill="1" applyBorder="1" applyAlignment="1">
      <alignment horizontal="center" vertical="center"/>
    </xf>
    <xf numFmtId="164" fontId="6" fillId="12" borderId="24" xfId="0" applyNumberFormat="1" applyFont="1" applyFill="1" applyBorder="1" applyAlignment="1">
      <alignment horizontal="center" vertical="center"/>
    </xf>
    <xf numFmtId="164" fontId="6" fillId="13" borderId="24" xfId="0" applyNumberFormat="1" applyFont="1" applyFill="1" applyBorder="1" applyAlignment="1">
      <alignment horizontal="center" vertical="center"/>
    </xf>
    <xf numFmtId="0" fontId="0" fillId="8" borderId="25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7" fillId="8" borderId="16" xfId="0" applyFont="1" applyFill="1" applyBorder="1" applyAlignment="1">
      <alignment horizontal="center" wrapText="1"/>
    </xf>
    <xf numFmtId="1" fontId="7" fillId="8" borderId="26" xfId="0" applyNumberFormat="1" applyFont="1" applyFill="1" applyBorder="1" applyAlignment="1">
      <alignment horizontal="center" wrapText="1"/>
    </xf>
    <xf numFmtId="164" fontId="6" fillId="11" borderId="27" xfId="0" applyNumberFormat="1" applyFont="1" applyFill="1" applyBorder="1" applyAlignment="1">
      <alignment horizontal="center" vertical="center"/>
    </xf>
    <xf numFmtId="164" fontId="6" fillId="12" borderId="27" xfId="0" applyNumberFormat="1" applyFont="1" applyFill="1" applyBorder="1" applyAlignment="1">
      <alignment horizontal="center" vertical="center"/>
    </xf>
    <xf numFmtId="164" fontId="6" fillId="13" borderId="27" xfId="0" applyNumberFormat="1" applyFont="1" applyFill="1" applyBorder="1" applyAlignment="1">
      <alignment horizontal="center" vertical="center"/>
    </xf>
    <xf numFmtId="164" fontId="6" fillId="11" borderId="28" xfId="0" applyNumberFormat="1" applyFont="1" applyFill="1" applyBorder="1" applyAlignment="1">
      <alignment horizontal="center" vertical="center"/>
    </xf>
    <xf numFmtId="164" fontId="6" fillId="12" borderId="28" xfId="0" applyNumberFormat="1" applyFont="1" applyFill="1" applyBorder="1" applyAlignment="1">
      <alignment horizontal="center" vertical="center"/>
    </xf>
    <xf numFmtId="164" fontId="6" fillId="13" borderId="28" xfId="0" applyNumberFormat="1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164" fontId="0" fillId="0" borderId="2" xfId="0" applyNumberFormat="1" applyBorder="1" applyAlignment="1">
      <alignment horizontal="center"/>
    </xf>
    <xf numFmtId="0" fontId="0" fillId="8" borderId="16" xfId="0" applyFill="1" applyBorder="1" applyAlignment="1">
      <alignment horizontal="center" wrapText="1"/>
    </xf>
    <xf numFmtId="0" fontId="0" fillId="8" borderId="26" xfId="0" applyFill="1" applyBorder="1" applyAlignment="1">
      <alignment horizontal="center" wrapText="1"/>
    </xf>
    <xf numFmtId="0" fontId="0" fillId="8" borderId="29" xfId="0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0" fillId="8" borderId="30" xfId="0" applyFill="1" applyBorder="1" applyAlignment="1">
      <alignment horizontal="center" wrapText="1"/>
    </xf>
    <xf numFmtId="0" fontId="0" fillId="8" borderId="31" xfId="0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center"/>
    </xf>
    <xf numFmtId="2" fontId="7" fillId="8" borderId="16" xfId="0" applyNumberFormat="1" applyFont="1" applyFill="1" applyBorder="1" applyAlignment="1">
      <alignment horizontal="center"/>
    </xf>
    <xf numFmtId="2" fontId="7" fillId="8" borderId="30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20" xfId="0" applyFont="1" applyBorder="1" applyAlignment="1">
      <alignment horizontal="center" wrapText="1"/>
    </xf>
    <xf numFmtId="164" fontId="7" fillId="0" borderId="12" xfId="0" applyNumberFormat="1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3" fillId="3" borderId="10" xfId="0" applyFont="1" applyFill="1" applyBorder="1" applyAlignment="1">
      <alignment horizontal="center" wrapText="1"/>
    </xf>
    <xf numFmtId="2" fontId="0" fillId="0" borderId="0" xfId="0" applyNumberFormat="1" applyAlignment="1">
      <alignment horizontal="right"/>
    </xf>
    <xf numFmtId="0" fontId="3" fillId="3" borderId="1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5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7A12F-4182-4085-B109-E39F0647CD78}">
  <dimension ref="A1:AE48"/>
  <sheetViews>
    <sheetView tabSelected="1" workbookViewId="0">
      <selection activeCell="F18" sqref="F18"/>
    </sheetView>
  </sheetViews>
  <sheetFormatPr defaultRowHeight="14.6" x14ac:dyDescent="0.4"/>
  <cols>
    <col min="1" max="1" width="14.53515625" customWidth="1"/>
    <col min="2" max="2" width="16.765625" customWidth="1"/>
    <col min="3" max="3" width="21.23046875" customWidth="1"/>
    <col min="4" max="4" width="15.921875" customWidth="1"/>
    <col min="5" max="5" width="11" customWidth="1"/>
    <col min="12" max="12" width="9.3828125" customWidth="1"/>
    <col min="13" max="13" width="10.921875" customWidth="1"/>
    <col min="25" max="25" width="10.15234375" customWidth="1"/>
    <col min="26" max="26" width="10.84375" customWidth="1"/>
    <col min="31" max="31" width="10.3828125" customWidth="1"/>
  </cols>
  <sheetData>
    <row r="1" spans="1:31" ht="89.15" customHeight="1" thickBot="1" x14ac:dyDescent="0.45">
      <c r="A1" s="73" t="s">
        <v>62</v>
      </c>
      <c r="B1" s="74" t="s">
        <v>77</v>
      </c>
      <c r="C1" s="75" t="s">
        <v>78</v>
      </c>
      <c r="D1" s="75" t="s">
        <v>79</v>
      </c>
      <c r="E1" s="75" t="s">
        <v>80</v>
      </c>
      <c r="F1" s="76"/>
      <c r="G1" s="128" t="s">
        <v>81</v>
      </c>
      <c r="H1" s="128"/>
      <c r="J1" s="74" t="s">
        <v>82</v>
      </c>
      <c r="K1" s="76"/>
      <c r="L1" s="74" t="s">
        <v>83</v>
      </c>
      <c r="M1" s="74" t="s">
        <v>84</v>
      </c>
      <c r="N1" s="74" t="s">
        <v>85</v>
      </c>
      <c r="O1" s="77"/>
      <c r="P1" s="75" t="s">
        <v>86</v>
      </c>
      <c r="Q1" s="75" t="s">
        <v>87</v>
      </c>
      <c r="R1" s="75" t="s">
        <v>88</v>
      </c>
      <c r="S1" s="77"/>
      <c r="T1" s="75" t="s">
        <v>89</v>
      </c>
      <c r="U1" s="75" t="s">
        <v>90</v>
      </c>
      <c r="V1" s="75" t="s">
        <v>91</v>
      </c>
      <c r="W1" s="77"/>
      <c r="X1" s="75" t="s">
        <v>92</v>
      </c>
      <c r="Y1" s="75" t="s">
        <v>93</v>
      </c>
      <c r="Z1" s="75" t="s">
        <v>94</v>
      </c>
      <c r="AA1" s="76"/>
      <c r="AB1" s="78" t="s">
        <v>95</v>
      </c>
      <c r="AC1" s="79" t="s">
        <v>96</v>
      </c>
      <c r="AD1" s="79" t="s">
        <v>79</v>
      </c>
      <c r="AE1" s="79" t="s">
        <v>97</v>
      </c>
    </row>
    <row r="2" spans="1:31" x14ac:dyDescent="0.4">
      <c r="A2" s="80">
        <v>1</v>
      </c>
      <c r="B2" s="81">
        <v>262</v>
      </c>
      <c r="C2" s="82"/>
      <c r="D2" s="82"/>
      <c r="E2" s="83">
        <v>262</v>
      </c>
      <c r="F2" s="76"/>
      <c r="G2" s="115" t="s">
        <v>98</v>
      </c>
      <c r="H2" s="85">
        <f>1/36</f>
        <v>2.7777777777777776E-2</v>
      </c>
      <c r="I2" s="76"/>
      <c r="J2" s="84">
        <v>0.36099999999999999</v>
      </c>
      <c r="K2" s="76"/>
      <c r="L2" s="86"/>
      <c r="M2" s="86"/>
      <c r="N2" s="86"/>
      <c r="O2" s="77"/>
      <c r="P2" s="86"/>
      <c r="Q2" s="86"/>
      <c r="R2" s="86"/>
      <c r="S2" s="77"/>
      <c r="T2" s="86"/>
      <c r="U2" s="86"/>
      <c r="V2" s="86"/>
      <c r="W2" s="77"/>
      <c r="X2" s="86"/>
      <c r="Y2" s="86"/>
      <c r="Z2" s="86"/>
      <c r="AA2" s="76"/>
      <c r="AB2" s="87" t="s">
        <v>99</v>
      </c>
      <c r="AC2" s="88">
        <f>AVERAGE(P14:P40)</f>
        <v>106.1574074074074</v>
      </c>
      <c r="AD2" s="89">
        <f>AVERAGE(Q14:Q40)</f>
        <v>103.05864197530867</v>
      </c>
      <c r="AE2" s="90">
        <f>AVERAGE(R14:R40)</f>
        <v>105.65141251330742</v>
      </c>
    </row>
    <row r="3" spans="1:31" x14ac:dyDescent="0.4">
      <c r="A3" s="91">
        <v>2</v>
      </c>
      <c r="B3" s="92">
        <v>323</v>
      </c>
      <c r="C3" s="93"/>
      <c r="D3" s="93"/>
      <c r="E3" s="94">
        <f>$J$2*B2+(1-$J$2)*E2</f>
        <v>262</v>
      </c>
      <c r="F3" s="76"/>
      <c r="G3" s="115" t="s">
        <v>100</v>
      </c>
      <c r="H3" s="85">
        <v>5.5555555555555552E-2</v>
      </c>
      <c r="I3" s="76"/>
      <c r="J3" s="76"/>
      <c r="K3" s="76"/>
      <c r="L3" s="86"/>
      <c r="M3" s="86"/>
      <c r="N3" s="86"/>
      <c r="O3" s="77"/>
      <c r="P3" s="86"/>
      <c r="Q3" s="86"/>
      <c r="R3" s="86"/>
      <c r="S3" s="77"/>
      <c r="T3" s="86"/>
      <c r="U3" s="86"/>
      <c r="V3" s="86"/>
      <c r="W3" s="77"/>
      <c r="X3" s="86"/>
      <c r="Y3" s="86"/>
      <c r="Z3" s="86"/>
      <c r="AA3" s="76"/>
      <c r="AB3" s="87" t="s">
        <v>101</v>
      </c>
      <c r="AC3" s="95">
        <f>AVERAGE(T14:T40)</f>
        <v>19617.395833333332</v>
      </c>
      <c r="AD3" s="96">
        <f>AVERAGE(U14:U40)</f>
        <v>18659.28992341107</v>
      </c>
      <c r="AE3" s="97">
        <f>AVERAGE(V14:V40)</f>
        <v>19207.117254603505</v>
      </c>
    </row>
    <row r="4" spans="1:31" x14ac:dyDescent="0.4">
      <c r="A4" s="91">
        <v>3</v>
      </c>
      <c r="B4" s="92">
        <v>419</v>
      </c>
      <c r="C4" s="93"/>
      <c r="D4" s="93"/>
      <c r="E4" s="94">
        <f>$J$2*B3+(1-$J$2)*E3</f>
        <v>284.02100000000002</v>
      </c>
      <c r="F4" s="76"/>
      <c r="G4" s="115" t="s">
        <v>102</v>
      </c>
      <c r="H4" s="85">
        <v>8.3333333333333329E-2</v>
      </c>
      <c r="I4" s="76"/>
      <c r="J4" s="76"/>
      <c r="K4" s="76"/>
      <c r="L4" s="86"/>
      <c r="M4" s="86"/>
      <c r="N4" s="86"/>
      <c r="O4" s="77"/>
      <c r="P4" s="86"/>
      <c r="Q4" s="86"/>
      <c r="R4" s="86"/>
      <c r="S4" s="77"/>
      <c r="T4" s="86"/>
      <c r="U4" s="86"/>
      <c r="V4" s="86"/>
      <c r="W4" s="77"/>
      <c r="X4" s="86"/>
      <c r="Y4" s="86"/>
      <c r="Z4" s="86"/>
      <c r="AA4" s="76"/>
      <c r="AB4" s="87" t="s">
        <v>103</v>
      </c>
      <c r="AC4" s="95">
        <f>SQRT(AC3)</f>
        <v>140.06211419699952</v>
      </c>
      <c r="AD4" s="96">
        <f>SQRT(AD3)</f>
        <v>136.59901142911346</v>
      </c>
      <c r="AE4" s="97">
        <f>SQRT(AE3)</f>
        <v>138.58974440629979</v>
      </c>
    </row>
    <row r="5" spans="1:31" ht="15" thickBot="1" x14ac:dyDescent="0.45">
      <c r="A5" s="91">
        <v>4</v>
      </c>
      <c r="B5" s="92">
        <v>234</v>
      </c>
      <c r="C5" s="63"/>
      <c r="D5" s="63"/>
      <c r="E5" s="94">
        <f t="shared" ref="E5:E40" si="0">$J$2*B4+(1-$J$2)*E4</f>
        <v>332.74841900000001</v>
      </c>
      <c r="F5" s="76"/>
      <c r="G5" s="115" t="s">
        <v>104</v>
      </c>
      <c r="H5" s="85">
        <v>0.1111111111111111</v>
      </c>
      <c r="I5" s="76"/>
      <c r="J5" s="76"/>
      <c r="K5" s="76"/>
      <c r="L5" s="86"/>
      <c r="M5" s="86"/>
      <c r="N5" s="86"/>
      <c r="O5" s="77"/>
      <c r="P5" s="86"/>
      <c r="Q5" s="86"/>
      <c r="R5" s="86"/>
      <c r="S5" s="77"/>
      <c r="T5" s="86"/>
      <c r="U5" s="86"/>
      <c r="V5" s="86"/>
      <c r="W5" s="77"/>
      <c r="X5" s="86"/>
      <c r="Y5" s="86"/>
      <c r="Z5" s="86"/>
      <c r="AA5" s="76"/>
      <c r="AB5" s="87" t="s">
        <v>105</v>
      </c>
      <c r="AC5" s="98">
        <f>AVERAGE(X14:X40)</f>
        <v>14.500161862236853</v>
      </c>
      <c r="AD5" s="99">
        <f>AVERAGE(Y14:Y40)</f>
        <v>14.410546313589865</v>
      </c>
      <c r="AE5" s="100">
        <f>AVERAGE(Z14:Z40)</f>
        <v>14.786078515981517</v>
      </c>
    </row>
    <row r="6" spans="1:31" x14ac:dyDescent="0.4">
      <c r="A6" s="91">
        <v>5</v>
      </c>
      <c r="B6" s="92">
        <v>336</v>
      </c>
      <c r="C6" s="63"/>
      <c r="D6" s="63"/>
      <c r="E6" s="94">
        <f t="shared" si="0"/>
        <v>297.100239741</v>
      </c>
      <c r="F6" s="76"/>
      <c r="G6" s="115" t="s">
        <v>106</v>
      </c>
      <c r="H6" s="85">
        <v>0.1388888888888889</v>
      </c>
      <c r="I6" s="76"/>
      <c r="J6" s="76"/>
      <c r="K6" s="76"/>
      <c r="L6" s="86"/>
      <c r="M6" s="86"/>
      <c r="N6" s="86"/>
      <c r="O6" s="77"/>
      <c r="P6" s="86"/>
      <c r="Q6" s="86"/>
      <c r="R6" s="86"/>
      <c r="S6" s="77"/>
      <c r="T6" s="86"/>
      <c r="U6" s="86"/>
      <c r="V6" s="86"/>
      <c r="W6" s="77"/>
      <c r="X6" s="86"/>
      <c r="Y6" s="86"/>
      <c r="Z6" s="86"/>
      <c r="AA6" s="76"/>
      <c r="AD6" t="s">
        <v>68</v>
      </c>
    </row>
    <row r="7" spans="1:31" x14ac:dyDescent="0.4">
      <c r="A7" s="91">
        <v>6</v>
      </c>
      <c r="B7" s="92">
        <v>206</v>
      </c>
      <c r="C7" s="63"/>
      <c r="D7" s="63"/>
      <c r="E7" s="94">
        <f t="shared" si="0"/>
        <v>311.14305319449898</v>
      </c>
      <c r="F7" s="76"/>
      <c r="G7" s="115" t="s">
        <v>107</v>
      </c>
      <c r="H7" s="85">
        <v>0.16666666666666666</v>
      </c>
      <c r="I7" s="76"/>
      <c r="J7" s="76"/>
      <c r="K7" s="76"/>
      <c r="L7" s="86"/>
      <c r="M7" s="86"/>
      <c r="N7" s="86"/>
      <c r="O7" s="77"/>
      <c r="P7" s="86"/>
      <c r="Q7" s="86"/>
      <c r="R7" s="86"/>
      <c r="S7" s="77"/>
      <c r="T7" s="86"/>
      <c r="U7" s="86"/>
      <c r="V7" s="86"/>
      <c r="W7" s="77"/>
      <c r="X7" s="86"/>
      <c r="Y7" s="86"/>
      <c r="Z7" s="86"/>
      <c r="AA7" s="76"/>
    </row>
    <row r="8" spans="1:31" x14ac:dyDescent="0.4">
      <c r="A8" s="91">
        <v>7</v>
      </c>
      <c r="B8" s="92">
        <v>427</v>
      </c>
      <c r="C8" s="63"/>
      <c r="D8" s="63"/>
      <c r="E8" s="94">
        <f t="shared" si="0"/>
        <v>273.18641099128484</v>
      </c>
      <c r="F8" s="76"/>
      <c r="G8" s="115" t="s">
        <v>108</v>
      </c>
      <c r="H8" s="85">
        <v>0.19444444444444445</v>
      </c>
      <c r="I8" s="76"/>
      <c r="J8" s="76"/>
      <c r="K8" s="76"/>
      <c r="L8" s="86"/>
      <c r="M8" s="86"/>
      <c r="N8" s="86"/>
      <c r="O8" s="77"/>
      <c r="P8" s="86"/>
      <c r="Q8" s="86"/>
      <c r="R8" s="86"/>
      <c r="S8" s="77"/>
      <c r="T8" s="86"/>
      <c r="U8" s="86"/>
      <c r="V8" s="86"/>
      <c r="W8" s="77"/>
      <c r="X8" s="86"/>
      <c r="Y8" s="86"/>
      <c r="Z8" s="86"/>
      <c r="AA8" s="76"/>
    </row>
    <row r="9" spans="1:31" x14ac:dyDescent="0.4">
      <c r="A9" s="91">
        <v>8</v>
      </c>
      <c r="B9" s="92">
        <v>482</v>
      </c>
      <c r="C9" s="63"/>
      <c r="D9" s="63"/>
      <c r="E9" s="94">
        <f t="shared" si="0"/>
        <v>328.71311662343101</v>
      </c>
      <c r="F9" s="76"/>
      <c r="G9" s="115" t="s">
        <v>109</v>
      </c>
      <c r="H9" s="85">
        <v>0.22222222222222221</v>
      </c>
      <c r="I9" s="76"/>
      <c r="J9" s="76"/>
      <c r="K9" s="76"/>
      <c r="L9" s="86"/>
      <c r="M9" s="86"/>
      <c r="N9" s="86"/>
      <c r="O9" s="77"/>
      <c r="P9" s="86"/>
      <c r="Q9" s="86"/>
      <c r="R9" s="86"/>
      <c r="S9" s="77"/>
      <c r="T9" s="86"/>
      <c r="U9" s="86"/>
      <c r="V9" s="86"/>
      <c r="W9" s="77"/>
      <c r="X9" s="86"/>
      <c r="Y9" s="86"/>
      <c r="Z9" s="86"/>
      <c r="AA9" s="76"/>
    </row>
    <row r="10" spans="1:31" x14ac:dyDescent="0.4">
      <c r="A10" s="91">
        <v>9</v>
      </c>
      <c r="B10" s="92">
        <v>554</v>
      </c>
      <c r="C10" s="63">
        <f>AVERAGE(B2:B9)</f>
        <v>336.125</v>
      </c>
      <c r="D10" s="63">
        <f>SUMPRODUCT($H$2:$H$9, B2:B9)</f>
        <v>357.27777777777771</v>
      </c>
      <c r="E10" s="94">
        <f t="shared" si="0"/>
        <v>384.0496815223724</v>
      </c>
      <c r="F10" s="76"/>
      <c r="G10" s="115" t="s">
        <v>110</v>
      </c>
      <c r="H10" s="84">
        <v>1</v>
      </c>
      <c r="I10" s="76"/>
      <c r="J10" s="76"/>
      <c r="K10" s="76"/>
      <c r="L10" s="86"/>
      <c r="M10" s="86"/>
      <c r="N10" s="86"/>
      <c r="O10" s="77"/>
      <c r="P10" s="86"/>
      <c r="Q10" s="86"/>
      <c r="R10" s="86"/>
      <c r="S10" s="77"/>
      <c r="T10" s="86"/>
      <c r="U10" s="86"/>
      <c r="V10" s="86"/>
      <c r="W10" s="77"/>
      <c r="X10" s="86"/>
      <c r="Y10" s="86"/>
      <c r="Z10" s="86"/>
      <c r="AA10" s="76"/>
    </row>
    <row r="11" spans="1:31" x14ac:dyDescent="0.4">
      <c r="A11" s="91">
        <v>10</v>
      </c>
      <c r="B11" s="92">
        <v>689</v>
      </c>
      <c r="C11" s="63">
        <f t="shared" ref="C11:C39" si="1">AVERAGE(B3:B10)</f>
        <v>372.625</v>
      </c>
      <c r="D11" s="63">
        <f t="shared" ref="D11:D40" si="2">SUMPRODUCT($H$2:$H$9, B3:B10)</f>
        <v>405.6944444444444</v>
      </c>
      <c r="E11" s="94">
        <f t="shared" si="0"/>
        <v>445.40174649279595</v>
      </c>
      <c r="F11" s="76"/>
      <c r="G11" s="76"/>
      <c r="H11" s="76"/>
      <c r="I11" s="76"/>
      <c r="J11" s="76"/>
      <c r="K11" s="76"/>
      <c r="L11" s="86"/>
      <c r="M11" s="86"/>
      <c r="N11" s="86"/>
      <c r="O11" s="77"/>
      <c r="P11" s="86"/>
      <c r="Q11" s="86"/>
      <c r="R11" s="86"/>
      <c r="S11" s="77"/>
      <c r="T11" s="86"/>
      <c r="U11" s="86"/>
      <c r="V11" s="86"/>
      <c r="W11" s="77"/>
      <c r="X11" s="86"/>
      <c r="Y11" s="86"/>
      <c r="Z11" s="86"/>
      <c r="AA11" s="76"/>
    </row>
    <row r="12" spans="1:31" x14ac:dyDescent="0.4">
      <c r="A12" s="91">
        <v>11</v>
      </c>
      <c r="B12" s="92">
        <v>390</v>
      </c>
      <c r="C12" s="63">
        <f t="shared" si="1"/>
        <v>418.375</v>
      </c>
      <c r="D12" s="63">
        <f t="shared" si="2"/>
        <v>476</v>
      </c>
      <c r="E12" s="94">
        <f t="shared" si="0"/>
        <v>533.34071600889661</v>
      </c>
      <c r="F12" s="76"/>
      <c r="G12" s="76"/>
      <c r="H12" s="76"/>
      <c r="I12" s="76"/>
      <c r="J12" s="76"/>
      <c r="K12" s="76"/>
      <c r="L12" s="86"/>
      <c r="M12" s="86"/>
      <c r="N12" s="86"/>
      <c r="O12" s="77"/>
      <c r="P12" s="86"/>
      <c r="Q12" s="86"/>
      <c r="R12" s="86"/>
      <c r="S12" s="77"/>
      <c r="T12" s="86"/>
      <c r="U12" s="86"/>
      <c r="V12" s="86"/>
      <c r="W12" s="77"/>
      <c r="X12" s="86"/>
      <c r="Y12" s="86"/>
      <c r="Z12" s="86"/>
      <c r="AA12" s="76"/>
    </row>
    <row r="13" spans="1:31" x14ac:dyDescent="0.4">
      <c r="A13" s="91">
        <v>12</v>
      </c>
      <c r="B13" s="92">
        <v>504</v>
      </c>
      <c r="C13" s="63">
        <f t="shared" si="1"/>
        <v>414.75</v>
      </c>
      <c r="D13" s="63">
        <f t="shared" si="2"/>
        <v>469.69444444444446</v>
      </c>
      <c r="E13" s="94">
        <f t="shared" si="0"/>
        <v>481.59471752968489</v>
      </c>
      <c r="F13" s="76"/>
      <c r="G13" s="76"/>
      <c r="H13" s="76"/>
      <c r="I13" s="76"/>
      <c r="J13" s="76"/>
      <c r="K13" s="76"/>
      <c r="L13" s="86"/>
      <c r="M13" s="86"/>
      <c r="N13" s="86"/>
      <c r="O13" s="77"/>
      <c r="P13" s="86"/>
      <c r="Q13" s="86"/>
      <c r="R13" s="86"/>
      <c r="S13" s="77"/>
      <c r="T13" s="86"/>
      <c r="U13" s="86"/>
      <c r="V13" s="86"/>
      <c r="W13" s="77"/>
      <c r="X13" s="86"/>
      <c r="Y13" s="86"/>
      <c r="Z13" s="86"/>
      <c r="AA13" s="76"/>
    </row>
    <row r="14" spans="1:31" x14ac:dyDescent="0.4">
      <c r="A14" s="91">
        <v>13</v>
      </c>
      <c r="B14" s="92">
        <v>363</v>
      </c>
      <c r="C14" s="63">
        <f t="shared" si="1"/>
        <v>448.5</v>
      </c>
      <c r="D14" s="63">
        <f t="shared" si="2"/>
        <v>489.52777777777771</v>
      </c>
      <c r="E14" s="94">
        <f t="shared" si="0"/>
        <v>489.68302450146859</v>
      </c>
      <c r="F14" s="76"/>
      <c r="G14" s="76"/>
      <c r="H14" s="76"/>
      <c r="I14" s="76"/>
      <c r="J14" s="76"/>
      <c r="K14" s="76"/>
      <c r="L14" s="101">
        <f>$B14-C14</f>
        <v>-85.5</v>
      </c>
      <c r="M14" s="101">
        <f>$B14-D14</f>
        <v>-126.52777777777771</v>
      </c>
      <c r="N14" s="101">
        <f>$B14-E14</f>
        <v>-126.68302450146859</v>
      </c>
      <c r="O14" s="76"/>
      <c r="P14" s="101">
        <f>ABS(L14)</f>
        <v>85.5</v>
      </c>
      <c r="Q14" s="101">
        <f t="shared" ref="Q14:R29" si="3">ABS(M14)</f>
        <v>126.52777777777771</v>
      </c>
      <c r="R14" s="101">
        <f t="shared" si="3"/>
        <v>126.68302450146859</v>
      </c>
      <c r="S14" s="76"/>
      <c r="T14" s="101">
        <f>L14^2</f>
        <v>7310.25</v>
      </c>
      <c r="U14" s="101">
        <f t="shared" ref="U14:V29" si="4">M14^2</f>
        <v>16009.2785493827</v>
      </c>
      <c r="V14" s="101">
        <f t="shared" si="4"/>
        <v>16048.588696839692</v>
      </c>
      <c r="W14" s="76"/>
      <c r="X14" s="101">
        <f>P14/$B14*100</f>
        <v>23.553719008264462</v>
      </c>
      <c r="Y14" s="101">
        <f>Q14/$B14*100</f>
        <v>34.856137128864383</v>
      </c>
      <c r="Z14" s="101">
        <f t="shared" ref="Y14:Z29" si="5">R14/$B14*100</f>
        <v>34.898904821341212</v>
      </c>
      <c r="AA14" s="76"/>
    </row>
    <row r="15" spans="1:31" x14ac:dyDescent="0.4">
      <c r="A15" s="91">
        <v>14</v>
      </c>
      <c r="B15" s="92">
        <v>588</v>
      </c>
      <c r="C15" s="63">
        <f t="shared" si="1"/>
        <v>451.875</v>
      </c>
      <c r="D15" s="63">
        <f t="shared" si="2"/>
        <v>470.52777777777771</v>
      </c>
      <c r="E15" s="94">
        <f t="shared" si="0"/>
        <v>443.95045265643847</v>
      </c>
      <c r="F15" s="76"/>
      <c r="G15" s="76"/>
      <c r="H15" s="127"/>
      <c r="I15" s="76"/>
      <c r="J15" s="76"/>
      <c r="K15" s="76"/>
      <c r="L15" s="101">
        <f t="shared" ref="L15:N38" si="6">$B15-C15</f>
        <v>136.125</v>
      </c>
      <c r="M15" s="101">
        <f t="shared" si="6"/>
        <v>117.47222222222229</v>
      </c>
      <c r="N15" s="101">
        <f t="shared" si="6"/>
        <v>144.04954734356153</v>
      </c>
      <c r="O15" s="76"/>
      <c r="P15" s="101">
        <f t="shared" ref="P15:R37" si="7">ABS(L15)</f>
        <v>136.125</v>
      </c>
      <c r="Q15" s="101">
        <f t="shared" si="3"/>
        <v>117.47222222222229</v>
      </c>
      <c r="R15" s="101">
        <f t="shared" si="3"/>
        <v>144.04954734356153</v>
      </c>
      <c r="S15" s="76"/>
      <c r="T15" s="101">
        <f t="shared" ref="T15:V37" si="8">L15^2</f>
        <v>18530.015625</v>
      </c>
      <c r="U15" s="101">
        <f t="shared" si="4"/>
        <v>13799.722993827176</v>
      </c>
      <c r="V15" s="101">
        <f t="shared" si="4"/>
        <v>20750.272089884973</v>
      </c>
      <c r="W15" s="76"/>
      <c r="X15" s="101">
        <f t="shared" ref="X15:Z37" si="9">P15/$B15*100</f>
        <v>23.15051020408163</v>
      </c>
      <c r="Y15" s="101">
        <f t="shared" si="5"/>
        <v>19.978269085411952</v>
      </c>
      <c r="Z15" s="101">
        <f t="shared" si="5"/>
        <v>24.498222337340394</v>
      </c>
      <c r="AA15" s="76"/>
    </row>
    <row r="16" spans="1:31" x14ac:dyDescent="0.4">
      <c r="A16" s="91">
        <v>15</v>
      </c>
      <c r="B16" s="92">
        <v>438</v>
      </c>
      <c r="C16" s="63">
        <f t="shared" si="1"/>
        <v>499.625</v>
      </c>
      <c r="D16" s="63">
        <f t="shared" si="2"/>
        <v>500.77777777777771</v>
      </c>
      <c r="E16" s="94">
        <f t="shared" si="0"/>
        <v>495.95233924746424</v>
      </c>
      <c r="F16" s="76"/>
      <c r="G16" s="76"/>
      <c r="H16" s="76"/>
      <c r="I16" s="76"/>
      <c r="J16" s="76"/>
      <c r="K16" s="76"/>
      <c r="L16" s="101">
        <f t="shared" si="6"/>
        <v>-61.625</v>
      </c>
      <c r="M16" s="101">
        <f t="shared" si="6"/>
        <v>-62.777777777777715</v>
      </c>
      <c r="N16" s="101">
        <f t="shared" si="6"/>
        <v>-57.952339247464238</v>
      </c>
      <c r="O16" s="76"/>
      <c r="P16" s="101">
        <f t="shared" si="7"/>
        <v>61.625</v>
      </c>
      <c r="Q16" s="101">
        <f t="shared" si="3"/>
        <v>62.777777777777715</v>
      </c>
      <c r="R16" s="101">
        <f t="shared" si="3"/>
        <v>57.952339247464238</v>
      </c>
      <c r="S16" s="76"/>
      <c r="T16" s="101">
        <f t="shared" si="8"/>
        <v>3797.640625</v>
      </c>
      <c r="U16" s="101">
        <f t="shared" si="4"/>
        <v>3941.0493827160412</v>
      </c>
      <c r="V16" s="101">
        <f t="shared" si="4"/>
        <v>3358.473624253184</v>
      </c>
      <c r="W16" s="76"/>
      <c r="X16" s="101">
        <f t="shared" si="9"/>
        <v>14.069634703196346</v>
      </c>
      <c r="Y16" s="101">
        <f t="shared" si="5"/>
        <v>14.332825976661578</v>
      </c>
      <c r="Z16" s="101">
        <f t="shared" si="5"/>
        <v>13.231127682069459</v>
      </c>
      <c r="AA16" s="76"/>
    </row>
    <row r="17" spans="1:27" x14ac:dyDescent="0.4">
      <c r="A17" s="91">
        <v>16</v>
      </c>
      <c r="B17" s="92">
        <v>419</v>
      </c>
      <c r="C17" s="63">
        <f t="shared" si="1"/>
        <v>501</v>
      </c>
      <c r="D17" s="63">
        <f t="shared" si="2"/>
        <v>487.08333333333326</v>
      </c>
      <c r="E17" s="94">
        <f t="shared" si="0"/>
        <v>475.03154477912966</v>
      </c>
      <c r="F17" s="76"/>
      <c r="G17" s="76"/>
      <c r="H17" s="76"/>
      <c r="I17" s="76"/>
      <c r="J17" s="76"/>
      <c r="K17" s="76"/>
      <c r="L17" s="101">
        <f t="shared" si="6"/>
        <v>-82</v>
      </c>
      <c r="M17" s="101">
        <f t="shared" si="6"/>
        <v>-68.083333333333258</v>
      </c>
      <c r="N17" s="101">
        <f t="shared" si="6"/>
        <v>-56.031544779129661</v>
      </c>
      <c r="O17" s="76"/>
      <c r="P17" s="101">
        <f t="shared" si="7"/>
        <v>82</v>
      </c>
      <c r="Q17" s="101">
        <f t="shared" si="3"/>
        <v>68.083333333333258</v>
      </c>
      <c r="R17" s="101">
        <f t="shared" si="3"/>
        <v>56.031544779129661</v>
      </c>
      <c r="S17" s="76"/>
      <c r="T17" s="101">
        <f t="shared" si="8"/>
        <v>6724</v>
      </c>
      <c r="U17" s="101">
        <f t="shared" si="4"/>
        <v>4635.3402777777674</v>
      </c>
      <c r="V17" s="101">
        <f t="shared" si="4"/>
        <v>3139.5340103356125</v>
      </c>
      <c r="W17" s="76"/>
      <c r="X17" s="101">
        <f t="shared" si="9"/>
        <v>19.570405727923628</v>
      </c>
      <c r="Y17" s="101">
        <f t="shared" si="5"/>
        <v>16.249005568814621</v>
      </c>
      <c r="Z17" s="101">
        <f t="shared" si="5"/>
        <v>13.37268371816937</v>
      </c>
      <c r="AA17" s="76"/>
    </row>
    <row r="18" spans="1:27" x14ac:dyDescent="0.4">
      <c r="A18" s="91">
        <v>17</v>
      </c>
      <c r="B18" s="92">
        <v>747</v>
      </c>
      <c r="C18" s="63">
        <f t="shared" si="1"/>
        <v>493.125</v>
      </c>
      <c r="D18" s="63">
        <f t="shared" si="2"/>
        <v>468.86111111111109</v>
      </c>
      <c r="E18" s="94">
        <f t="shared" si="0"/>
        <v>454.80415711386388</v>
      </c>
      <c r="I18" s="76"/>
      <c r="L18" s="101">
        <f t="shared" si="6"/>
        <v>253.875</v>
      </c>
      <c r="M18" s="101">
        <f t="shared" si="6"/>
        <v>278.13888888888891</v>
      </c>
      <c r="N18" s="101">
        <f t="shared" si="6"/>
        <v>292.19584288613612</v>
      </c>
      <c r="O18" s="76"/>
      <c r="P18" s="101">
        <f t="shared" si="7"/>
        <v>253.875</v>
      </c>
      <c r="Q18" s="101">
        <f t="shared" si="3"/>
        <v>278.13888888888891</v>
      </c>
      <c r="R18" s="101">
        <f t="shared" si="3"/>
        <v>292.19584288613612</v>
      </c>
      <c r="S18" s="76"/>
      <c r="T18" s="101">
        <f t="shared" si="8"/>
        <v>64452.515625</v>
      </c>
      <c r="U18" s="101">
        <f t="shared" si="4"/>
        <v>77361.241512345689</v>
      </c>
      <c r="V18" s="101">
        <f t="shared" si="4"/>
        <v>85378.41059993954</v>
      </c>
      <c r="X18" s="101">
        <f t="shared" si="9"/>
        <v>33.985943775100402</v>
      </c>
      <c r="Y18" s="101">
        <f t="shared" si="5"/>
        <v>37.234121671872678</v>
      </c>
      <c r="Z18" s="101">
        <f t="shared" si="5"/>
        <v>39.115909355573777</v>
      </c>
    </row>
    <row r="19" spans="1:27" x14ac:dyDescent="0.4">
      <c r="A19" s="91">
        <v>18</v>
      </c>
      <c r="B19" s="92">
        <v>566</v>
      </c>
      <c r="C19" s="63">
        <f t="shared" si="1"/>
        <v>517.25</v>
      </c>
      <c r="D19" s="63">
        <f t="shared" si="2"/>
        <v>525.27777777777783</v>
      </c>
      <c r="E19" s="94">
        <f t="shared" si="0"/>
        <v>560.28685639575906</v>
      </c>
      <c r="I19" s="76"/>
      <c r="J19" s="102"/>
      <c r="L19" s="101">
        <f t="shared" si="6"/>
        <v>48.75</v>
      </c>
      <c r="M19" s="101">
        <f t="shared" si="6"/>
        <v>40.722222222222172</v>
      </c>
      <c r="N19" s="101">
        <f t="shared" si="6"/>
        <v>5.7131436042409405</v>
      </c>
      <c r="O19" s="76"/>
      <c r="P19" s="101">
        <f t="shared" si="7"/>
        <v>48.75</v>
      </c>
      <c r="Q19" s="101">
        <f t="shared" si="3"/>
        <v>40.722222222222172</v>
      </c>
      <c r="R19" s="101">
        <f t="shared" si="3"/>
        <v>5.7131436042409405</v>
      </c>
      <c r="S19" s="76"/>
      <c r="T19" s="101">
        <f t="shared" si="8"/>
        <v>2376.5625</v>
      </c>
      <c r="U19" s="101">
        <f t="shared" si="4"/>
        <v>1658.2993827160453</v>
      </c>
      <c r="V19" s="101">
        <f t="shared" si="4"/>
        <v>32.640009842679163</v>
      </c>
      <c r="X19" s="101">
        <f t="shared" si="9"/>
        <v>8.6130742049469973</v>
      </c>
      <c r="Y19" s="101">
        <f t="shared" si="5"/>
        <v>7.1947389085198186</v>
      </c>
      <c r="Z19" s="101">
        <f t="shared" si="5"/>
        <v>1.0093893293711909</v>
      </c>
    </row>
    <row r="20" spans="1:27" x14ac:dyDescent="0.4">
      <c r="A20" s="91">
        <v>19</v>
      </c>
      <c r="B20" s="92">
        <v>801</v>
      </c>
      <c r="C20" s="63">
        <f t="shared" si="1"/>
        <v>501.875</v>
      </c>
      <c r="D20" s="63">
        <f t="shared" si="2"/>
        <v>536.11111111111109</v>
      </c>
      <c r="E20" s="94">
        <f t="shared" si="0"/>
        <v>562.34930123689003</v>
      </c>
      <c r="I20" s="76"/>
      <c r="J20" s="103"/>
      <c r="L20" s="101">
        <f t="shared" si="6"/>
        <v>299.125</v>
      </c>
      <c r="M20" s="101">
        <f t="shared" si="6"/>
        <v>264.88888888888891</v>
      </c>
      <c r="N20" s="101">
        <f t="shared" si="6"/>
        <v>238.65069876310997</v>
      </c>
      <c r="O20" s="76"/>
      <c r="P20" s="101">
        <f t="shared" si="7"/>
        <v>299.125</v>
      </c>
      <c r="Q20" s="101">
        <f t="shared" si="3"/>
        <v>264.88888888888891</v>
      </c>
      <c r="R20" s="101">
        <f t="shared" si="3"/>
        <v>238.65069876310997</v>
      </c>
      <c r="S20" s="76"/>
      <c r="T20" s="101">
        <f t="shared" si="8"/>
        <v>89475.765625</v>
      </c>
      <c r="U20" s="101">
        <f t="shared" si="4"/>
        <v>70166.123456790141</v>
      </c>
      <c r="V20" s="101">
        <f t="shared" si="4"/>
        <v>56954.156020120659</v>
      </c>
      <c r="X20" s="101">
        <f t="shared" si="9"/>
        <v>37.343945068664169</v>
      </c>
      <c r="Y20" s="101">
        <f t="shared" si="5"/>
        <v>33.069773893743935</v>
      </c>
      <c r="Z20" s="101">
        <f t="shared" si="5"/>
        <v>29.79409472698002</v>
      </c>
    </row>
    <row r="21" spans="1:27" x14ac:dyDescent="0.4">
      <c r="A21" s="91">
        <v>20</v>
      </c>
      <c r="B21" s="92">
        <v>589</v>
      </c>
      <c r="C21" s="63">
        <f t="shared" si="1"/>
        <v>553.25</v>
      </c>
      <c r="D21" s="63">
        <f t="shared" si="2"/>
        <v>602.58333333333326</v>
      </c>
      <c r="E21" s="94">
        <f t="shared" si="0"/>
        <v>648.50220349037272</v>
      </c>
      <c r="L21" s="101">
        <f t="shared" si="6"/>
        <v>35.75</v>
      </c>
      <c r="M21" s="101">
        <f t="shared" si="6"/>
        <v>-13.583333333333258</v>
      </c>
      <c r="N21" s="101">
        <f t="shared" si="6"/>
        <v>-59.502203490372722</v>
      </c>
      <c r="O21" s="76"/>
      <c r="P21" s="101">
        <f t="shared" si="7"/>
        <v>35.75</v>
      </c>
      <c r="Q21" s="101">
        <f t="shared" si="3"/>
        <v>13.583333333333258</v>
      </c>
      <c r="R21" s="101">
        <f t="shared" si="3"/>
        <v>59.502203490372722</v>
      </c>
      <c r="S21" s="76"/>
      <c r="T21" s="101">
        <f t="shared" si="8"/>
        <v>1278.0625</v>
      </c>
      <c r="U21" s="101">
        <f t="shared" si="4"/>
        <v>184.50694444444238</v>
      </c>
      <c r="V21" s="101">
        <f t="shared" si="4"/>
        <v>3540.5122202097236</v>
      </c>
      <c r="X21" s="101">
        <f t="shared" si="9"/>
        <v>6.0696095076400676</v>
      </c>
      <c r="Y21" s="101">
        <f t="shared" si="5"/>
        <v>2.3061686474250012</v>
      </c>
      <c r="Z21" s="101">
        <f t="shared" si="5"/>
        <v>10.102241679180429</v>
      </c>
    </row>
    <row r="22" spans="1:27" x14ac:dyDescent="0.4">
      <c r="A22" s="91">
        <v>21</v>
      </c>
      <c r="B22" s="92">
        <v>786</v>
      </c>
      <c r="C22" s="63">
        <f t="shared" si="1"/>
        <v>563.875</v>
      </c>
      <c r="D22" s="63">
        <f t="shared" si="2"/>
        <v>610.52777777777771</v>
      </c>
      <c r="E22" s="94">
        <f t="shared" si="0"/>
        <v>627.02190803034819</v>
      </c>
      <c r="L22" s="101">
        <f t="shared" si="6"/>
        <v>222.125</v>
      </c>
      <c r="M22" s="101">
        <f t="shared" si="6"/>
        <v>175.47222222222229</v>
      </c>
      <c r="N22" s="101">
        <f t="shared" si="6"/>
        <v>158.97809196965181</v>
      </c>
      <c r="O22" s="76"/>
      <c r="P22" s="101">
        <f t="shared" si="7"/>
        <v>222.125</v>
      </c>
      <c r="Q22" s="101">
        <f t="shared" si="3"/>
        <v>175.47222222222229</v>
      </c>
      <c r="R22" s="101">
        <f t="shared" si="3"/>
        <v>158.97809196965181</v>
      </c>
      <c r="S22" s="76"/>
      <c r="T22" s="101">
        <f t="shared" si="8"/>
        <v>49339.515625</v>
      </c>
      <c r="U22" s="101">
        <f t="shared" si="4"/>
        <v>30790.500771604962</v>
      </c>
      <c r="V22" s="101">
        <f t="shared" si="4"/>
        <v>25274.03372631107</v>
      </c>
      <c r="X22" s="101">
        <f t="shared" si="9"/>
        <v>28.260178117048344</v>
      </c>
      <c r="Y22" s="101">
        <f t="shared" si="5"/>
        <v>22.324710206389604</v>
      </c>
      <c r="Z22" s="101">
        <f t="shared" si="5"/>
        <v>20.226220352373005</v>
      </c>
    </row>
    <row r="23" spans="1:27" x14ac:dyDescent="0.4">
      <c r="A23" s="91">
        <v>22</v>
      </c>
      <c r="B23" s="92">
        <v>538</v>
      </c>
      <c r="C23" s="63">
        <f t="shared" si="1"/>
        <v>616.75</v>
      </c>
      <c r="D23" s="63">
        <f t="shared" si="2"/>
        <v>659.88888888888891</v>
      </c>
      <c r="E23" s="94">
        <f t="shared" si="0"/>
        <v>684.4129992313924</v>
      </c>
      <c r="L23" s="101">
        <f t="shared" si="6"/>
        <v>-78.75</v>
      </c>
      <c r="M23" s="101">
        <f t="shared" si="6"/>
        <v>-121.88888888888891</v>
      </c>
      <c r="N23" s="101">
        <f t="shared" si="6"/>
        <v>-146.4129992313924</v>
      </c>
      <c r="O23" s="76"/>
      <c r="P23" s="101">
        <f t="shared" si="7"/>
        <v>78.75</v>
      </c>
      <c r="Q23" s="101">
        <f t="shared" si="3"/>
        <v>121.88888888888891</v>
      </c>
      <c r="R23" s="101">
        <f t="shared" si="3"/>
        <v>146.4129992313924</v>
      </c>
      <c r="S23" s="76"/>
      <c r="T23" s="101">
        <f t="shared" si="8"/>
        <v>6201.5625</v>
      </c>
      <c r="U23" s="101">
        <f t="shared" si="4"/>
        <v>14856.901234567908</v>
      </c>
      <c r="V23" s="101">
        <f t="shared" si="4"/>
        <v>21436.766343931711</v>
      </c>
      <c r="X23" s="101">
        <f t="shared" si="9"/>
        <v>14.637546468401489</v>
      </c>
      <c r="Y23" s="101">
        <f t="shared" si="5"/>
        <v>22.655927302767456</v>
      </c>
      <c r="Z23" s="101">
        <f t="shared" si="5"/>
        <v>27.214312124794127</v>
      </c>
    </row>
    <row r="24" spans="1:27" x14ac:dyDescent="0.4">
      <c r="A24" s="91">
        <v>23</v>
      </c>
      <c r="B24" s="92">
        <v>621</v>
      </c>
      <c r="C24" s="63">
        <f t="shared" si="1"/>
        <v>610.5</v>
      </c>
      <c r="D24" s="63">
        <f t="shared" si="2"/>
        <v>642.38888888888891</v>
      </c>
      <c r="E24" s="94">
        <f t="shared" si="0"/>
        <v>631.55790650885979</v>
      </c>
      <c r="L24" s="101">
        <f t="shared" si="6"/>
        <v>10.5</v>
      </c>
      <c r="M24" s="101">
        <f t="shared" si="6"/>
        <v>-21.388888888888914</v>
      </c>
      <c r="N24" s="101">
        <f t="shared" si="6"/>
        <v>-10.557906508859787</v>
      </c>
      <c r="O24" s="76"/>
      <c r="P24" s="101">
        <f t="shared" si="7"/>
        <v>10.5</v>
      </c>
      <c r="Q24" s="101">
        <f t="shared" si="3"/>
        <v>21.388888888888914</v>
      </c>
      <c r="R24" s="101">
        <f t="shared" si="3"/>
        <v>10.557906508859787</v>
      </c>
      <c r="S24" s="76"/>
      <c r="T24" s="101">
        <f t="shared" si="8"/>
        <v>110.25</v>
      </c>
      <c r="U24" s="101">
        <f t="shared" si="4"/>
        <v>457.48456790123566</v>
      </c>
      <c r="V24" s="101">
        <f t="shared" si="4"/>
        <v>111.46938984982386</v>
      </c>
      <c r="X24" s="101">
        <f t="shared" si="9"/>
        <v>1.6908212560386473</v>
      </c>
      <c r="Y24" s="101">
        <f t="shared" si="5"/>
        <v>3.4442655215602116</v>
      </c>
      <c r="Z24" s="101">
        <f t="shared" si="5"/>
        <v>1.7001459756618016</v>
      </c>
    </row>
    <row r="25" spans="1:27" x14ac:dyDescent="0.4">
      <c r="A25" s="91">
        <v>24</v>
      </c>
      <c r="B25" s="92">
        <v>823</v>
      </c>
      <c r="C25" s="63">
        <f t="shared" si="1"/>
        <v>633.375</v>
      </c>
      <c r="D25" s="63">
        <f t="shared" si="2"/>
        <v>644.72222222222217</v>
      </c>
      <c r="E25" s="94">
        <f t="shared" si="0"/>
        <v>627.74650225916139</v>
      </c>
      <c r="L25" s="101">
        <f t="shared" si="6"/>
        <v>189.625</v>
      </c>
      <c r="M25" s="101">
        <f t="shared" si="6"/>
        <v>178.27777777777783</v>
      </c>
      <c r="N25" s="101">
        <f t="shared" si="6"/>
        <v>195.25349774083861</v>
      </c>
      <c r="O25" s="76"/>
      <c r="P25" s="101">
        <f t="shared" si="7"/>
        <v>189.625</v>
      </c>
      <c r="Q25" s="101">
        <f t="shared" si="3"/>
        <v>178.27777777777783</v>
      </c>
      <c r="R25" s="101">
        <f t="shared" si="3"/>
        <v>195.25349774083861</v>
      </c>
      <c r="S25" s="76"/>
      <c r="T25" s="101">
        <f t="shared" si="8"/>
        <v>35957.640625</v>
      </c>
      <c r="U25" s="101">
        <f t="shared" si="4"/>
        <v>31782.966049382732</v>
      </c>
      <c r="V25" s="101">
        <f t="shared" si="4"/>
        <v>38123.92838003167</v>
      </c>
      <c r="X25" s="101">
        <f t="shared" si="9"/>
        <v>23.040704738760631</v>
      </c>
      <c r="Y25" s="101">
        <f t="shared" si="5"/>
        <v>21.66194140677738</v>
      </c>
      <c r="Z25" s="101">
        <f t="shared" si="5"/>
        <v>23.724604828777473</v>
      </c>
    </row>
    <row r="26" spans="1:27" x14ac:dyDescent="0.4">
      <c r="A26" s="91">
        <v>25</v>
      </c>
      <c r="B26" s="92">
        <v>1001</v>
      </c>
      <c r="C26" s="63">
        <f t="shared" si="1"/>
        <v>683.875</v>
      </c>
      <c r="D26" s="63">
        <f t="shared" si="2"/>
        <v>686.86111111111109</v>
      </c>
      <c r="E26" s="94">
        <f t="shared" si="0"/>
        <v>698.23301494360408</v>
      </c>
      <c r="L26" s="101">
        <f t="shared" si="6"/>
        <v>317.125</v>
      </c>
      <c r="M26" s="101">
        <f t="shared" si="6"/>
        <v>314.13888888888891</v>
      </c>
      <c r="N26" s="101">
        <f t="shared" si="6"/>
        <v>302.76698505639592</v>
      </c>
      <c r="O26" s="76"/>
      <c r="P26" s="101">
        <f t="shared" si="7"/>
        <v>317.125</v>
      </c>
      <c r="Q26" s="101">
        <f t="shared" si="3"/>
        <v>314.13888888888891</v>
      </c>
      <c r="R26" s="101">
        <f t="shared" si="3"/>
        <v>302.76698505639592</v>
      </c>
      <c r="S26" s="76"/>
      <c r="T26" s="101">
        <f t="shared" si="8"/>
        <v>100568.265625</v>
      </c>
      <c r="U26" s="101">
        <f t="shared" si="4"/>
        <v>98683.241512345689</v>
      </c>
      <c r="V26" s="101">
        <f t="shared" si="4"/>
        <v>91667.847240139876</v>
      </c>
      <c r="X26" s="101">
        <f t="shared" si="9"/>
        <v>31.680819180819181</v>
      </c>
      <c r="Y26" s="101">
        <f t="shared" si="5"/>
        <v>31.382506382506385</v>
      </c>
      <c r="Z26" s="101">
        <f t="shared" si="5"/>
        <v>30.246452053586005</v>
      </c>
    </row>
    <row r="27" spans="1:27" x14ac:dyDescent="0.4">
      <c r="A27" s="91">
        <v>26</v>
      </c>
      <c r="B27" s="92">
        <v>819</v>
      </c>
      <c r="C27" s="63">
        <f t="shared" si="1"/>
        <v>715.625</v>
      </c>
      <c r="D27" s="63">
        <f t="shared" si="2"/>
        <v>757.33333333333337</v>
      </c>
      <c r="E27" s="94">
        <f t="shared" si="0"/>
        <v>807.531896548963</v>
      </c>
      <c r="L27" s="101">
        <f t="shared" si="6"/>
        <v>103.375</v>
      </c>
      <c r="M27" s="101">
        <f t="shared" si="6"/>
        <v>61.666666666666629</v>
      </c>
      <c r="N27" s="101">
        <f t="shared" si="6"/>
        <v>11.468103451036995</v>
      </c>
      <c r="O27" s="76"/>
      <c r="P27" s="101">
        <f t="shared" si="7"/>
        <v>103.375</v>
      </c>
      <c r="Q27" s="101">
        <f t="shared" si="3"/>
        <v>61.666666666666629</v>
      </c>
      <c r="R27" s="101">
        <f t="shared" si="3"/>
        <v>11.468103451036995</v>
      </c>
      <c r="S27" s="76"/>
      <c r="T27" s="101">
        <f t="shared" si="8"/>
        <v>10686.390625</v>
      </c>
      <c r="U27" s="101">
        <f t="shared" si="4"/>
        <v>3802.7777777777733</v>
      </c>
      <c r="V27" s="101">
        <f t="shared" si="4"/>
        <v>131.51739676368663</v>
      </c>
      <c r="X27" s="101">
        <f t="shared" si="9"/>
        <v>12.622100122100122</v>
      </c>
      <c r="Y27" s="101">
        <f t="shared" si="5"/>
        <v>7.5295075295075247</v>
      </c>
      <c r="Z27" s="101">
        <f t="shared" si="5"/>
        <v>1.4002568316284487</v>
      </c>
    </row>
    <row r="28" spans="1:27" x14ac:dyDescent="0.4">
      <c r="A28" s="91">
        <v>27</v>
      </c>
      <c r="B28" s="92">
        <v>690</v>
      </c>
      <c r="C28" s="63">
        <f t="shared" si="1"/>
        <v>747.25</v>
      </c>
      <c r="D28" s="63">
        <f t="shared" si="2"/>
        <v>780.30555555555554</v>
      </c>
      <c r="E28" s="94">
        <f t="shared" si="0"/>
        <v>811.67188189478736</v>
      </c>
      <c r="L28" s="101">
        <f t="shared" si="6"/>
        <v>-57.25</v>
      </c>
      <c r="M28" s="101">
        <f t="shared" si="6"/>
        <v>-90.305555555555543</v>
      </c>
      <c r="N28" s="101">
        <f t="shared" si="6"/>
        <v>-121.67188189478736</v>
      </c>
      <c r="O28" s="76"/>
      <c r="P28" s="101">
        <f t="shared" si="7"/>
        <v>57.25</v>
      </c>
      <c r="Q28" s="101">
        <f t="shared" si="3"/>
        <v>90.305555555555543</v>
      </c>
      <c r="R28" s="101">
        <f t="shared" si="3"/>
        <v>121.67188189478736</v>
      </c>
      <c r="S28" s="76"/>
      <c r="T28" s="101">
        <f t="shared" si="8"/>
        <v>3277.5625</v>
      </c>
      <c r="U28" s="101">
        <f t="shared" si="4"/>
        <v>8155.0933641975289</v>
      </c>
      <c r="V28" s="101">
        <f t="shared" si="4"/>
        <v>14804.046843819084</v>
      </c>
      <c r="X28" s="101">
        <f t="shared" si="9"/>
        <v>8.2971014492753632</v>
      </c>
      <c r="Y28" s="101">
        <f t="shared" si="5"/>
        <v>13.087761674718196</v>
      </c>
      <c r="Z28" s="101">
        <f t="shared" si="5"/>
        <v>17.633606071708314</v>
      </c>
    </row>
    <row r="29" spans="1:27" x14ac:dyDescent="0.4">
      <c r="A29" s="91">
        <v>28</v>
      </c>
      <c r="B29" s="92">
        <v>872</v>
      </c>
      <c r="C29" s="63">
        <f t="shared" si="1"/>
        <v>733.375</v>
      </c>
      <c r="D29" s="63">
        <f t="shared" si="2"/>
        <v>767.58333333333326</v>
      </c>
      <c r="E29" s="94">
        <f t="shared" si="0"/>
        <v>767.74833253076918</v>
      </c>
      <c r="L29" s="101">
        <f t="shared" si="6"/>
        <v>138.625</v>
      </c>
      <c r="M29" s="101">
        <f t="shared" si="6"/>
        <v>104.41666666666674</v>
      </c>
      <c r="N29" s="101">
        <f t="shared" si="6"/>
        <v>104.25166746923082</v>
      </c>
      <c r="O29" s="76"/>
      <c r="P29" s="101">
        <f t="shared" si="7"/>
        <v>138.625</v>
      </c>
      <c r="Q29" s="101">
        <f t="shared" si="3"/>
        <v>104.41666666666674</v>
      </c>
      <c r="R29" s="101">
        <f t="shared" si="3"/>
        <v>104.25166746923082</v>
      </c>
      <c r="S29" s="76"/>
      <c r="T29" s="101">
        <f t="shared" si="8"/>
        <v>19216.890625</v>
      </c>
      <c r="U29" s="101">
        <f t="shared" si="4"/>
        <v>10902.840277777794</v>
      </c>
      <c r="V29" s="101">
        <f t="shared" si="4"/>
        <v>10868.410170115081</v>
      </c>
      <c r="X29" s="101">
        <f t="shared" si="9"/>
        <v>15.897362385321101</v>
      </c>
      <c r="Y29" s="101">
        <f t="shared" si="5"/>
        <v>11.974388379204902</v>
      </c>
      <c r="Z29" s="101">
        <f t="shared" si="5"/>
        <v>11.955466452893443</v>
      </c>
    </row>
    <row r="30" spans="1:27" x14ac:dyDescent="0.4">
      <c r="A30" s="91">
        <v>29</v>
      </c>
      <c r="B30" s="92">
        <v>825</v>
      </c>
      <c r="C30" s="63">
        <f t="shared" si="1"/>
        <v>768.75</v>
      </c>
      <c r="D30" s="63">
        <f t="shared" si="2"/>
        <v>798.38888888888891</v>
      </c>
      <c r="E30" s="94">
        <f t="shared" si="0"/>
        <v>805.38318448716154</v>
      </c>
      <c r="L30" s="101">
        <f t="shared" si="6"/>
        <v>56.25</v>
      </c>
      <c r="M30" s="101">
        <f t="shared" si="6"/>
        <v>26.611111111111086</v>
      </c>
      <c r="N30" s="101">
        <f t="shared" si="6"/>
        <v>19.616815512838457</v>
      </c>
      <c r="O30" s="76"/>
      <c r="P30" s="101">
        <f t="shared" si="7"/>
        <v>56.25</v>
      </c>
      <c r="Q30" s="101">
        <f t="shared" si="7"/>
        <v>26.611111111111086</v>
      </c>
      <c r="R30" s="101">
        <f t="shared" si="7"/>
        <v>19.616815512838457</v>
      </c>
      <c r="S30" s="76"/>
      <c r="T30" s="101">
        <f t="shared" si="8"/>
        <v>3164.0625</v>
      </c>
      <c r="U30" s="101">
        <f t="shared" si="8"/>
        <v>708.15123456789991</v>
      </c>
      <c r="V30" s="101">
        <f t="shared" si="8"/>
        <v>384.81945086473951</v>
      </c>
      <c r="X30" s="101">
        <f t="shared" si="9"/>
        <v>6.8181818181818175</v>
      </c>
      <c r="Y30" s="101">
        <f t="shared" si="9"/>
        <v>3.2255892255892227</v>
      </c>
      <c r="Z30" s="101">
        <f t="shared" si="9"/>
        <v>2.3777958197379947</v>
      </c>
    </row>
    <row r="31" spans="1:27" x14ac:dyDescent="0.4">
      <c r="A31" s="91">
        <v>30</v>
      </c>
      <c r="B31" s="92">
        <v>644</v>
      </c>
      <c r="C31" s="63">
        <f t="shared" si="1"/>
        <v>773.625</v>
      </c>
      <c r="D31" s="63">
        <f t="shared" si="2"/>
        <v>810.88888888888891</v>
      </c>
      <c r="E31" s="94">
        <f t="shared" si="0"/>
        <v>812.46485488729627</v>
      </c>
      <c r="L31" s="101">
        <f t="shared" si="6"/>
        <v>-129.625</v>
      </c>
      <c r="M31" s="101">
        <f t="shared" si="6"/>
        <v>-166.88888888888891</v>
      </c>
      <c r="N31" s="101">
        <f t="shared" si="6"/>
        <v>-168.46485488729627</v>
      </c>
      <c r="O31" s="76"/>
      <c r="P31" s="101">
        <f t="shared" si="7"/>
        <v>129.625</v>
      </c>
      <c r="Q31" s="101">
        <f t="shared" si="7"/>
        <v>166.88888888888891</v>
      </c>
      <c r="R31" s="101">
        <f t="shared" si="7"/>
        <v>168.46485488729627</v>
      </c>
      <c r="S31" s="76"/>
      <c r="T31" s="101">
        <f t="shared" si="8"/>
        <v>16802.640625</v>
      </c>
      <c r="U31" s="101">
        <f t="shared" si="8"/>
        <v>27851.901234567911</v>
      </c>
      <c r="V31" s="101">
        <f t="shared" si="8"/>
        <v>28380.407332197788</v>
      </c>
      <c r="X31" s="101">
        <f t="shared" si="9"/>
        <v>20.128105590062113</v>
      </c>
      <c r="Y31" s="101">
        <f t="shared" si="9"/>
        <v>25.914423740510699</v>
      </c>
      <c r="Z31" s="101">
        <f t="shared" si="9"/>
        <v>26.159138957654697</v>
      </c>
    </row>
    <row r="32" spans="1:27" x14ac:dyDescent="0.4">
      <c r="A32" s="91">
        <v>31</v>
      </c>
      <c r="B32" s="92">
        <v>867</v>
      </c>
      <c r="C32" s="63">
        <f t="shared" si="1"/>
        <v>786.875</v>
      </c>
      <c r="D32" s="63">
        <f t="shared" si="2"/>
        <v>782.08333333333326</v>
      </c>
      <c r="E32" s="94">
        <f t="shared" si="0"/>
        <v>751.64904227298234</v>
      </c>
      <c r="L32" s="101">
        <f t="shared" si="6"/>
        <v>80.125</v>
      </c>
      <c r="M32" s="101">
        <f t="shared" si="6"/>
        <v>84.916666666666742</v>
      </c>
      <c r="N32" s="101">
        <f t="shared" si="6"/>
        <v>115.35095772701766</v>
      </c>
      <c r="O32" s="76"/>
      <c r="P32" s="101">
        <f t="shared" si="7"/>
        <v>80.125</v>
      </c>
      <c r="Q32" s="101">
        <f t="shared" si="7"/>
        <v>84.916666666666742</v>
      </c>
      <c r="R32" s="101">
        <f t="shared" si="7"/>
        <v>115.35095772701766</v>
      </c>
      <c r="S32" s="76"/>
      <c r="T32" s="101">
        <f t="shared" si="8"/>
        <v>6420.015625</v>
      </c>
      <c r="U32" s="101">
        <f t="shared" si="8"/>
        <v>7210.840277777791</v>
      </c>
      <c r="V32" s="101">
        <f t="shared" si="8"/>
        <v>13305.843448540214</v>
      </c>
      <c r="X32" s="101">
        <f t="shared" si="9"/>
        <v>9.2416378316032297</v>
      </c>
      <c r="Y32" s="101">
        <f t="shared" si="9"/>
        <v>9.7943098808150797</v>
      </c>
      <c r="Z32" s="101">
        <f t="shared" si="9"/>
        <v>13.304608734373433</v>
      </c>
    </row>
    <row r="33" spans="1:26" x14ac:dyDescent="0.4">
      <c r="A33" s="91">
        <v>32</v>
      </c>
      <c r="B33" s="92">
        <v>803</v>
      </c>
      <c r="C33" s="63">
        <f t="shared" si="1"/>
        <v>817.625</v>
      </c>
      <c r="D33" s="63">
        <f t="shared" si="2"/>
        <v>799.8888888888888</v>
      </c>
      <c r="E33" s="94">
        <f t="shared" si="0"/>
        <v>793.29073801243567</v>
      </c>
      <c r="L33" s="101">
        <f t="shared" si="6"/>
        <v>-14.625</v>
      </c>
      <c r="M33" s="101">
        <f t="shared" si="6"/>
        <v>3.1111111111111995</v>
      </c>
      <c r="N33" s="101">
        <f t="shared" si="6"/>
        <v>9.7092619875643322</v>
      </c>
      <c r="O33" s="76"/>
      <c r="P33" s="101">
        <f t="shared" si="7"/>
        <v>14.625</v>
      </c>
      <c r="Q33" s="101">
        <f t="shared" si="7"/>
        <v>3.1111111111111995</v>
      </c>
      <c r="R33" s="101">
        <f t="shared" si="7"/>
        <v>9.7092619875643322</v>
      </c>
      <c r="S33" s="76"/>
      <c r="T33" s="101">
        <f t="shared" si="8"/>
        <v>213.890625</v>
      </c>
      <c r="U33" s="101">
        <f t="shared" si="8"/>
        <v>9.6790123456795634</v>
      </c>
      <c r="V33" s="101">
        <f t="shared" si="8"/>
        <v>94.269768343161687</v>
      </c>
      <c r="X33" s="101">
        <f t="shared" si="9"/>
        <v>1.8212951432129514</v>
      </c>
      <c r="Y33" s="101">
        <f t="shared" si="9"/>
        <v>0.38743600387437105</v>
      </c>
      <c r="Z33" s="101">
        <f t="shared" si="9"/>
        <v>1.2091235351885843</v>
      </c>
    </row>
    <row r="34" spans="1:26" x14ac:dyDescent="0.4">
      <c r="A34" s="91">
        <v>33</v>
      </c>
      <c r="B34" s="92">
        <v>776</v>
      </c>
      <c r="C34" s="63">
        <f t="shared" si="1"/>
        <v>815.125</v>
      </c>
      <c r="D34" s="63">
        <f t="shared" si="2"/>
        <v>796.63888888888891</v>
      </c>
      <c r="E34" s="94">
        <f t="shared" si="0"/>
        <v>796.79578158994639</v>
      </c>
      <c r="L34" s="101">
        <f t="shared" si="6"/>
        <v>-39.125</v>
      </c>
      <c r="M34" s="101">
        <f t="shared" si="6"/>
        <v>-20.638888888888914</v>
      </c>
      <c r="N34" s="101">
        <f t="shared" si="6"/>
        <v>-20.795781589946387</v>
      </c>
      <c r="O34" s="76"/>
      <c r="P34" s="101">
        <f t="shared" si="7"/>
        <v>39.125</v>
      </c>
      <c r="Q34" s="101">
        <f t="shared" si="7"/>
        <v>20.638888888888914</v>
      </c>
      <c r="R34" s="101">
        <f t="shared" si="7"/>
        <v>20.795781589946387</v>
      </c>
      <c r="S34" s="76"/>
      <c r="T34" s="101">
        <f t="shared" si="8"/>
        <v>1530.765625</v>
      </c>
      <c r="U34" s="101">
        <f t="shared" si="8"/>
        <v>425.96373456790229</v>
      </c>
      <c r="V34" s="101">
        <f t="shared" si="8"/>
        <v>432.46453193675308</v>
      </c>
      <c r="X34" s="101">
        <f t="shared" si="9"/>
        <v>5.0418814432989691</v>
      </c>
      <c r="Y34" s="101">
        <f t="shared" si="9"/>
        <v>2.6596506300114582</v>
      </c>
      <c r="Z34" s="101">
        <f t="shared" si="9"/>
        <v>2.6798687615910293</v>
      </c>
    </row>
    <row r="35" spans="1:26" x14ac:dyDescent="0.4">
      <c r="A35" s="91">
        <v>34</v>
      </c>
      <c r="B35" s="92">
        <v>826</v>
      </c>
      <c r="C35" s="63">
        <f t="shared" si="1"/>
        <v>787</v>
      </c>
      <c r="D35" s="63">
        <f t="shared" si="2"/>
        <v>787.94444444444446</v>
      </c>
      <c r="E35" s="94">
        <f t="shared" si="0"/>
        <v>789.28850443597571</v>
      </c>
      <c r="L35" s="101">
        <f t="shared" si="6"/>
        <v>39</v>
      </c>
      <c r="M35" s="101">
        <f t="shared" si="6"/>
        <v>38.055555555555543</v>
      </c>
      <c r="N35" s="101">
        <f t="shared" si="6"/>
        <v>36.71149556402429</v>
      </c>
      <c r="O35" s="76"/>
      <c r="P35" s="101">
        <f t="shared" si="7"/>
        <v>39</v>
      </c>
      <c r="Q35" s="101">
        <f t="shared" si="7"/>
        <v>38.055555555555543</v>
      </c>
      <c r="R35" s="101">
        <f t="shared" si="7"/>
        <v>36.71149556402429</v>
      </c>
      <c r="S35" s="76"/>
      <c r="T35" s="101">
        <f t="shared" si="8"/>
        <v>1521</v>
      </c>
      <c r="U35" s="101">
        <f t="shared" si="8"/>
        <v>1448.2253086419744</v>
      </c>
      <c r="V35" s="101">
        <f t="shared" si="8"/>
        <v>1347.733906547375</v>
      </c>
      <c r="X35" s="101">
        <f t="shared" si="9"/>
        <v>4.7215496368038741</v>
      </c>
      <c r="Y35" s="101">
        <f t="shared" si="9"/>
        <v>4.6072101156846905</v>
      </c>
      <c r="Z35" s="101">
        <f t="shared" si="9"/>
        <v>4.4444909883806645</v>
      </c>
    </row>
    <row r="36" spans="1:26" x14ac:dyDescent="0.4">
      <c r="A36" s="91">
        <v>35</v>
      </c>
      <c r="B36" s="92">
        <v>748</v>
      </c>
      <c r="C36" s="63">
        <f t="shared" si="1"/>
        <v>787.875</v>
      </c>
      <c r="D36" s="63">
        <f t="shared" si="2"/>
        <v>796.61111111111109</v>
      </c>
      <c r="E36" s="94">
        <f t="shared" si="0"/>
        <v>802.5413543345885</v>
      </c>
      <c r="L36" s="101">
        <f t="shared" si="6"/>
        <v>-39.875</v>
      </c>
      <c r="M36" s="101">
        <f t="shared" si="6"/>
        <v>-48.611111111111086</v>
      </c>
      <c r="N36" s="101">
        <f t="shared" si="6"/>
        <v>-54.541354334588505</v>
      </c>
      <c r="O36" s="76"/>
      <c r="P36" s="101">
        <f t="shared" si="7"/>
        <v>39.875</v>
      </c>
      <c r="Q36" s="101">
        <f t="shared" si="7"/>
        <v>48.611111111111086</v>
      </c>
      <c r="R36" s="101">
        <f t="shared" si="7"/>
        <v>54.541354334588505</v>
      </c>
      <c r="S36" s="76"/>
      <c r="T36" s="101">
        <f t="shared" si="8"/>
        <v>1590.015625</v>
      </c>
      <c r="U36" s="101">
        <f>M36^2+AB36</f>
        <v>2363.0401234567876</v>
      </c>
      <c r="V36" s="101">
        <f t="shared" si="8"/>
        <v>2974.7593326511364</v>
      </c>
      <c r="X36" s="101">
        <f t="shared" si="9"/>
        <v>5.3308823529411766</v>
      </c>
      <c r="Y36" s="101">
        <f t="shared" si="9"/>
        <v>6.4988116458704654</v>
      </c>
      <c r="Z36" s="101">
        <f t="shared" si="9"/>
        <v>7.2916249110412448</v>
      </c>
    </row>
    <row r="37" spans="1:26" x14ac:dyDescent="0.4">
      <c r="A37" s="91">
        <v>36</v>
      </c>
      <c r="B37" s="92">
        <v>737</v>
      </c>
      <c r="C37" s="63">
        <f t="shared" si="1"/>
        <v>795.125</v>
      </c>
      <c r="D37" s="63">
        <f t="shared" si="2"/>
        <v>787.74999999999989</v>
      </c>
      <c r="E37" s="94">
        <f t="shared" si="0"/>
        <v>782.851925419802</v>
      </c>
      <c r="L37" s="101">
        <f>$B37-C37</f>
        <v>-58.125</v>
      </c>
      <c r="M37" s="101">
        <f t="shared" si="6"/>
        <v>-50.749999999999886</v>
      </c>
      <c r="N37" s="101">
        <f t="shared" si="6"/>
        <v>-45.851925419802001</v>
      </c>
      <c r="O37" s="76"/>
      <c r="P37" s="101">
        <f>ABS(L37)</f>
        <v>58.125</v>
      </c>
      <c r="Q37" s="101">
        <f t="shared" si="7"/>
        <v>50.749999999999886</v>
      </c>
      <c r="R37" s="101">
        <f t="shared" si="7"/>
        <v>45.851925419802001</v>
      </c>
      <c r="S37" s="76"/>
      <c r="T37" s="101">
        <f t="shared" si="8"/>
        <v>3378.515625</v>
      </c>
      <c r="U37" s="101">
        <f t="shared" si="8"/>
        <v>2575.5624999999886</v>
      </c>
      <c r="V37" s="101">
        <f t="shared" si="8"/>
        <v>2102.3990647030851</v>
      </c>
      <c r="X37" s="101">
        <f t="shared" si="9"/>
        <v>7.8867028493894171</v>
      </c>
      <c r="Y37" s="101">
        <f t="shared" si="9"/>
        <v>6.8860244233378403</v>
      </c>
      <c r="Z37" s="101">
        <f>R37/$B37*100</f>
        <v>6.2214281437994572</v>
      </c>
    </row>
    <row r="38" spans="1:26" x14ac:dyDescent="0.4">
      <c r="A38" s="91">
        <v>37</v>
      </c>
      <c r="B38" s="92">
        <v>792</v>
      </c>
      <c r="C38" s="63">
        <f t="shared" si="1"/>
        <v>778.25</v>
      </c>
      <c r="D38" s="63">
        <f t="shared" si="2"/>
        <v>774.83333333333326</v>
      </c>
      <c r="E38" s="94">
        <f t="shared" si="0"/>
        <v>766.29938034325346</v>
      </c>
      <c r="L38" s="101">
        <f t="shared" ref="L38:N40" si="10">$B38-C38</f>
        <v>13.75</v>
      </c>
      <c r="M38" s="101">
        <f t="shared" si="6"/>
        <v>17.166666666666742</v>
      </c>
      <c r="N38" s="101">
        <f t="shared" si="6"/>
        <v>25.700619656746539</v>
      </c>
      <c r="P38" s="101">
        <f t="shared" ref="P38:R40" si="11">ABS(L38)</f>
        <v>13.75</v>
      </c>
      <c r="Q38" s="101">
        <f t="shared" si="11"/>
        <v>17.166666666666742</v>
      </c>
      <c r="R38" s="101">
        <f t="shared" si="11"/>
        <v>25.700619656746539</v>
      </c>
      <c r="T38" s="101">
        <f t="shared" ref="T38:V40" si="12">L38^2</f>
        <v>189.0625</v>
      </c>
      <c r="U38" s="101">
        <f t="shared" si="12"/>
        <v>294.69444444444707</v>
      </c>
      <c r="V38" s="101">
        <f t="shared" si="12"/>
        <v>660.52185074074657</v>
      </c>
      <c r="X38" s="101">
        <f t="shared" ref="X38:Z40" si="13">P38/$B38*100</f>
        <v>1.7361111111111112</v>
      </c>
      <c r="Y38" s="101">
        <f t="shared" si="13"/>
        <v>2.1675084175084272</v>
      </c>
      <c r="Z38" s="101">
        <f t="shared" si="13"/>
        <v>3.2450277344376941</v>
      </c>
    </row>
    <row r="39" spans="1:26" x14ac:dyDescent="0.4">
      <c r="A39" s="91">
        <v>38</v>
      </c>
      <c r="B39" s="92">
        <v>1049</v>
      </c>
      <c r="C39" s="63">
        <f t="shared" si="1"/>
        <v>774.125</v>
      </c>
      <c r="D39" s="63">
        <f t="shared" si="2"/>
        <v>777.88888888888891</v>
      </c>
      <c r="E39" s="94">
        <f t="shared" si="0"/>
        <v>775.57730403933897</v>
      </c>
      <c r="L39" s="101">
        <f t="shared" si="10"/>
        <v>274.875</v>
      </c>
      <c r="M39" s="101">
        <f t="shared" si="10"/>
        <v>271.11111111111109</v>
      </c>
      <c r="N39" s="101">
        <f t="shared" si="10"/>
        <v>273.42269596066103</v>
      </c>
      <c r="P39" s="101">
        <f t="shared" si="11"/>
        <v>274.875</v>
      </c>
      <c r="Q39" s="101">
        <f t="shared" si="11"/>
        <v>271.11111111111109</v>
      </c>
      <c r="R39" s="101">
        <f t="shared" si="11"/>
        <v>273.42269596066103</v>
      </c>
      <c r="T39" s="101">
        <f t="shared" si="12"/>
        <v>75556.265625</v>
      </c>
      <c r="U39" s="101">
        <f t="shared" si="12"/>
        <v>73501.234567901221</v>
      </c>
      <c r="V39" s="101">
        <f t="shared" si="12"/>
        <v>74759.970666396082</v>
      </c>
      <c r="X39" s="101">
        <f t="shared" si="13"/>
        <v>26.203527168732126</v>
      </c>
      <c r="Y39" s="101">
        <f t="shared" si="13"/>
        <v>25.844719839000103</v>
      </c>
      <c r="Z39" s="101">
        <f t="shared" si="13"/>
        <v>26.065080644486276</v>
      </c>
    </row>
    <row r="40" spans="1:26" ht="15" thickBot="1" x14ac:dyDescent="0.45">
      <c r="A40" s="91">
        <v>39</v>
      </c>
      <c r="B40" s="92">
        <v>824</v>
      </c>
      <c r="C40" s="63">
        <f>AVERAGE(B32:B39)</f>
        <v>824.75</v>
      </c>
      <c r="D40" s="63">
        <f t="shared" si="2"/>
        <v>838.97222222222217</v>
      </c>
      <c r="E40" s="94">
        <f t="shared" si="0"/>
        <v>874.28289728113759</v>
      </c>
      <c r="L40" s="104">
        <f t="shared" si="10"/>
        <v>-0.75</v>
      </c>
      <c r="M40" s="104">
        <f t="shared" si="10"/>
        <v>-14.972222222222172</v>
      </c>
      <c r="N40" s="104">
        <f t="shared" si="10"/>
        <v>-50.282897281137593</v>
      </c>
      <c r="P40" s="104">
        <f t="shared" si="11"/>
        <v>0.75</v>
      </c>
      <c r="Q40" s="104">
        <f t="shared" si="11"/>
        <v>14.972222222222172</v>
      </c>
      <c r="R40" s="104">
        <f t="shared" si="11"/>
        <v>50.282897281137593</v>
      </c>
      <c r="T40" s="104">
        <f t="shared" si="12"/>
        <v>0.5625</v>
      </c>
      <c r="U40" s="104">
        <f t="shared" si="12"/>
        <v>224.16743827160343</v>
      </c>
      <c r="V40" s="104">
        <f t="shared" si="12"/>
        <v>2528.3697589854346</v>
      </c>
      <c r="X40" s="104">
        <f t="shared" si="13"/>
        <v>9.1019417475728157E-2</v>
      </c>
      <c r="Y40" s="104">
        <f t="shared" si="13"/>
        <v>1.8170172599784189</v>
      </c>
      <c r="Z40" s="104">
        <f t="shared" si="13"/>
        <v>6.102293359361358</v>
      </c>
    </row>
    <row r="41" spans="1:26" x14ac:dyDescent="0.4">
      <c r="A41" s="91">
        <v>40</v>
      </c>
      <c r="B41" s="92"/>
      <c r="C41" s="116">
        <v>819.375</v>
      </c>
      <c r="D41" s="63">
        <f>SUMPRODUCT($H$2:$H$9, B33:B40)</f>
        <v>838.80555555555543</v>
      </c>
      <c r="E41" s="94">
        <f>$J$2*B40+(1-$J$2)*E40</f>
        <v>856.13077136264701</v>
      </c>
    </row>
    <row r="42" spans="1:26" x14ac:dyDescent="0.4">
      <c r="A42" s="91">
        <v>41</v>
      </c>
      <c r="B42" s="92"/>
      <c r="C42" s="116">
        <v>821.421875</v>
      </c>
      <c r="D42" s="105"/>
      <c r="E42" s="106"/>
    </row>
    <row r="43" spans="1:26" x14ac:dyDescent="0.4">
      <c r="A43" s="91">
        <v>42</v>
      </c>
      <c r="B43" s="92"/>
      <c r="C43" s="116">
        <v>827.099609375</v>
      </c>
      <c r="D43" s="105"/>
      <c r="E43" s="106"/>
    </row>
    <row r="44" spans="1:26" x14ac:dyDescent="0.4">
      <c r="A44" s="107">
        <v>43</v>
      </c>
      <c r="B44" s="108"/>
      <c r="C44" s="117">
        <v>827.237060546875</v>
      </c>
      <c r="D44" s="109"/>
      <c r="E44" s="110"/>
    </row>
    <row r="45" spans="1:26" x14ac:dyDescent="0.4">
      <c r="A45" s="124" t="s">
        <v>110</v>
      </c>
      <c r="B45" s="111">
        <f>SUM(B2:B40)</f>
        <v>24378</v>
      </c>
      <c r="C45" s="118">
        <f>SUM(C2:C44)</f>
        <v>22817.258544921875</v>
      </c>
      <c r="D45" s="118">
        <f>SUM(D2:D41)</f>
        <v>20929.722222222223</v>
      </c>
      <c r="E45" s="119">
        <f>SUM(E2:E41)</f>
        <v>23588.339160939806</v>
      </c>
    </row>
    <row r="46" spans="1:26" x14ac:dyDescent="0.4">
      <c r="A46" s="125" t="s">
        <v>111</v>
      </c>
      <c r="B46" s="112">
        <f>AVERAGE(B2:B40)</f>
        <v>625.07692307692309</v>
      </c>
      <c r="C46" s="120">
        <f>AVERAGE(C10:C44)</f>
        <v>651.92167271205358</v>
      </c>
      <c r="D46" s="120">
        <f>AVERAGE(D10:D41)</f>
        <v>654.05381944444446</v>
      </c>
      <c r="E46" s="121">
        <f>AVERAGE(E2:E41)</f>
        <v>589.7084790234951</v>
      </c>
    </row>
    <row r="47" spans="1:26" x14ac:dyDescent="0.4">
      <c r="A47" s="126" t="s">
        <v>112</v>
      </c>
      <c r="B47" s="113">
        <f>B46*52</f>
        <v>32504</v>
      </c>
      <c r="C47" s="122">
        <f>C46*52</f>
        <v>33899.926981026787</v>
      </c>
      <c r="D47" s="122">
        <f>D46*52</f>
        <v>34010.798611111109</v>
      </c>
      <c r="E47" s="123">
        <f>E46*52</f>
        <v>30664.840909221744</v>
      </c>
    </row>
    <row r="48" spans="1:26" x14ac:dyDescent="0.4">
      <c r="A48" s="114"/>
      <c r="B48" s="114"/>
      <c r="C48" s="114"/>
      <c r="D48" s="114"/>
      <c r="E48" s="114"/>
    </row>
  </sheetData>
  <mergeCells count="1"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233BC-E47B-49C0-A2B5-CFE5B45BCC4B}">
  <dimension ref="A1:L33"/>
  <sheetViews>
    <sheetView zoomScale="77" zoomScaleNormal="77" workbookViewId="0">
      <selection activeCell="D35" sqref="D35"/>
    </sheetView>
  </sheetViews>
  <sheetFormatPr defaultRowHeight="14.6" x14ac:dyDescent="0.4"/>
  <cols>
    <col min="1" max="1" width="25.53515625" customWidth="1"/>
    <col min="2" max="2" width="14.15234375" customWidth="1"/>
    <col min="3" max="3" width="16.3828125" customWidth="1"/>
    <col min="4" max="4" width="13.4609375" customWidth="1"/>
    <col min="5" max="5" width="24.921875" customWidth="1"/>
    <col min="6" max="6" width="12.3828125" customWidth="1"/>
    <col min="7" max="8" width="13.4609375" customWidth="1"/>
    <col min="9" max="9" width="24.53515625" customWidth="1"/>
    <col min="10" max="10" width="12.3828125" customWidth="1"/>
    <col min="11" max="11" width="12.15234375" customWidth="1"/>
    <col min="12" max="12" width="10.69140625" customWidth="1"/>
  </cols>
  <sheetData>
    <row r="1" spans="1:12" x14ac:dyDescent="0.4">
      <c r="A1" s="30" t="s">
        <v>73</v>
      </c>
      <c r="E1" s="30" t="s">
        <v>74</v>
      </c>
      <c r="I1" s="30" t="s">
        <v>75</v>
      </c>
    </row>
    <row r="2" spans="1:12" ht="15" thickBot="1" x14ac:dyDescent="0.45">
      <c r="A2" s="17" t="s">
        <v>12</v>
      </c>
      <c r="B2" s="17"/>
      <c r="C2" t="s">
        <v>13</v>
      </c>
      <c r="E2" s="17" t="s">
        <v>12</v>
      </c>
      <c r="F2" s="17"/>
      <c r="G2" t="s">
        <v>13</v>
      </c>
      <c r="I2" s="17" t="s">
        <v>12</v>
      </c>
      <c r="J2" s="17"/>
      <c r="K2" t="s">
        <v>13</v>
      </c>
    </row>
    <row r="3" spans="1:12" x14ac:dyDescent="0.4">
      <c r="A3" s="16" t="s">
        <v>40</v>
      </c>
      <c r="B3" s="16" t="s">
        <v>0</v>
      </c>
      <c r="C3" s="24">
        <v>33900</v>
      </c>
      <c r="D3" t="s">
        <v>41</v>
      </c>
      <c r="E3" s="16" t="s">
        <v>40</v>
      </c>
      <c r="F3" s="16" t="s">
        <v>0</v>
      </c>
      <c r="G3" s="24">
        <v>33701</v>
      </c>
      <c r="H3" t="s">
        <v>41</v>
      </c>
      <c r="I3" s="16" t="s">
        <v>40</v>
      </c>
      <c r="J3" s="16" t="s">
        <v>0</v>
      </c>
      <c r="K3" s="24">
        <v>30665</v>
      </c>
      <c r="L3" t="s">
        <v>41</v>
      </c>
    </row>
    <row r="4" spans="1:12" x14ac:dyDescent="0.4">
      <c r="A4" s="12" t="s">
        <v>14</v>
      </c>
      <c r="B4" s="12" t="s">
        <v>15</v>
      </c>
      <c r="C4" s="21">
        <v>740</v>
      </c>
      <c r="D4" t="s">
        <v>44</v>
      </c>
      <c r="E4" s="12" t="s">
        <v>14</v>
      </c>
      <c r="F4" s="12" t="s">
        <v>15</v>
      </c>
      <c r="G4" s="21">
        <v>740</v>
      </c>
      <c r="H4" t="s">
        <v>44</v>
      </c>
      <c r="I4" s="12" t="s">
        <v>14</v>
      </c>
      <c r="J4" s="12" t="s">
        <v>15</v>
      </c>
      <c r="K4" s="21">
        <v>740</v>
      </c>
      <c r="L4" t="s">
        <v>44</v>
      </c>
    </row>
    <row r="5" spans="1:12" x14ac:dyDescent="0.4">
      <c r="A5" s="12" t="s">
        <v>16</v>
      </c>
      <c r="B5" s="12" t="s">
        <v>17</v>
      </c>
      <c r="C5" s="21">
        <v>0.1</v>
      </c>
      <c r="D5" t="s">
        <v>42</v>
      </c>
      <c r="E5" s="12" t="s">
        <v>16</v>
      </c>
      <c r="F5" s="12" t="s">
        <v>17</v>
      </c>
      <c r="G5" s="21">
        <v>0.1</v>
      </c>
      <c r="H5" t="s">
        <v>42</v>
      </c>
      <c r="I5" s="12" t="s">
        <v>16</v>
      </c>
      <c r="J5" s="12" t="s">
        <v>17</v>
      </c>
      <c r="K5" s="21">
        <v>0.1</v>
      </c>
      <c r="L5" t="s">
        <v>42</v>
      </c>
    </row>
    <row r="6" spans="1:12" x14ac:dyDescent="0.4">
      <c r="A6" s="12" t="s">
        <v>47</v>
      </c>
      <c r="B6" s="12" t="s">
        <v>18</v>
      </c>
      <c r="C6" s="21">
        <v>365</v>
      </c>
      <c r="D6" t="s">
        <v>18</v>
      </c>
      <c r="E6" s="12" t="s">
        <v>47</v>
      </c>
      <c r="F6" s="12" t="s">
        <v>18</v>
      </c>
      <c r="G6" s="21">
        <v>365</v>
      </c>
      <c r="H6" t="s">
        <v>18</v>
      </c>
      <c r="I6" s="12" t="s">
        <v>47</v>
      </c>
      <c r="J6" s="12" t="s">
        <v>18</v>
      </c>
      <c r="K6" s="21">
        <v>365</v>
      </c>
      <c r="L6" t="s">
        <v>18</v>
      </c>
    </row>
    <row r="7" spans="1:12" ht="15" thickBot="1" x14ac:dyDescent="0.45">
      <c r="A7" s="9" t="s">
        <v>2</v>
      </c>
      <c r="B7" s="9" t="s">
        <v>19</v>
      </c>
      <c r="C7" s="23">
        <v>6</v>
      </c>
      <c r="D7" t="s">
        <v>18</v>
      </c>
      <c r="E7" s="9" t="s">
        <v>2</v>
      </c>
      <c r="F7" s="9" t="s">
        <v>19</v>
      </c>
      <c r="G7" s="23">
        <v>6</v>
      </c>
      <c r="H7" t="s">
        <v>18</v>
      </c>
      <c r="I7" s="9" t="s">
        <v>2</v>
      </c>
      <c r="J7" s="9" t="s">
        <v>19</v>
      </c>
      <c r="K7" s="23">
        <v>6</v>
      </c>
      <c r="L7" t="s">
        <v>18</v>
      </c>
    </row>
    <row r="8" spans="1:12" ht="15" thickBot="1" x14ac:dyDescent="0.45">
      <c r="A8" s="17" t="s">
        <v>20</v>
      </c>
      <c r="B8" s="17"/>
      <c r="E8" s="17" t="s">
        <v>20</v>
      </c>
      <c r="F8" s="17"/>
      <c r="I8" s="17" t="s">
        <v>20</v>
      </c>
      <c r="J8" s="17"/>
    </row>
    <row r="9" spans="1:12" x14ac:dyDescent="0.4">
      <c r="A9" s="16" t="s">
        <v>21</v>
      </c>
      <c r="B9" s="16" t="s">
        <v>22</v>
      </c>
      <c r="C9" s="22">
        <f>Unit_Cost*Inv_rate</f>
        <v>74</v>
      </c>
      <c r="D9" t="s">
        <v>43</v>
      </c>
      <c r="E9" s="16" t="s">
        <v>21</v>
      </c>
      <c r="F9" s="16" t="s">
        <v>22</v>
      </c>
      <c r="G9" s="22">
        <f>Unit_Cost*Inv_rate</f>
        <v>74</v>
      </c>
      <c r="H9" t="s">
        <v>43</v>
      </c>
      <c r="I9" s="16" t="s">
        <v>21</v>
      </c>
      <c r="J9" s="16" t="s">
        <v>22</v>
      </c>
      <c r="K9" s="22">
        <f>Unit_Cost*Inv_rate</f>
        <v>74</v>
      </c>
      <c r="L9" t="s">
        <v>43</v>
      </c>
    </row>
    <row r="10" spans="1:12" x14ac:dyDescent="0.4">
      <c r="A10" s="12" t="s">
        <v>23</v>
      </c>
      <c r="B10" s="12" t="s">
        <v>24</v>
      </c>
      <c r="C10" s="21">
        <v>740</v>
      </c>
      <c r="D10" t="s">
        <v>43</v>
      </c>
      <c r="E10" s="12" t="s">
        <v>23</v>
      </c>
      <c r="F10" s="12" t="s">
        <v>24</v>
      </c>
      <c r="G10" s="21">
        <v>740</v>
      </c>
      <c r="H10" t="s">
        <v>43</v>
      </c>
      <c r="I10" s="12" t="s">
        <v>23</v>
      </c>
      <c r="J10" s="12" t="s">
        <v>24</v>
      </c>
      <c r="K10" s="21">
        <v>740</v>
      </c>
      <c r="L10" t="s">
        <v>43</v>
      </c>
    </row>
    <row r="11" spans="1:12" x14ac:dyDescent="0.4">
      <c r="A11" s="12" t="s">
        <v>46</v>
      </c>
      <c r="B11" s="12" t="s">
        <v>45</v>
      </c>
      <c r="C11" s="20">
        <f>Demand/days</f>
        <v>92.876712328767127</v>
      </c>
      <c r="D11" t="s">
        <v>41</v>
      </c>
      <c r="E11" s="12" t="s">
        <v>46</v>
      </c>
      <c r="F11" s="12" t="s">
        <v>45</v>
      </c>
      <c r="G11" s="20">
        <f>G3/days</f>
        <v>92.331506849315062</v>
      </c>
      <c r="H11" t="s">
        <v>41</v>
      </c>
      <c r="I11" s="12" t="s">
        <v>46</v>
      </c>
      <c r="J11" s="12" t="s">
        <v>45</v>
      </c>
      <c r="K11" s="20">
        <f>K3/days</f>
        <v>84.013698630136986</v>
      </c>
      <c r="L11" t="s">
        <v>41</v>
      </c>
    </row>
    <row r="12" spans="1:12" ht="15" thickBot="1" x14ac:dyDescent="0.45">
      <c r="A12" s="9" t="s">
        <v>25</v>
      </c>
      <c r="B12" s="9" t="s">
        <v>26</v>
      </c>
      <c r="C12" s="25">
        <f>dailyDemand*Lead_Time</f>
        <v>557.26027397260282</v>
      </c>
      <c r="D12" t="s">
        <v>41</v>
      </c>
      <c r="E12" s="9" t="s">
        <v>25</v>
      </c>
      <c r="F12" s="9" t="s">
        <v>26</v>
      </c>
      <c r="G12" s="25">
        <f>G11*Lead_Time</f>
        <v>553.98904109589034</v>
      </c>
      <c r="H12" t="s">
        <v>41</v>
      </c>
      <c r="I12" s="9" t="s">
        <v>25</v>
      </c>
      <c r="J12" s="9" t="s">
        <v>26</v>
      </c>
      <c r="K12" s="25">
        <f>K11*Lead_Time</f>
        <v>504.08219178082192</v>
      </c>
      <c r="L12" t="s">
        <v>41</v>
      </c>
    </row>
    <row r="13" spans="1:12" ht="15" thickBot="1" x14ac:dyDescent="0.45">
      <c r="A13" s="17" t="s">
        <v>27</v>
      </c>
      <c r="B13" s="17"/>
      <c r="E13" s="17" t="s">
        <v>27</v>
      </c>
      <c r="F13" s="17"/>
      <c r="I13" s="17" t="s">
        <v>27</v>
      </c>
      <c r="J13" s="17"/>
    </row>
    <row r="14" spans="1:12" ht="15" thickBot="1" x14ac:dyDescent="0.45">
      <c r="A14" s="19" t="s">
        <v>28</v>
      </c>
      <c r="B14" s="19" t="s">
        <v>1</v>
      </c>
      <c r="C14" s="18">
        <f>SQRT(2*Demand*Co/Ch)</f>
        <v>823.40755400955607</v>
      </c>
      <c r="D14" t="s">
        <v>41</v>
      </c>
      <c r="E14" s="19" t="s">
        <v>28</v>
      </c>
      <c r="F14" s="19" t="s">
        <v>1</v>
      </c>
      <c r="G14" s="18">
        <f>SQRT(2*G3*Co/Ch)</f>
        <v>820.98721061902052</v>
      </c>
      <c r="H14" t="s">
        <v>41</v>
      </c>
      <c r="I14" s="19" t="s">
        <v>28</v>
      </c>
      <c r="J14" s="19" t="s">
        <v>1</v>
      </c>
      <c r="K14" s="18">
        <f>SQRT(2*K3*Co/Ch)</f>
        <v>783.13472659562228</v>
      </c>
      <c r="L14" t="s">
        <v>41</v>
      </c>
    </row>
    <row r="15" spans="1:12" ht="15" thickBot="1" x14ac:dyDescent="0.45">
      <c r="A15" s="17" t="s">
        <v>29</v>
      </c>
      <c r="B15" s="17"/>
      <c r="E15" s="17" t="s">
        <v>29</v>
      </c>
      <c r="F15" s="17"/>
      <c r="I15" s="17" t="s">
        <v>29</v>
      </c>
      <c r="J15" s="17"/>
    </row>
    <row r="16" spans="1:12" x14ac:dyDescent="0.4">
      <c r="A16" s="16" t="s">
        <v>30</v>
      </c>
      <c r="B16" s="16" t="s">
        <v>31</v>
      </c>
      <c r="C16" s="15">
        <f>0.5*EOQ*Ch</f>
        <v>30466.079498353574</v>
      </c>
      <c r="D16" t="s">
        <v>43</v>
      </c>
      <c r="E16" s="16" t="s">
        <v>30</v>
      </c>
      <c r="F16" s="16" t="s">
        <v>31</v>
      </c>
      <c r="G16" s="15">
        <f>0.5*G14*Ch</f>
        <v>30376.526792903758</v>
      </c>
      <c r="H16" t="s">
        <v>43</v>
      </c>
      <c r="I16" s="16" t="s">
        <v>30</v>
      </c>
      <c r="J16" s="16" t="s">
        <v>31</v>
      </c>
      <c r="K16" s="15">
        <f>0.5*K14*Ch</f>
        <v>28975.984884038025</v>
      </c>
      <c r="L16" t="s">
        <v>43</v>
      </c>
    </row>
    <row r="17" spans="1:12" x14ac:dyDescent="0.4">
      <c r="A17" s="12" t="s">
        <v>32</v>
      </c>
      <c r="B17" s="12" t="s">
        <v>33</v>
      </c>
      <c r="C17" s="14">
        <f>Demand/EOQ*Co</f>
        <v>30466.079498353571</v>
      </c>
      <c r="D17" t="s">
        <v>43</v>
      </c>
      <c r="E17" s="12" t="s">
        <v>32</v>
      </c>
      <c r="F17" s="12" t="s">
        <v>33</v>
      </c>
      <c r="G17" s="14">
        <f>G3/G14*Co</f>
        <v>30376.526792903762</v>
      </c>
      <c r="H17" t="s">
        <v>43</v>
      </c>
      <c r="I17" s="12" t="s">
        <v>32</v>
      </c>
      <c r="J17" s="12" t="s">
        <v>33</v>
      </c>
      <c r="K17" s="14">
        <f>K3/K14*Co</f>
        <v>28975.984884038022</v>
      </c>
      <c r="L17" t="s">
        <v>43</v>
      </c>
    </row>
    <row r="18" spans="1:12" x14ac:dyDescent="0.4">
      <c r="A18" s="12" t="s">
        <v>34</v>
      </c>
      <c r="B18" s="12" t="s">
        <v>35</v>
      </c>
      <c r="C18" s="13">
        <f>AnHolding+AnOrdering</f>
        <v>60932.158996707149</v>
      </c>
      <c r="D18" t="s">
        <v>43</v>
      </c>
      <c r="E18" s="12" t="s">
        <v>34</v>
      </c>
      <c r="F18" s="12" t="s">
        <v>35</v>
      </c>
      <c r="G18" s="13">
        <f>SUM(G16:G17)</f>
        <v>60753.053585807516</v>
      </c>
      <c r="H18" t="s">
        <v>43</v>
      </c>
      <c r="I18" s="12" t="s">
        <v>34</v>
      </c>
      <c r="J18" s="12" t="s">
        <v>35</v>
      </c>
      <c r="K18" s="13">
        <f>SUM(K16:K17)</f>
        <v>57951.969768076044</v>
      </c>
      <c r="L18" t="s">
        <v>43</v>
      </c>
    </row>
    <row r="19" spans="1:12" x14ac:dyDescent="0.4">
      <c r="A19" s="12" t="s">
        <v>36</v>
      </c>
      <c r="B19" s="12" t="s">
        <v>37</v>
      </c>
      <c r="C19" s="11">
        <f>ROUND(Demand/EOQ,0)</f>
        <v>41</v>
      </c>
      <c r="D19" t="s">
        <v>76</v>
      </c>
      <c r="E19" s="12" t="s">
        <v>36</v>
      </c>
      <c r="F19" s="12" t="s">
        <v>37</v>
      </c>
      <c r="G19" s="11">
        <f>ROUND(G3/G14,0)</f>
        <v>41</v>
      </c>
      <c r="H19" t="s">
        <v>76</v>
      </c>
      <c r="I19" s="12" t="s">
        <v>36</v>
      </c>
      <c r="J19" s="12" t="s">
        <v>37</v>
      </c>
      <c r="K19" s="11">
        <f>ROUND(K3/K14,0)</f>
        <v>39</v>
      </c>
      <c r="L19" t="s">
        <v>76</v>
      </c>
    </row>
    <row r="20" spans="1:12" ht="15" thickBot="1" x14ac:dyDescent="0.45">
      <c r="A20" s="9" t="s">
        <v>38</v>
      </c>
      <c r="B20" s="9" t="s">
        <v>39</v>
      </c>
      <c r="C20" s="8">
        <f>ROUND(days/NumCycles,0)</f>
        <v>9</v>
      </c>
      <c r="D20" t="s">
        <v>18</v>
      </c>
      <c r="E20" s="9" t="s">
        <v>38</v>
      </c>
      <c r="F20" s="9" t="s">
        <v>39</v>
      </c>
      <c r="G20" s="8">
        <f>ROUND(days/G19,0)</f>
        <v>9</v>
      </c>
      <c r="H20" t="s">
        <v>18</v>
      </c>
      <c r="I20" s="9" t="s">
        <v>38</v>
      </c>
      <c r="J20" s="9" t="s">
        <v>39</v>
      </c>
      <c r="K20" s="8">
        <f>ROUND(days/K19,0)</f>
        <v>9</v>
      </c>
      <c r="L20" t="s">
        <v>18</v>
      </c>
    </row>
    <row r="21" spans="1:12" x14ac:dyDescent="0.4">
      <c r="H21" s="7"/>
      <c r="I21" s="7"/>
    </row>
    <row r="22" spans="1:12" x14ac:dyDescent="0.4">
      <c r="H22" s="10"/>
      <c r="I22" s="7"/>
    </row>
    <row r="23" spans="1:12" x14ac:dyDescent="0.4">
      <c r="H23" s="7"/>
      <c r="I23" s="7"/>
    </row>
    <row r="24" spans="1:12" x14ac:dyDescent="0.4">
      <c r="H24" s="7"/>
      <c r="I24" s="7"/>
    </row>
    <row r="25" spans="1:12" x14ac:dyDescent="0.4">
      <c r="H25" s="7"/>
      <c r="I25" s="7"/>
    </row>
    <row r="26" spans="1:12" x14ac:dyDescent="0.4">
      <c r="H26" s="7"/>
      <c r="I26" s="7"/>
    </row>
    <row r="27" spans="1:12" x14ac:dyDescent="0.4">
      <c r="H27" s="7"/>
      <c r="I27" s="7"/>
    </row>
    <row r="28" spans="1:12" x14ac:dyDescent="0.4">
      <c r="H28" s="7"/>
      <c r="I28" s="7"/>
    </row>
    <row r="29" spans="1:12" x14ac:dyDescent="0.4">
      <c r="H29" s="7"/>
      <c r="I29" s="7"/>
    </row>
    <row r="30" spans="1:12" x14ac:dyDescent="0.4">
      <c r="H30" s="7"/>
      <c r="I30" s="7"/>
    </row>
    <row r="31" spans="1:12" x14ac:dyDescent="0.4">
      <c r="H31" s="7"/>
      <c r="I31" s="7"/>
    </row>
    <row r="32" spans="1:12" x14ac:dyDescent="0.4">
      <c r="H32" s="7"/>
      <c r="I32" s="7"/>
    </row>
    <row r="33" spans="8:9" x14ac:dyDescent="0.4">
      <c r="H33" s="7"/>
      <c r="I33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2B1C7-8822-4E7B-B24D-76FBF235F016}">
  <dimension ref="A1:T68"/>
  <sheetViews>
    <sheetView zoomScale="77" zoomScaleNormal="77" workbookViewId="0">
      <selection activeCell="T37" sqref="T37"/>
    </sheetView>
  </sheetViews>
  <sheetFormatPr defaultRowHeight="14.6" x14ac:dyDescent="0.4"/>
  <cols>
    <col min="1" max="1" width="27" customWidth="1"/>
    <col min="5" max="5" width="30.15234375" customWidth="1"/>
    <col min="6" max="6" width="19.61328125" customWidth="1"/>
    <col min="7" max="7" width="18.69140625" customWidth="1"/>
    <col min="8" max="8" width="26.07421875" customWidth="1"/>
    <col min="11" max="11" width="13.15234375" customWidth="1"/>
    <col min="13" max="13" width="9.84375" customWidth="1"/>
    <col min="14" max="14" width="12.69140625" customWidth="1"/>
    <col min="17" max="17" width="12.3828125" customWidth="1"/>
    <col min="20" max="20" width="12.69140625" customWidth="1"/>
  </cols>
  <sheetData>
    <row r="1" spans="1:20" ht="15" thickBot="1" x14ac:dyDescent="0.45">
      <c r="A1" s="72" t="s">
        <v>65</v>
      </c>
      <c r="I1" s="129" t="s">
        <v>48</v>
      </c>
      <c r="J1" s="129"/>
      <c r="K1" s="129"/>
    </row>
    <row r="2" spans="1:20" x14ac:dyDescent="0.4">
      <c r="A2" s="1" t="s">
        <v>0</v>
      </c>
      <c r="B2" s="24">
        <v>33900</v>
      </c>
      <c r="E2" s="130" t="s">
        <v>51</v>
      </c>
      <c r="F2" s="131"/>
      <c r="G2" s="132"/>
      <c r="H2" s="64" t="s">
        <v>60</v>
      </c>
      <c r="I2" s="2">
        <v>99.9</v>
      </c>
      <c r="J2" s="2">
        <v>99</v>
      </c>
      <c r="K2" s="44">
        <v>95</v>
      </c>
    </row>
    <row r="3" spans="1:20" x14ac:dyDescent="0.4">
      <c r="A3" s="1" t="s">
        <v>1</v>
      </c>
      <c r="B3" s="2">
        <v>823.40755400955607</v>
      </c>
      <c r="E3" s="68" t="s">
        <v>52</v>
      </c>
      <c r="F3" s="68">
        <v>2858.877</v>
      </c>
      <c r="G3" s="68" t="s">
        <v>41</v>
      </c>
      <c r="H3" s="42" t="s">
        <v>70</v>
      </c>
      <c r="I3" s="28">
        <f>B13</f>
        <v>1143.4832529421192</v>
      </c>
      <c r="J3" s="28">
        <f>B30</f>
        <v>1021.9721563236765</v>
      </c>
      <c r="K3" s="42">
        <f>B47</f>
        <v>913.56686643917078</v>
      </c>
    </row>
    <row r="4" spans="1:20" x14ac:dyDescent="0.4">
      <c r="A4" s="1" t="s">
        <v>49</v>
      </c>
      <c r="B4" s="2">
        <v>365</v>
      </c>
      <c r="E4" s="69" t="s">
        <v>53</v>
      </c>
      <c r="F4" s="69">
        <v>740</v>
      </c>
      <c r="G4" s="69" t="s">
        <v>44</v>
      </c>
      <c r="H4" s="65" t="s">
        <v>71</v>
      </c>
      <c r="I4" s="46">
        <f>B3</f>
        <v>823.40755400955607</v>
      </c>
      <c r="J4" s="46">
        <f>B20</f>
        <v>823.40755400955607</v>
      </c>
      <c r="K4" s="28">
        <f>B37</f>
        <v>823.40755400955607</v>
      </c>
    </row>
    <row r="5" spans="1:20" x14ac:dyDescent="0.4">
      <c r="A5" s="1" t="s">
        <v>2</v>
      </c>
      <c r="B5" s="2">
        <v>6</v>
      </c>
      <c r="E5" s="69" t="s">
        <v>54</v>
      </c>
      <c r="F5" s="69">
        <v>74</v>
      </c>
      <c r="G5" s="69" t="s">
        <v>44</v>
      </c>
    </row>
    <row r="6" spans="1:20" x14ac:dyDescent="0.4">
      <c r="A6" s="1" t="s">
        <v>3</v>
      </c>
      <c r="B6" s="3">
        <f>B2/B4*B5</f>
        <v>557.26027397260282</v>
      </c>
      <c r="E6" s="70" t="s">
        <v>55</v>
      </c>
      <c r="F6" s="70">
        <f>0.7*F4</f>
        <v>518</v>
      </c>
      <c r="G6" s="70" t="s">
        <v>44</v>
      </c>
    </row>
    <row r="7" spans="1:20" x14ac:dyDescent="0.4">
      <c r="A7" s="6" t="s">
        <v>48</v>
      </c>
      <c r="B7" s="2">
        <v>99.9</v>
      </c>
    </row>
    <row r="8" spans="1:20" x14ac:dyDescent="0.4">
      <c r="A8" s="26" t="s">
        <v>4</v>
      </c>
      <c r="B8" s="27">
        <f>B2/B3</f>
        <v>41.1703777004778</v>
      </c>
      <c r="E8" s="43" t="s">
        <v>56</v>
      </c>
      <c r="F8" s="53">
        <v>99.9</v>
      </c>
      <c r="G8" s="53">
        <v>99</v>
      </c>
      <c r="H8" s="54">
        <v>95</v>
      </c>
    </row>
    <row r="9" spans="1:20" x14ac:dyDescent="0.4">
      <c r="A9" s="1" t="s">
        <v>5</v>
      </c>
      <c r="B9" s="4">
        <f>1-B10</f>
        <v>9.9999999999988987E-4</v>
      </c>
      <c r="E9" s="40" t="s">
        <v>57</v>
      </c>
      <c r="F9" s="51">
        <f>F4*COUNTIF(H17:H59,"&gt;0")*I4</f>
        <v>15842361.339143859</v>
      </c>
      <c r="G9" s="51">
        <f>F4*COUNTIF(N17:N59,"&gt;0")*J4</f>
        <v>16451682.929110929</v>
      </c>
      <c r="H9" s="50">
        <f>F4*COUNTIF(T17:T59,"&gt;0")*K4</f>
        <v>16451682.929110929</v>
      </c>
    </row>
    <row r="10" spans="1:20" x14ac:dyDescent="0.4">
      <c r="A10" s="1" t="s">
        <v>6</v>
      </c>
      <c r="B10" s="4">
        <f>B7*0.01</f>
        <v>0.99900000000000011</v>
      </c>
      <c r="E10" s="40" t="s">
        <v>58</v>
      </c>
      <c r="F10" s="52">
        <f>F5*SUMIF(G17:G59,"&gt;0",G17:G59)</f>
        <v>3466286.7816180293</v>
      </c>
      <c r="G10" s="52">
        <f>F5*SUMIF(M17:M59,"&gt;0",M17:M59)</f>
        <v>3660215.0269459947</v>
      </c>
      <c r="H10" s="50">
        <f>F5*SUMIF(S17:S59,"&gt;0",S17:S59)</f>
        <v>3660215.0269459947</v>
      </c>
    </row>
    <row r="11" spans="1:20" x14ac:dyDescent="0.4">
      <c r="A11" s="1" t="s">
        <v>7</v>
      </c>
      <c r="B11" s="5">
        <v>651.91999999999996</v>
      </c>
      <c r="E11" s="40" t="s">
        <v>59</v>
      </c>
      <c r="F11" s="52">
        <f>-F6*SUMIF(G17:G59,"&lt;0",G17:G59)</f>
        <v>1628178.0735428785</v>
      </c>
      <c r="G11" s="52">
        <f>-F6*SUMIF(M17:M59,"&lt;0",M17:M59)</f>
        <v>0</v>
      </c>
      <c r="H11" s="50">
        <f>-F6*SUMIF(S17:S56,"&lt;0",S17:S56)</f>
        <v>0</v>
      </c>
    </row>
    <row r="12" spans="1:20" x14ac:dyDescent="0.4">
      <c r="A12" s="1" t="s">
        <v>8</v>
      </c>
      <c r="B12" s="5">
        <v>159.07</v>
      </c>
      <c r="E12" s="40" t="s">
        <v>61</v>
      </c>
      <c r="F12" s="52">
        <f>SUM(F9:F11)</f>
        <v>20936826.194304768</v>
      </c>
      <c r="G12" s="52">
        <f>SUM(G9:G11)</f>
        <v>20111897.956056923</v>
      </c>
      <c r="H12" s="50">
        <f>SUM(H9:H11)</f>
        <v>20111897.956056923</v>
      </c>
    </row>
    <row r="13" spans="1:20" x14ac:dyDescent="0.4">
      <c r="A13" s="6" t="s">
        <v>9</v>
      </c>
      <c r="B13" s="3">
        <f>NORMINV(B10,B11,B12)</f>
        <v>1143.4832529421192</v>
      </c>
      <c r="E13" s="41" t="s">
        <v>69</v>
      </c>
      <c r="F13" s="38">
        <f>COUNTIF(G17:G56,"&lt;0")</f>
        <v>9</v>
      </c>
      <c r="G13" s="38">
        <f>COUNTIF(M17:M56,"&lt;0")</f>
        <v>0</v>
      </c>
      <c r="H13" s="31">
        <f>COUNTIF(S17:S56,"&lt;0")</f>
        <v>0</v>
      </c>
    </row>
    <row r="14" spans="1:20" x14ac:dyDescent="0.4">
      <c r="A14" s="1" t="s">
        <v>10</v>
      </c>
      <c r="B14" s="3">
        <f>B6</f>
        <v>557.26027397260282</v>
      </c>
    </row>
    <row r="15" spans="1:20" x14ac:dyDescent="0.4">
      <c r="A15" s="1" t="s">
        <v>11</v>
      </c>
      <c r="B15" s="5">
        <f>ROUND(B13,0)</f>
        <v>1143</v>
      </c>
      <c r="E15" t="s">
        <v>68</v>
      </c>
      <c r="F15" s="30" t="s">
        <v>65</v>
      </c>
      <c r="L15" s="30" t="s">
        <v>66</v>
      </c>
      <c r="R15" s="30" t="s">
        <v>67</v>
      </c>
    </row>
    <row r="16" spans="1:20" x14ac:dyDescent="0.4">
      <c r="A16" s="6" t="s">
        <v>50</v>
      </c>
      <c r="B16" s="3">
        <f>B15-B14</f>
        <v>585.73972602739718</v>
      </c>
      <c r="D16" s="45" t="s">
        <v>62</v>
      </c>
      <c r="E16" s="45" t="s">
        <v>72</v>
      </c>
      <c r="F16" s="45" t="s">
        <v>0</v>
      </c>
      <c r="G16" s="45" t="s">
        <v>63</v>
      </c>
      <c r="H16" s="45" t="s">
        <v>64</v>
      </c>
      <c r="J16" s="45" t="s">
        <v>62</v>
      </c>
      <c r="K16" s="45" t="s">
        <v>72</v>
      </c>
      <c r="L16" s="45" t="s">
        <v>0</v>
      </c>
      <c r="M16" s="45" t="s">
        <v>63</v>
      </c>
      <c r="N16" s="49" t="s">
        <v>64</v>
      </c>
      <c r="P16" s="45" t="s">
        <v>62</v>
      </c>
      <c r="Q16" s="45" t="s">
        <v>72</v>
      </c>
      <c r="R16" s="45" t="s">
        <v>0</v>
      </c>
      <c r="S16" s="45" t="s">
        <v>63</v>
      </c>
      <c r="T16" s="49" t="s">
        <v>64</v>
      </c>
    </row>
    <row r="17" spans="1:20" x14ac:dyDescent="0.4">
      <c r="D17" s="32">
        <v>1</v>
      </c>
      <c r="E17" s="35">
        <v>2858.877</v>
      </c>
      <c r="F17" s="39"/>
      <c r="G17" s="39">
        <f t="shared" ref="G17:G59" si="0">E17-F17</f>
        <v>2858.877</v>
      </c>
      <c r="H17" s="35">
        <f t="shared" ref="H17:H59" si="1">IF(G17&lt;=$I$3,$I$4,0)</f>
        <v>0</v>
      </c>
      <c r="J17" s="32">
        <v>1</v>
      </c>
      <c r="K17" s="35">
        <v>2858.877</v>
      </c>
      <c r="L17" s="39"/>
      <c r="M17" s="47">
        <f t="shared" ref="M17:M59" si="2">K17-L17</f>
        <v>2858.877</v>
      </c>
      <c r="N17" s="35">
        <f t="shared" ref="N17:N59" si="3">IF(M17&lt;=$J$3,$J$4,0)</f>
        <v>0</v>
      </c>
      <c r="P17" s="32">
        <v>1</v>
      </c>
      <c r="Q17" s="35">
        <v>2858.877</v>
      </c>
      <c r="R17" s="39"/>
      <c r="S17" s="47">
        <f t="shared" ref="S17:S59" si="4">Q17-R17</f>
        <v>2858.877</v>
      </c>
      <c r="T17" s="35">
        <f t="shared" ref="T17:T59" si="5">IF(S17&lt;=$K$3,$K$4,0)</f>
        <v>0</v>
      </c>
    </row>
    <row r="18" spans="1:20" x14ac:dyDescent="0.4">
      <c r="A18" s="71" t="s">
        <v>66</v>
      </c>
      <c r="D18" s="33">
        <v>2</v>
      </c>
      <c r="E18" s="36">
        <f>G17</f>
        <v>2858.877</v>
      </c>
      <c r="F18" s="36"/>
      <c r="G18" s="36">
        <f t="shared" si="0"/>
        <v>2858.877</v>
      </c>
      <c r="H18" s="37">
        <f t="shared" si="1"/>
        <v>0</v>
      </c>
      <c r="J18" s="33">
        <v>2</v>
      </c>
      <c r="K18" s="36">
        <f>M17</f>
        <v>2858.877</v>
      </c>
      <c r="L18" s="36"/>
      <c r="M18" s="48">
        <f t="shared" si="2"/>
        <v>2858.877</v>
      </c>
      <c r="N18" s="37">
        <f t="shared" si="3"/>
        <v>0</v>
      </c>
      <c r="P18" s="33">
        <v>2</v>
      </c>
      <c r="Q18" s="36">
        <f>S17</f>
        <v>2858.877</v>
      </c>
      <c r="R18" s="36"/>
      <c r="S18" s="48">
        <f t="shared" si="4"/>
        <v>2858.877</v>
      </c>
      <c r="T18" s="37">
        <f t="shared" si="5"/>
        <v>0</v>
      </c>
    </row>
    <row r="19" spans="1:20" x14ac:dyDescent="0.4">
      <c r="A19" s="1" t="s">
        <v>0</v>
      </c>
      <c r="B19" s="2">
        <f>B2</f>
        <v>33900</v>
      </c>
      <c r="D19" s="33">
        <v>3</v>
      </c>
      <c r="E19" s="36">
        <f t="shared" ref="E19:E55" si="6">G18+H17</f>
        <v>2858.877</v>
      </c>
      <c r="F19" s="36"/>
      <c r="G19" s="36">
        <f t="shared" si="0"/>
        <v>2858.877</v>
      </c>
      <c r="H19" s="37">
        <f t="shared" si="1"/>
        <v>0</v>
      </c>
      <c r="J19" s="33">
        <v>3</v>
      </c>
      <c r="K19" s="36">
        <f t="shared" ref="K19:K56" si="7">M18+N17</f>
        <v>2858.877</v>
      </c>
      <c r="L19" s="36"/>
      <c r="M19" s="48">
        <f t="shared" si="2"/>
        <v>2858.877</v>
      </c>
      <c r="N19" s="37">
        <f t="shared" si="3"/>
        <v>0</v>
      </c>
      <c r="P19" s="33">
        <v>3</v>
      </c>
      <c r="Q19" s="36">
        <f t="shared" ref="Q19:Q56" si="8">S18+T17</f>
        <v>2858.877</v>
      </c>
      <c r="R19" s="36"/>
      <c r="S19" s="48">
        <f t="shared" si="4"/>
        <v>2858.877</v>
      </c>
      <c r="T19" s="37">
        <f t="shared" si="5"/>
        <v>0</v>
      </c>
    </row>
    <row r="20" spans="1:20" x14ac:dyDescent="0.4">
      <c r="A20" s="1" t="s">
        <v>1</v>
      </c>
      <c r="B20" s="2">
        <f>B3</f>
        <v>823.40755400955607</v>
      </c>
      <c r="D20" s="33">
        <v>4</v>
      </c>
      <c r="E20" s="36">
        <f t="shared" si="6"/>
        <v>2858.877</v>
      </c>
      <c r="F20" s="36"/>
      <c r="G20" s="36">
        <f t="shared" si="0"/>
        <v>2858.877</v>
      </c>
      <c r="H20" s="37">
        <f t="shared" si="1"/>
        <v>0</v>
      </c>
      <c r="J20" s="33">
        <v>4</v>
      </c>
      <c r="K20" s="36">
        <f t="shared" si="7"/>
        <v>2858.877</v>
      </c>
      <c r="L20" s="36"/>
      <c r="M20" s="48">
        <f t="shared" si="2"/>
        <v>2858.877</v>
      </c>
      <c r="N20" s="37">
        <f t="shared" si="3"/>
        <v>0</v>
      </c>
      <c r="P20" s="33">
        <v>4</v>
      </c>
      <c r="Q20" s="36">
        <f t="shared" si="8"/>
        <v>2858.877</v>
      </c>
      <c r="R20" s="36"/>
      <c r="S20" s="48">
        <f t="shared" si="4"/>
        <v>2858.877</v>
      </c>
      <c r="T20" s="37">
        <f t="shared" si="5"/>
        <v>0</v>
      </c>
    </row>
    <row r="21" spans="1:20" x14ac:dyDescent="0.4">
      <c r="A21" s="1" t="s">
        <v>49</v>
      </c>
      <c r="B21" s="2">
        <v>365</v>
      </c>
      <c r="D21" s="33">
        <v>5</v>
      </c>
      <c r="E21" s="36">
        <f t="shared" si="6"/>
        <v>2858.877</v>
      </c>
      <c r="F21" s="36"/>
      <c r="G21" s="36">
        <f t="shared" si="0"/>
        <v>2858.877</v>
      </c>
      <c r="H21" s="37">
        <f t="shared" si="1"/>
        <v>0</v>
      </c>
      <c r="J21" s="33">
        <v>5</v>
      </c>
      <c r="K21" s="36">
        <f t="shared" si="7"/>
        <v>2858.877</v>
      </c>
      <c r="L21" s="36"/>
      <c r="M21" s="48">
        <f t="shared" si="2"/>
        <v>2858.877</v>
      </c>
      <c r="N21" s="37">
        <f t="shared" si="3"/>
        <v>0</v>
      </c>
      <c r="P21" s="33">
        <v>5</v>
      </c>
      <c r="Q21" s="36">
        <f t="shared" si="8"/>
        <v>2858.877</v>
      </c>
      <c r="R21" s="36"/>
      <c r="S21" s="48">
        <f t="shared" si="4"/>
        <v>2858.877</v>
      </c>
      <c r="T21" s="37">
        <f t="shared" si="5"/>
        <v>0</v>
      </c>
    </row>
    <row r="22" spans="1:20" x14ac:dyDescent="0.4">
      <c r="A22" s="1" t="s">
        <v>2</v>
      </c>
      <c r="B22" s="2">
        <v>6</v>
      </c>
      <c r="D22" s="33">
        <v>6</v>
      </c>
      <c r="E22" s="36">
        <f t="shared" si="6"/>
        <v>2858.877</v>
      </c>
      <c r="F22" s="36"/>
      <c r="G22" s="36">
        <f t="shared" si="0"/>
        <v>2858.877</v>
      </c>
      <c r="H22" s="37">
        <f t="shared" si="1"/>
        <v>0</v>
      </c>
      <c r="J22" s="33">
        <v>6</v>
      </c>
      <c r="K22" s="36">
        <f t="shared" si="7"/>
        <v>2858.877</v>
      </c>
      <c r="L22" s="36"/>
      <c r="M22" s="48">
        <f t="shared" si="2"/>
        <v>2858.877</v>
      </c>
      <c r="N22" s="37">
        <f t="shared" si="3"/>
        <v>0</v>
      </c>
      <c r="P22" s="33">
        <v>6</v>
      </c>
      <c r="Q22" s="36">
        <f t="shared" si="8"/>
        <v>2858.877</v>
      </c>
      <c r="R22" s="36"/>
      <c r="S22" s="48">
        <f t="shared" si="4"/>
        <v>2858.877</v>
      </c>
      <c r="T22" s="37">
        <f t="shared" si="5"/>
        <v>0</v>
      </c>
    </row>
    <row r="23" spans="1:20" x14ac:dyDescent="0.4">
      <c r="A23" s="1" t="s">
        <v>3</v>
      </c>
      <c r="B23" s="3">
        <f>B19/B21*B22</f>
        <v>557.26027397260282</v>
      </c>
      <c r="D23" s="33">
        <v>7</v>
      </c>
      <c r="E23" s="36">
        <f t="shared" si="6"/>
        <v>2858.877</v>
      </c>
      <c r="F23" s="36"/>
      <c r="G23" s="36">
        <f t="shared" si="0"/>
        <v>2858.877</v>
      </c>
      <c r="H23" s="37">
        <f t="shared" si="1"/>
        <v>0</v>
      </c>
      <c r="J23" s="33">
        <v>7</v>
      </c>
      <c r="K23" s="36">
        <f t="shared" si="7"/>
        <v>2858.877</v>
      </c>
      <c r="L23" s="36"/>
      <c r="M23" s="48">
        <f t="shared" si="2"/>
        <v>2858.877</v>
      </c>
      <c r="N23" s="37">
        <f t="shared" si="3"/>
        <v>0</v>
      </c>
      <c r="P23" s="33">
        <v>7</v>
      </c>
      <c r="Q23" s="36">
        <f t="shared" si="8"/>
        <v>2858.877</v>
      </c>
      <c r="R23" s="36"/>
      <c r="S23" s="48">
        <f t="shared" si="4"/>
        <v>2858.877</v>
      </c>
      <c r="T23" s="37">
        <f t="shared" si="5"/>
        <v>0</v>
      </c>
    </row>
    <row r="24" spans="1:20" x14ac:dyDescent="0.4">
      <c r="A24" s="6" t="s">
        <v>48</v>
      </c>
      <c r="B24" s="2">
        <v>99</v>
      </c>
      <c r="D24" s="33">
        <v>8</v>
      </c>
      <c r="E24" s="36">
        <f t="shared" si="6"/>
        <v>2858.877</v>
      </c>
      <c r="F24" s="36"/>
      <c r="G24" s="36">
        <f t="shared" si="0"/>
        <v>2858.877</v>
      </c>
      <c r="H24" s="37">
        <f t="shared" si="1"/>
        <v>0</v>
      </c>
      <c r="J24" s="33">
        <v>8</v>
      </c>
      <c r="K24" s="36">
        <f t="shared" si="7"/>
        <v>2858.877</v>
      </c>
      <c r="L24" s="36"/>
      <c r="M24" s="48">
        <f t="shared" si="2"/>
        <v>2858.877</v>
      </c>
      <c r="N24" s="37">
        <f t="shared" si="3"/>
        <v>0</v>
      </c>
      <c r="P24" s="33">
        <v>8</v>
      </c>
      <c r="Q24" s="36">
        <f t="shared" si="8"/>
        <v>2858.877</v>
      </c>
      <c r="R24" s="36"/>
      <c r="S24" s="48">
        <f t="shared" si="4"/>
        <v>2858.877</v>
      </c>
      <c r="T24" s="37">
        <f t="shared" si="5"/>
        <v>0</v>
      </c>
    </row>
    <row r="25" spans="1:20" x14ac:dyDescent="0.4">
      <c r="A25" s="26" t="s">
        <v>4</v>
      </c>
      <c r="B25" s="27">
        <f>B19/B20</f>
        <v>41.1703777004778</v>
      </c>
      <c r="D25" s="33">
        <v>9</v>
      </c>
      <c r="E25" s="36">
        <f t="shared" si="6"/>
        <v>2858.877</v>
      </c>
      <c r="F25" s="36">
        <v>336.125</v>
      </c>
      <c r="G25" s="36">
        <f t="shared" si="0"/>
        <v>2522.752</v>
      </c>
      <c r="H25" s="37">
        <f t="shared" si="1"/>
        <v>0</v>
      </c>
      <c r="J25" s="33">
        <v>9</v>
      </c>
      <c r="K25" s="36">
        <f t="shared" si="7"/>
        <v>2858.877</v>
      </c>
      <c r="L25" s="36">
        <v>336.125</v>
      </c>
      <c r="M25" s="48">
        <f t="shared" si="2"/>
        <v>2522.752</v>
      </c>
      <c r="N25" s="37">
        <f t="shared" si="3"/>
        <v>0</v>
      </c>
      <c r="P25" s="33">
        <v>9</v>
      </c>
      <c r="Q25" s="36">
        <f t="shared" si="8"/>
        <v>2858.877</v>
      </c>
      <c r="R25" s="36">
        <v>336.125</v>
      </c>
      <c r="S25" s="48">
        <f t="shared" si="4"/>
        <v>2522.752</v>
      </c>
      <c r="T25" s="37">
        <f t="shared" si="5"/>
        <v>0</v>
      </c>
    </row>
    <row r="26" spans="1:20" x14ac:dyDescent="0.4">
      <c r="A26" s="1" t="s">
        <v>5</v>
      </c>
      <c r="B26" s="4">
        <f>1-B27</f>
        <v>1.0000000000000009E-2</v>
      </c>
      <c r="D26" s="33">
        <v>10</v>
      </c>
      <c r="E26" s="36">
        <f t="shared" si="6"/>
        <v>2522.752</v>
      </c>
      <c r="F26" s="36">
        <v>372.625</v>
      </c>
      <c r="G26" s="36">
        <f t="shared" si="0"/>
        <v>2150.127</v>
      </c>
      <c r="H26" s="37">
        <f t="shared" si="1"/>
        <v>0</v>
      </c>
      <c r="J26" s="33">
        <v>10</v>
      </c>
      <c r="K26" s="36">
        <f t="shared" si="7"/>
        <v>2522.752</v>
      </c>
      <c r="L26" s="36">
        <v>372.625</v>
      </c>
      <c r="M26" s="48">
        <f t="shared" si="2"/>
        <v>2150.127</v>
      </c>
      <c r="N26" s="37">
        <f t="shared" si="3"/>
        <v>0</v>
      </c>
      <c r="P26" s="33">
        <v>10</v>
      </c>
      <c r="Q26" s="36">
        <f t="shared" si="8"/>
        <v>2522.752</v>
      </c>
      <c r="R26" s="36">
        <v>372.625</v>
      </c>
      <c r="S26" s="48">
        <f t="shared" si="4"/>
        <v>2150.127</v>
      </c>
      <c r="T26" s="37">
        <f t="shared" si="5"/>
        <v>0</v>
      </c>
    </row>
    <row r="27" spans="1:20" x14ac:dyDescent="0.4">
      <c r="A27" s="1" t="s">
        <v>6</v>
      </c>
      <c r="B27" s="4">
        <f>B24*0.01</f>
        <v>0.99</v>
      </c>
      <c r="D27" s="33">
        <v>11</v>
      </c>
      <c r="E27" s="36">
        <f>G26+H25</f>
        <v>2150.127</v>
      </c>
      <c r="F27" s="36">
        <v>418.375</v>
      </c>
      <c r="G27" s="36">
        <f t="shared" si="0"/>
        <v>1731.752</v>
      </c>
      <c r="H27" s="37">
        <f t="shared" si="1"/>
        <v>0</v>
      </c>
      <c r="J27" s="33">
        <v>11</v>
      </c>
      <c r="K27" s="36">
        <f t="shared" si="7"/>
        <v>2150.127</v>
      </c>
      <c r="L27" s="36">
        <v>418.375</v>
      </c>
      <c r="M27" s="48">
        <f t="shared" si="2"/>
        <v>1731.752</v>
      </c>
      <c r="N27" s="37">
        <f t="shared" si="3"/>
        <v>0</v>
      </c>
      <c r="P27" s="33">
        <v>11</v>
      </c>
      <c r="Q27" s="36">
        <f t="shared" si="8"/>
        <v>2150.127</v>
      </c>
      <c r="R27" s="36">
        <v>418.375</v>
      </c>
      <c r="S27" s="48">
        <f t="shared" si="4"/>
        <v>1731.752</v>
      </c>
      <c r="T27" s="37">
        <f t="shared" si="5"/>
        <v>0</v>
      </c>
    </row>
    <row r="28" spans="1:20" x14ac:dyDescent="0.4">
      <c r="A28" s="1" t="s">
        <v>7</v>
      </c>
      <c r="B28" s="5">
        <v>651.91999999999996</v>
      </c>
      <c r="D28" s="33">
        <v>12</v>
      </c>
      <c r="E28" s="36">
        <f t="shared" si="6"/>
        <v>1731.752</v>
      </c>
      <c r="F28" s="36">
        <v>414.75</v>
      </c>
      <c r="G28" s="36">
        <f t="shared" si="0"/>
        <v>1317.002</v>
      </c>
      <c r="H28" s="37">
        <f t="shared" si="1"/>
        <v>0</v>
      </c>
      <c r="J28" s="33">
        <v>12</v>
      </c>
      <c r="K28" s="36">
        <f t="shared" si="7"/>
        <v>1731.752</v>
      </c>
      <c r="L28" s="36">
        <v>414.75</v>
      </c>
      <c r="M28" s="48">
        <f t="shared" si="2"/>
        <v>1317.002</v>
      </c>
      <c r="N28" s="37">
        <f t="shared" si="3"/>
        <v>0</v>
      </c>
      <c r="P28" s="33">
        <v>12</v>
      </c>
      <c r="Q28" s="36">
        <f t="shared" si="8"/>
        <v>1731.752</v>
      </c>
      <c r="R28" s="36">
        <v>414.75</v>
      </c>
      <c r="S28" s="48">
        <f t="shared" si="4"/>
        <v>1317.002</v>
      </c>
      <c r="T28" s="37">
        <f t="shared" si="5"/>
        <v>0</v>
      </c>
    </row>
    <row r="29" spans="1:20" x14ac:dyDescent="0.4">
      <c r="A29" s="1" t="s">
        <v>8</v>
      </c>
      <c r="B29" s="5">
        <v>159.07</v>
      </c>
      <c r="D29" s="33">
        <v>13</v>
      </c>
      <c r="E29" s="36">
        <f t="shared" si="6"/>
        <v>1317.002</v>
      </c>
      <c r="F29" s="36">
        <v>448.5</v>
      </c>
      <c r="G29" s="36">
        <f t="shared" si="0"/>
        <v>868.50199999999995</v>
      </c>
      <c r="H29" s="37">
        <f>IF(G29&lt;=$I$3,$I$4,0)</f>
        <v>823.40755400955607</v>
      </c>
      <c r="J29" s="33">
        <v>13</v>
      </c>
      <c r="K29" s="36">
        <f t="shared" si="7"/>
        <v>1317.002</v>
      </c>
      <c r="L29" s="36">
        <v>448.5</v>
      </c>
      <c r="M29" s="48">
        <f t="shared" si="2"/>
        <v>868.50199999999995</v>
      </c>
      <c r="N29" s="37">
        <f>IF(M29&lt;=$J$3,$J$4,0)</f>
        <v>823.40755400955607</v>
      </c>
      <c r="P29" s="33">
        <v>13</v>
      </c>
      <c r="Q29" s="36">
        <f t="shared" si="8"/>
        <v>1317.002</v>
      </c>
      <c r="R29" s="36">
        <v>448.5</v>
      </c>
      <c r="S29" s="48">
        <f t="shared" si="4"/>
        <v>868.50199999999995</v>
      </c>
      <c r="T29" s="37">
        <f t="shared" si="5"/>
        <v>823.40755400955607</v>
      </c>
    </row>
    <row r="30" spans="1:20" x14ac:dyDescent="0.4">
      <c r="A30" s="6" t="s">
        <v>9</v>
      </c>
      <c r="B30" s="3">
        <f>NORMINV(B27,B28,B29)</f>
        <v>1021.9721563236765</v>
      </c>
      <c r="D30" s="33">
        <v>14</v>
      </c>
      <c r="E30" s="36">
        <f t="shared" si="6"/>
        <v>868.50199999999995</v>
      </c>
      <c r="F30" s="36">
        <v>451.875</v>
      </c>
      <c r="G30" s="36">
        <f t="shared" si="0"/>
        <v>416.62699999999995</v>
      </c>
      <c r="H30" s="37">
        <f t="shared" si="1"/>
        <v>823.40755400955607</v>
      </c>
      <c r="J30" s="33">
        <v>14</v>
      </c>
      <c r="K30" s="36">
        <f t="shared" si="7"/>
        <v>868.50199999999995</v>
      </c>
      <c r="L30" s="36">
        <v>451.875</v>
      </c>
      <c r="M30" s="48">
        <f t="shared" si="2"/>
        <v>416.62699999999995</v>
      </c>
      <c r="N30" s="37">
        <f t="shared" si="3"/>
        <v>823.40755400955607</v>
      </c>
      <c r="P30" s="33">
        <v>14</v>
      </c>
      <c r="Q30" s="36">
        <f t="shared" si="8"/>
        <v>868.50199999999995</v>
      </c>
      <c r="R30" s="36">
        <v>451.875</v>
      </c>
      <c r="S30" s="48">
        <f t="shared" si="4"/>
        <v>416.62699999999995</v>
      </c>
      <c r="T30" s="37">
        <f t="shared" si="5"/>
        <v>823.40755400955607</v>
      </c>
    </row>
    <row r="31" spans="1:20" x14ac:dyDescent="0.4">
      <c r="A31" s="1" t="s">
        <v>10</v>
      </c>
      <c r="B31" s="3">
        <f>B23</f>
        <v>557.26027397260282</v>
      </c>
      <c r="D31" s="33">
        <v>15</v>
      </c>
      <c r="E31" s="36">
        <f t="shared" si="6"/>
        <v>1240.0345540095559</v>
      </c>
      <c r="F31" s="36">
        <v>499.625</v>
      </c>
      <c r="G31" s="36">
        <f t="shared" si="0"/>
        <v>740.4095540095559</v>
      </c>
      <c r="H31" s="37">
        <f t="shared" si="1"/>
        <v>823.40755400955607</v>
      </c>
      <c r="J31" s="33">
        <v>15</v>
      </c>
      <c r="K31" s="36">
        <f t="shared" si="7"/>
        <v>1240.0345540095559</v>
      </c>
      <c r="L31" s="36">
        <v>499.625</v>
      </c>
      <c r="M31" s="48">
        <f t="shared" si="2"/>
        <v>740.4095540095559</v>
      </c>
      <c r="N31" s="37">
        <f t="shared" si="3"/>
        <v>823.40755400955607</v>
      </c>
      <c r="P31" s="33">
        <v>15</v>
      </c>
      <c r="Q31" s="36">
        <f t="shared" si="8"/>
        <v>1240.0345540095559</v>
      </c>
      <c r="R31" s="36">
        <v>499.625</v>
      </c>
      <c r="S31" s="48">
        <f t="shared" si="4"/>
        <v>740.4095540095559</v>
      </c>
      <c r="T31" s="37">
        <f t="shared" si="5"/>
        <v>823.40755400955607</v>
      </c>
    </row>
    <row r="32" spans="1:20" x14ac:dyDescent="0.4">
      <c r="A32" s="1" t="s">
        <v>11</v>
      </c>
      <c r="B32" s="5">
        <f>ROUND(B30,0)</f>
        <v>1022</v>
      </c>
      <c r="D32" s="33">
        <v>16</v>
      </c>
      <c r="E32" s="36">
        <f t="shared" si="6"/>
        <v>1563.8171080191119</v>
      </c>
      <c r="F32" s="36">
        <v>501</v>
      </c>
      <c r="G32" s="36">
        <f t="shared" si="0"/>
        <v>1062.8171080191119</v>
      </c>
      <c r="H32" s="37">
        <f t="shared" si="1"/>
        <v>823.40755400955607</v>
      </c>
      <c r="J32" s="33">
        <v>16</v>
      </c>
      <c r="K32" s="36">
        <f t="shared" si="7"/>
        <v>1563.8171080191119</v>
      </c>
      <c r="L32" s="36">
        <v>501</v>
      </c>
      <c r="M32" s="48">
        <f t="shared" si="2"/>
        <v>1062.8171080191119</v>
      </c>
      <c r="N32" s="37">
        <f t="shared" si="3"/>
        <v>0</v>
      </c>
      <c r="P32" s="33">
        <v>16</v>
      </c>
      <c r="Q32" s="36">
        <f t="shared" si="8"/>
        <v>1563.8171080191119</v>
      </c>
      <c r="R32" s="36">
        <v>501</v>
      </c>
      <c r="S32" s="48">
        <f t="shared" si="4"/>
        <v>1062.8171080191119</v>
      </c>
      <c r="T32" s="37">
        <f t="shared" si="5"/>
        <v>0</v>
      </c>
    </row>
    <row r="33" spans="1:20" x14ac:dyDescent="0.4">
      <c r="A33" s="6" t="s">
        <v>50</v>
      </c>
      <c r="B33" s="3">
        <f>B32-B31</f>
        <v>464.73972602739718</v>
      </c>
      <c r="D33" s="33">
        <v>17</v>
      </c>
      <c r="E33" s="36">
        <f t="shared" si="6"/>
        <v>1886.2246620286678</v>
      </c>
      <c r="F33" s="36">
        <v>493.125</v>
      </c>
      <c r="G33" s="36">
        <f t="shared" si="0"/>
        <v>1393.0996620286678</v>
      </c>
      <c r="H33" s="37">
        <f t="shared" si="1"/>
        <v>0</v>
      </c>
      <c r="J33" s="33">
        <v>17</v>
      </c>
      <c r="K33" s="36">
        <f t="shared" si="7"/>
        <v>1886.2246620286678</v>
      </c>
      <c r="L33" s="36">
        <v>493.125</v>
      </c>
      <c r="M33" s="48">
        <f t="shared" si="2"/>
        <v>1393.0996620286678</v>
      </c>
      <c r="N33" s="37">
        <f t="shared" si="3"/>
        <v>0</v>
      </c>
      <c r="P33" s="33">
        <v>17</v>
      </c>
      <c r="Q33" s="36">
        <f t="shared" si="8"/>
        <v>1886.2246620286678</v>
      </c>
      <c r="R33" s="36">
        <v>493.125</v>
      </c>
      <c r="S33" s="48">
        <f t="shared" si="4"/>
        <v>1393.0996620286678</v>
      </c>
      <c r="T33" s="37">
        <f t="shared" si="5"/>
        <v>0</v>
      </c>
    </row>
    <row r="34" spans="1:20" x14ac:dyDescent="0.4">
      <c r="D34" s="33">
        <v>18</v>
      </c>
      <c r="E34" s="36">
        <f t="shared" si="6"/>
        <v>2216.5072160382238</v>
      </c>
      <c r="F34" s="36">
        <v>517.25</v>
      </c>
      <c r="G34" s="36">
        <f t="shared" si="0"/>
        <v>1699.2572160382238</v>
      </c>
      <c r="H34" s="37">
        <f t="shared" si="1"/>
        <v>0</v>
      </c>
      <c r="J34" s="33">
        <v>18</v>
      </c>
      <c r="K34" s="36">
        <f t="shared" si="7"/>
        <v>1393.0996620286678</v>
      </c>
      <c r="L34" s="36">
        <v>517.25</v>
      </c>
      <c r="M34" s="48">
        <f t="shared" si="2"/>
        <v>875.84966202866781</v>
      </c>
      <c r="N34" s="37">
        <f t="shared" si="3"/>
        <v>823.40755400955607</v>
      </c>
      <c r="P34" s="33">
        <v>18</v>
      </c>
      <c r="Q34" s="36">
        <f t="shared" si="8"/>
        <v>1393.0996620286678</v>
      </c>
      <c r="R34" s="36">
        <v>517.25</v>
      </c>
      <c r="S34" s="48">
        <f t="shared" si="4"/>
        <v>875.84966202866781</v>
      </c>
      <c r="T34" s="37">
        <f t="shared" si="5"/>
        <v>823.40755400955607</v>
      </c>
    </row>
    <row r="35" spans="1:20" x14ac:dyDescent="0.4">
      <c r="A35" s="71" t="s">
        <v>67</v>
      </c>
      <c r="D35" s="33">
        <v>19</v>
      </c>
      <c r="E35" s="36">
        <f t="shared" si="6"/>
        <v>1699.2572160382238</v>
      </c>
      <c r="F35" s="36">
        <v>501.875</v>
      </c>
      <c r="G35" s="36">
        <f t="shared" si="0"/>
        <v>1197.3822160382238</v>
      </c>
      <c r="H35" s="37">
        <f t="shared" si="1"/>
        <v>0</v>
      </c>
      <c r="J35" s="33">
        <v>19</v>
      </c>
      <c r="K35" s="36">
        <f t="shared" si="7"/>
        <v>875.84966202866781</v>
      </c>
      <c r="L35" s="36">
        <v>501.875</v>
      </c>
      <c r="M35" s="48">
        <f t="shared" si="2"/>
        <v>373.97466202866781</v>
      </c>
      <c r="N35" s="37">
        <f t="shared" si="3"/>
        <v>823.40755400955607</v>
      </c>
      <c r="P35" s="33">
        <v>19</v>
      </c>
      <c r="Q35" s="36">
        <f t="shared" si="8"/>
        <v>875.84966202866781</v>
      </c>
      <c r="R35" s="36">
        <v>501.875</v>
      </c>
      <c r="S35" s="48">
        <f t="shared" si="4"/>
        <v>373.97466202866781</v>
      </c>
      <c r="T35" s="37">
        <f t="shared" si="5"/>
        <v>823.40755400955607</v>
      </c>
    </row>
    <row r="36" spans="1:20" x14ac:dyDescent="0.4">
      <c r="A36" s="1" t="s">
        <v>0</v>
      </c>
      <c r="B36" s="2">
        <f>B19</f>
        <v>33900</v>
      </c>
      <c r="D36" s="33">
        <v>20</v>
      </c>
      <c r="E36" s="36">
        <f t="shared" si="6"/>
        <v>1197.3822160382238</v>
      </c>
      <c r="F36" s="36">
        <v>553.25</v>
      </c>
      <c r="G36" s="36">
        <f t="shared" si="0"/>
        <v>644.13221603822376</v>
      </c>
      <c r="H36" s="37">
        <f t="shared" si="1"/>
        <v>823.40755400955607</v>
      </c>
      <c r="J36" s="33">
        <v>20</v>
      </c>
      <c r="K36" s="36">
        <f t="shared" si="7"/>
        <v>1197.3822160382238</v>
      </c>
      <c r="L36" s="36">
        <v>553.25</v>
      </c>
      <c r="M36" s="48">
        <f t="shared" si="2"/>
        <v>644.13221603822376</v>
      </c>
      <c r="N36" s="37">
        <f t="shared" si="3"/>
        <v>823.40755400955607</v>
      </c>
      <c r="P36" s="33">
        <v>20</v>
      </c>
      <c r="Q36" s="36">
        <f t="shared" si="8"/>
        <v>1197.3822160382238</v>
      </c>
      <c r="R36" s="36">
        <v>553.25</v>
      </c>
      <c r="S36" s="48">
        <f t="shared" si="4"/>
        <v>644.13221603822376</v>
      </c>
      <c r="T36" s="37">
        <f t="shared" si="5"/>
        <v>823.40755400955607</v>
      </c>
    </row>
    <row r="37" spans="1:20" x14ac:dyDescent="0.4">
      <c r="A37" s="1" t="s">
        <v>1</v>
      </c>
      <c r="B37" s="2">
        <f>B20</f>
        <v>823.40755400955607</v>
      </c>
      <c r="D37" s="33">
        <v>21</v>
      </c>
      <c r="E37" s="36">
        <f t="shared" si="6"/>
        <v>644.13221603822376</v>
      </c>
      <c r="F37" s="36">
        <v>563.875</v>
      </c>
      <c r="G37" s="36">
        <f t="shared" si="0"/>
        <v>80.25721603822376</v>
      </c>
      <c r="H37" s="37">
        <f t="shared" si="1"/>
        <v>823.40755400955607</v>
      </c>
      <c r="J37" s="33">
        <v>21</v>
      </c>
      <c r="K37" s="36">
        <f t="shared" si="7"/>
        <v>1467.5397700477797</v>
      </c>
      <c r="L37" s="36">
        <v>563.875</v>
      </c>
      <c r="M37" s="48">
        <f t="shared" si="2"/>
        <v>903.66477004777971</v>
      </c>
      <c r="N37" s="37">
        <f t="shared" si="3"/>
        <v>823.40755400955607</v>
      </c>
      <c r="P37" s="33">
        <v>21</v>
      </c>
      <c r="Q37" s="36">
        <f t="shared" si="8"/>
        <v>1467.5397700477797</v>
      </c>
      <c r="R37" s="36">
        <v>563.875</v>
      </c>
      <c r="S37" s="48">
        <f t="shared" si="4"/>
        <v>903.66477004777971</v>
      </c>
      <c r="T37" s="37">
        <f t="shared" si="5"/>
        <v>823.40755400955607</v>
      </c>
    </row>
    <row r="38" spans="1:20" x14ac:dyDescent="0.4">
      <c r="A38" s="1" t="s">
        <v>49</v>
      </c>
      <c r="B38" s="2">
        <v>365</v>
      </c>
      <c r="D38" s="33">
        <v>22</v>
      </c>
      <c r="E38" s="36">
        <f t="shared" si="6"/>
        <v>903.66477004777983</v>
      </c>
      <c r="F38" s="36">
        <v>616.75</v>
      </c>
      <c r="G38" s="36">
        <f t="shared" si="0"/>
        <v>286.91477004777983</v>
      </c>
      <c r="H38" s="37">
        <f t="shared" si="1"/>
        <v>823.40755400955607</v>
      </c>
      <c r="J38" s="33">
        <v>22</v>
      </c>
      <c r="K38" s="36">
        <f t="shared" si="7"/>
        <v>1727.0723240573357</v>
      </c>
      <c r="L38" s="36">
        <v>616.75</v>
      </c>
      <c r="M38" s="48">
        <f t="shared" si="2"/>
        <v>1110.3223240573357</v>
      </c>
      <c r="N38" s="37">
        <f t="shared" si="3"/>
        <v>0</v>
      </c>
      <c r="P38" s="33">
        <v>22</v>
      </c>
      <c r="Q38" s="36">
        <f t="shared" si="8"/>
        <v>1727.0723240573357</v>
      </c>
      <c r="R38" s="36">
        <v>616.75</v>
      </c>
      <c r="S38" s="48">
        <f t="shared" si="4"/>
        <v>1110.3223240573357</v>
      </c>
      <c r="T38" s="37">
        <f t="shared" si="5"/>
        <v>0</v>
      </c>
    </row>
    <row r="39" spans="1:20" x14ac:dyDescent="0.4">
      <c r="A39" s="1" t="s">
        <v>2</v>
      </c>
      <c r="B39" s="2">
        <v>6</v>
      </c>
      <c r="D39" s="33">
        <v>23</v>
      </c>
      <c r="E39" s="36">
        <f t="shared" si="6"/>
        <v>1110.3223240573359</v>
      </c>
      <c r="F39" s="36">
        <v>610.5</v>
      </c>
      <c r="G39" s="36">
        <f t="shared" si="0"/>
        <v>499.82232405733589</v>
      </c>
      <c r="H39" s="37">
        <f t="shared" si="1"/>
        <v>823.40755400955607</v>
      </c>
      <c r="J39" s="33">
        <v>23</v>
      </c>
      <c r="K39" s="36">
        <f t="shared" si="7"/>
        <v>1933.7298780668916</v>
      </c>
      <c r="L39" s="36">
        <v>610.5</v>
      </c>
      <c r="M39" s="48">
        <f t="shared" si="2"/>
        <v>1323.2298780668916</v>
      </c>
      <c r="N39" s="37">
        <f t="shared" si="3"/>
        <v>0</v>
      </c>
      <c r="P39" s="33">
        <v>23</v>
      </c>
      <c r="Q39" s="36">
        <f t="shared" si="8"/>
        <v>1933.7298780668916</v>
      </c>
      <c r="R39" s="36">
        <v>610.5</v>
      </c>
      <c r="S39" s="48">
        <f t="shared" si="4"/>
        <v>1323.2298780668916</v>
      </c>
      <c r="T39" s="37">
        <f t="shared" si="5"/>
        <v>0</v>
      </c>
    </row>
    <row r="40" spans="1:20" x14ac:dyDescent="0.4">
      <c r="A40" s="1" t="s">
        <v>3</v>
      </c>
      <c r="B40" s="3">
        <f>B36/B38*B39</f>
        <v>557.26027397260282</v>
      </c>
      <c r="D40" s="33">
        <v>24</v>
      </c>
      <c r="E40" s="36">
        <f t="shared" si="6"/>
        <v>1323.2298780668921</v>
      </c>
      <c r="F40" s="36">
        <v>633.375</v>
      </c>
      <c r="G40" s="36">
        <f t="shared" si="0"/>
        <v>689.85487806689207</v>
      </c>
      <c r="H40" s="37">
        <f t="shared" si="1"/>
        <v>823.40755400955607</v>
      </c>
      <c r="J40" s="33">
        <v>24</v>
      </c>
      <c r="K40" s="36">
        <f t="shared" si="7"/>
        <v>1323.2298780668916</v>
      </c>
      <c r="L40" s="36">
        <v>633.375</v>
      </c>
      <c r="M40" s="48">
        <f t="shared" si="2"/>
        <v>689.85487806689162</v>
      </c>
      <c r="N40" s="37">
        <f t="shared" si="3"/>
        <v>823.40755400955607</v>
      </c>
      <c r="P40" s="33">
        <v>24</v>
      </c>
      <c r="Q40" s="36">
        <f t="shared" si="8"/>
        <v>1323.2298780668916</v>
      </c>
      <c r="R40" s="36">
        <v>633.375</v>
      </c>
      <c r="S40" s="48">
        <f t="shared" si="4"/>
        <v>689.85487806689162</v>
      </c>
      <c r="T40" s="37">
        <f t="shared" si="5"/>
        <v>823.40755400955607</v>
      </c>
    </row>
    <row r="41" spans="1:20" x14ac:dyDescent="0.4">
      <c r="A41" s="6" t="s">
        <v>48</v>
      </c>
      <c r="B41" s="2">
        <v>95</v>
      </c>
      <c r="D41" s="33">
        <v>25</v>
      </c>
      <c r="E41" s="36">
        <f t="shared" si="6"/>
        <v>1513.262432076448</v>
      </c>
      <c r="F41" s="36">
        <v>683.875</v>
      </c>
      <c r="G41" s="36">
        <f t="shared" si="0"/>
        <v>829.38743207644802</v>
      </c>
      <c r="H41" s="37">
        <f t="shared" si="1"/>
        <v>823.40755400955607</v>
      </c>
      <c r="J41" s="33">
        <v>25</v>
      </c>
      <c r="K41" s="36">
        <f t="shared" si="7"/>
        <v>689.85487806689162</v>
      </c>
      <c r="L41" s="36">
        <v>683.875</v>
      </c>
      <c r="M41" s="48">
        <f t="shared" si="2"/>
        <v>5.9798780668916152</v>
      </c>
      <c r="N41" s="37">
        <f t="shared" si="3"/>
        <v>823.40755400955607</v>
      </c>
      <c r="P41" s="33">
        <v>25</v>
      </c>
      <c r="Q41" s="36">
        <f t="shared" si="8"/>
        <v>689.85487806689162</v>
      </c>
      <c r="R41" s="36">
        <v>683.875</v>
      </c>
      <c r="S41" s="48">
        <f t="shared" si="4"/>
        <v>5.9798780668916152</v>
      </c>
      <c r="T41" s="37">
        <f t="shared" si="5"/>
        <v>823.40755400955607</v>
      </c>
    </row>
    <row r="42" spans="1:20" x14ac:dyDescent="0.4">
      <c r="A42" s="26" t="s">
        <v>4</v>
      </c>
      <c r="B42" s="27">
        <f>B36/B37</f>
        <v>41.1703777004778</v>
      </c>
      <c r="D42" s="33">
        <v>26</v>
      </c>
      <c r="E42" s="36">
        <f t="shared" si="6"/>
        <v>1652.794986086004</v>
      </c>
      <c r="F42" s="36">
        <v>715.625</v>
      </c>
      <c r="G42" s="36">
        <f t="shared" si="0"/>
        <v>937.16998608600397</v>
      </c>
      <c r="H42" s="37">
        <f t="shared" si="1"/>
        <v>823.40755400955607</v>
      </c>
      <c r="J42" s="33">
        <v>26</v>
      </c>
      <c r="K42" s="36">
        <f t="shared" si="7"/>
        <v>829.38743207644768</v>
      </c>
      <c r="L42" s="36">
        <v>715.625</v>
      </c>
      <c r="M42" s="48">
        <f t="shared" si="2"/>
        <v>113.76243207644768</v>
      </c>
      <c r="N42" s="37">
        <f t="shared" si="3"/>
        <v>823.40755400955607</v>
      </c>
      <c r="P42" s="33">
        <v>26</v>
      </c>
      <c r="Q42" s="36">
        <f t="shared" si="8"/>
        <v>829.38743207644768</v>
      </c>
      <c r="R42" s="36">
        <v>715.625</v>
      </c>
      <c r="S42" s="48">
        <f t="shared" si="4"/>
        <v>113.76243207644768</v>
      </c>
      <c r="T42" s="37">
        <f t="shared" si="5"/>
        <v>823.40755400955607</v>
      </c>
    </row>
    <row r="43" spans="1:20" x14ac:dyDescent="0.4">
      <c r="A43" s="1" t="s">
        <v>5</v>
      </c>
      <c r="B43" s="4">
        <f>1-B44</f>
        <v>4.9999999999999933E-2</v>
      </c>
      <c r="D43" s="33">
        <v>27</v>
      </c>
      <c r="E43" s="36">
        <f t="shared" si="6"/>
        <v>1760.5775400955599</v>
      </c>
      <c r="F43" s="36">
        <v>747.25</v>
      </c>
      <c r="G43" s="36">
        <f t="shared" si="0"/>
        <v>1013.3275400955599</v>
      </c>
      <c r="H43" s="37">
        <f t="shared" si="1"/>
        <v>823.40755400955607</v>
      </c>
      <c r="J43" s="33">
        <v>27</v>
      </c>
      <c r="K43" s="36">
        <f t="shared" si="7"/>
        <v>937.16998608600375</v>
      </c>
      <c r="L43" s="36">
        <v>747.25</v>
      </c>
      <c r="M43" s="48">
        <f t="shared" si="2"/>
        <v>189.91998608600375</v>
      </c>
      <c r="N43" s="37">
        <f t="shared" si="3"/>
        <v>823.40755400955607</v>
      </c>
      <c r="P43" s="33">
        <v>27</v>
      </c>
      <c r="Q43" s="36">
        <f t="shared" si="8"/>
        <v>937.16998608600375</v>
      </c>
      <c r="R43" s="36">
        <v>747.25</v>
      </c>
      <c r="S43" s="48">
        <f t="shared" si="4"/>
        <v>189.91998608600375</v>
      </c>
      <c r="T43" s="37">
        <f t="shared" si="5"/>
        <v>823.40755400955607</v>
      </c>
    </row>
    <row r="44" spans="1:20" x14ac:dyDescent="0.4">
      <c r="A44" s="1" t="s">
        <v>6</v>
      </c>
      <c r="B44" s="4">
        <f>B41*0.01</f>
        <v>0.95000000000000007</v>
      </c>
      <c r="D44" s="33">
        <v>28</v>
      </c>
      <c r="E44" s="36">
        <f t="shared" si="6"/>
        <v>1836.7350941051159</v>
      </c>
      <c r="F44" s="36">
        <v>733.375</v>
      </c>
      <c r="G44" s="36">
        <f t="shared" si="0"/>
        <v>1103.3600941051159</v>
      </c>
      <c r="H44" s="37">
        <f t="shared" si="1"/>
        <v>823.40755400955607</v>
      </c>
      <c r="J44" s="33">
        <v>28</v>
      </c>
      <c r="K44" s="36">
        <f t="shared" si="7"/>
        <v>1013.3275400955598</v>
      </c>
      <c r="L44" s="36">
        <v>733.375</v>
      </c>
      <c r="M44" s="48">
        <f t="shared" si="2"/>
        <v>279.95254009555981</v>
      </c>
      <c r="N44" s="37">
        <f t="shared" si="3"/>
        <v>823.40755400955607</v>
      </c>
      <c r="P44" s="33">
        <v>28</v>
      </c>
      <c r="Q44" s="36">
        <f t="shared" si="8"/>
        <v>1013.3275400955598</v>
      </c>
      <c r="R44" s="36">
        <v>733.375</v>
      </c>
      <c r="S44" s="48">
        <f t="shared" si="4"/>
        <v>279.95254009555981</v>
      </c>
      <c r="T44" s="37">
        <f t="shared" si="5"/>
        <v>823.40755400955607</v>
      </c>
    </row>
    <row r="45" spans="1:20" x14ac:dyDescent="0.4">
      <c r="A45" s="1" t="s">
        <v>7</v>
      </c>
      <c r="B45" s="5">
        <v>651.91999999999996</v>
      </c>
      <c r="D45" s="33">
        <v>29</v>
      </c>
      <c r="E45" s="36">
        <f t="shared" si="6"/>
        <v>1926.7676481146718</v>
      </c>
      <c r="F45" s="36">
        <v>768.75</v>
      </c>
      <c r="G45" s="36">
        <f t="shared" si="0"/>
        <v>1158.0176481146718</v>
      </c>
      <c r="H45" s="37">
        <f t="shared" si="1"/>
        <v>0</v>
      </c>
      <c r="J45" s="33">
        <v>29</v>
      </c>
      <c r="K45" s="36">
        <f t="shared" si="7"/>
        <v>1103.3600941051159</v>
      </c>
      <c r="L45" s="36">
        <v>768.75</v>
      </c>
      <c r="M45" s="48">
        <f t="shared" si="2"/>
        <v>334.61009410511588</v>
      </c>
      <c r="N45" s="37">
        <f t="shared" si="3"/>
        <v>823.40755400955607</v>
      </c>
      <c r="P45" s="33">
        <v>29</v>
      </c>
      <c r="Q45" s="36">
        <f t="shared" si="8"/>
        <v>1103.3600941051159</v>
      </c>
      <c r="R45" s="36">
        <v>768.75</v>
      </c>
      <c r="S45" s="48">
        <f t="shared" si="4"/>
        <v>334.61009410511588</v>
      </c>
      <c r="T45" s="37">
        <f t="shared" si="5"/>
        <v>823.40755400955607</v>
      </c>
    </row>
    <row r="46" spans="1:20" x14ac:dyDescent="0.4">
      <c r="A46" s="1" t="s">
        <v>8</v>
      </c>
      <c r="B46" s="5">
        <v>159.07</v>
      </c>
      <c r="D46" s="33">
        <v>30</v>
      </c>
      <c r="E46" s="36">
        <f t="shared" si="6"/>
        <v>1981.4252021242278</v>
      </c>
      <c r="F46" s="36">
        <v>773.625</v>
      </c>
      <c r="G46" s="36">
        <f t="shared" si="0"/>
        <v>1207.8002021242278</v>
      </c>
      <c r="H46" s="37">
        <f t="shared" si="1"/>
        <v>0</v>
      </c>
      <c r="J46" s="33">
        <v>30</v>
      </c>
      <c r="K46" s="36">
        <f t="shared" si="7"/>
        <v>1158.0176481146718</v>
      </c>
      <c r="L46" s="36">
        <v>773.625</v>
      </c>
      <c r="M46" s="48">
        <f t="shared" si="2"/>
        <v>384.39264811467183</v>
      </c>
      <c r="N46" s="37">
        <f t="shared" si="3"/>
        <v>823.40755400955607</v>
      </c>
      <c r="P46" s="33">
        <v>30</v>
      </c>
      <c r="Q46" s="36">
        <f t="shared" si="8"/>
        <v>1158.0176481146718</v>
      </c>
      <c r="R46" s="36">
        <v>773.625</v>
      </c>
      <c r="S46" s="48">
        <f t="shared" si="4"/>
        <v>384.39264811467183</v>
      </c>
      <c r="T46" s="37">
        <f t="shared" si="5"/>
        <v>823.40755400955607</v>
      </c>
    </row>
    <row r="47" spans="1:20" x14ac:dyDescent="0.4">
      <c r="A47" s="6" t="s">
        <v>9</v>
      </c>
      <c r="B47" s="3">
        <f>NORMINV(B44,B45,B46)</f>
        <v>913.56686643917078</v>
      </c>
      <c r="D47" s="33">
        <v>31</v>
      </c>
      <c r="E47" s="36">
        <f t="shared" si="6"/>
        <v>1207.8002021242278</v>
      </c>
      <c r="F47" s="36">
        <v>786.875</v>
      </c>
      <c r="G47" s="36">
        <f t="shared" si="0"/>
        <v>420.92520212422778</v>
      </c>
      <c r="H47" s="37">
        <f t="shared" si="1"/>
        <v>823.40755400955607</v>
      </c>
      <c r="J47" s="33">
        <v>31</v>
      </c>
      <c r="K47" s="36">
        <f t="shared" si="7"/>
        <v>1207.8002021242278</v>
      </c>
      <c r="L47" s="36">
        <v>786.875</v>
      </c>
      <c r="M47" s="48">
        <f t="shared" si="2"/>
        <v>420.92520212422778</v>
      </c>
      <c r="N47" s="37">
        <f t="shared" si="3"/>
        <v>823.40755400955607</v>
      </c>
      <c r="P47" s="33">
        <v>31</v>
      </c>
      <c r="Q47" s="36">
        <f t="shared" si="8"/>
        <v>1207.8002021242278</v>
      </c>
      <c r="R47" s="36">
        <v>786.875</v>
      </c>
      <c r="S47" s="48">
        <f t="shared" si="4"/>
        <v>420.92520212422778</v>
      </c>
      <c r="T47" s="37">
        <f t="shared" si="5"/>
        <v>823.40755400955607</v>
      </c>
    </row>
    <row r="48" spans="1:20" x14ac:dyDescent="0.4">
      <c r="A48" s="1" t="s">
        <v>10</v>
      </c>
      <c r="B48" s="3">
        <f>B40</f>
        <v>557.26027397260282</v>
      </c>
      <c r="D48" s="33">
        <v>32</v>
      </c>
      <c r="E48" s="36">
        <f t="shared" si="6"/>
        <v>420.92520212422778</v>
      </c>
      <c r="F48" s="36">
        <v>817.625</v>
      </c>
      <c r="G48" s="36">
        <f t="shared" si="0"/>
        <v>-396.69979787577222</v>
      </c>
      <c r="H48" s="37">
        <f t="shared" si="1"/>
        <v>823.40755400955607</v>
      </c>
      <c r="J48" s="33">
        <v>32</v>
      </c>
      <c r="K48" s="36">
        <f t="shared" si="7"/>
        <v>1244.3327561337837</v>
      </c>
      <c r="L48" s="36">
        <v>817.625</v>
      </c>
      <c r="M48" s="48">
        <f t="shared" si="2"/>
        <v>426.70775613378373</v>
      </c>
      <c r="N48" s="37">
        <f t="shared" si="3"/>
        <v>823.40755400955607</v>
      </c>
      <c r="P48" s="33">
        <v>32</v>
      </c>
      <c r="Q48" s="36">
        <f t="shared" si="8"/>
        <v>1244.3327561337837</v>
      </c>
      <c r="R48" s="36">
        <v>817.625</v>
      </c>
      <c r="S48" s="48">
        <f t="shared" si="4"/>
        <v>426.70775613378373</v>
      </c>
      <c r="T48" s="37">
        <f t="shared" si="5"/>
        <v>823.40755400955607</v>
      </c>
    </row>
    <row r="49" spans="1:20" x14ac:dyDescent="0.4">
      <c r="A49" s="1" t="s">
        <v>11</v>
      </c>
      <c r="B49" s="5">
        <f>ROUND(B47,0)</f>
        <v>914</v>
      </c>
      <c r="D49" s="33">
        <v>33</v>
      </c>
      <c r="E49" s="36">
        <f t="shared" si="6"/>
        <v>426.70775613378385</v>
      </c>
      <c r="F49" s="36">
        <v>815.125</v>
      </c>
      <c r="G49" s="36">
        <f t="shared" si="0"/>
        <v>-388.41724386621615</v>
      </c>
      <c r="H49" s="37">
        <f t="shared" si="1"/>
        <v>823.40755400955607</v>
      </c>
      <c r="J49" s="33">
        <v>33</v>
      </c>
      <c r="K49" s="36">
        <f t="shared" si="7"/>
        <v>1250.1153101433397</v>
      </c>
      <c r="L49" s="36">
        <v>815.125</v>
      </c>
      <c r="M49" s="48">
        <f t="shared" si="2"/>
        <v>434.99031014333968</v>
      </c>
      <c r="N49" s="37">
        <f t="shared" si="3"/>
        <v>823.40755400955607</v>
      </c>
      <c r="P49" s="33">
        <v>33</v>
      </c>
      <c r="Q49" s="36">
        <f t="shared" si="8"/>
        <v>1250.1153101433397</v>
      </c>
      <c r="R49" s="36">
        <v>815.125</v>
      </c>
      <c r="S49" s="48">
        <f t="shared" si="4"/>
        <v>434.99031014333968</v>
      </c>
      <c r="T49" s="37">
        <f t="shared" si="5"/>
        <v>823.40755400955607</v>
      </c>
    </row>
    <row r="50" spans="1:20" x14ac:dyDescent="0.4">
      <c r="A50" s="6" t="s">
        <v>50</v>
      </c>
      <c r="B50" s="3">
        <f>B49-B48</f>
        <v>356.73972602739718</v>
      </c>
      <c r="D50" s="33">
        <v>34</v>
      </c>
      <c r="E50" s="36">
        <f t="shared" si="6"/>
        <v>434.99031014333991</v>
      </c>
      <c r="F50" s="36">
        <v>787</v>
      </c>
      <c r="G50" s="36">
        <f t="shared" si="0"/>
        <v>-352.00968985666009</v>
      </c>
      <c r="H50" s="37">
        <f t="shared" si="1"/>
        <v>823.40755400955607</v>
      </c>
      <c r="J50" s="33">
        <v>34</v>
      </c>
      <c r="K50" s="36">
        <f t="shared" si="7"/>
        <v>1258.3978641528956</v>
      </c>
      <c r="L50" s="36">
        <v>787</v>
      </c>
      <c r="M50" s="48">
        <f t="shared" si="2"/>
        <v>471.39786415289564</v>
      </c>
      <c r="N50" s="37">
        <f t="shared" si="3"/>
        <v>823.40755400955607</v>
      </c>
      <c r="P50" s="33">
        <v>34</v>
      </c>
      <c r="Q50" s="36">
        <f t="shared" si="8"/>
        <v>1258.3978641528956</v>
      </c>
      <c r="R50" s="36">
        <v>787</v>
      </c>
      <c r="S50" s="48">
        <f t="shared" si="4"/>
        <v>471.39786415289564</v>
      </c>
      <c r="T50" s="37">
        <f t="shared" si="5"/>
        <v>823.40755400955607</v>
      </c>
    </row>
    <row r="51" spans="1:20" x14ac:dyDescent="0.4">
      <c r="D51" s="33">
        <v>35</v>
      </c>
      <c r="E51" s="36">
        <f t="shared" si="6"/>
        <v>471.39786415289598</v>
      </c>
      <c r="F51" s="36">
        <v>787.875</v>
      </c>
      <c r="G51" s="36">
        <f t="shared" si="0"/>
        <v>-316.47713584710402</v>
      </c>
      <c r="H51" s="37">
        <f t="shared" si="1"/>
        <v>823.40755400955607</v>
      </c>
      <c r="J51" s="33">
        <v>35</v>
      </c>
      <c r="K51" s="36">
        <f t="shared" si="7"/>
        <v>1294.8054181624516</v>
      </c>
      <c r="L51" s="36">
        <v>787.875</v>
      </c>
      <c r="M51" s="48">
        <f t="shared" si="2"/>
        <v>506.93041816245159</v>
      </c>
      <c r="N51" s="37">
        <f t="shared" si="3"/>
        <v>823.40755400955607</v>
      </c>
      <c r="P51" s="33">
        <v>35</v>
      </c>
      <c r="Q51" s="36">
        <f t="shared" si="8"/>
        <v>1294.8054181624516</v>
      </c>
      <c r="R51" s="36">
        <v>787.875</v>
      </c>
      <c r="S51" s="48">
        <f t="shared" si="4"/>
        <v>506.93041816245159</v>
      </c>
      <c r="T51" s="37">
        <f t="shared" si="5"/>
        <v>823.40755400955607</v>
      </c>
    </row>
    <row r="52" spans="1:20" x14ac:dyDescent="0.4">
      <c r="D52" s="33">
        <v>36</v>
      </c>
      <c r="E52" s="36">
        <f t="shared" si="6"/>
        <v>506.93041816245204</v>
      </c>
      <c r="F52" s="36">
        <v>795.125</v>
      </c>
      <c r="G52" s="36">
        <f t="shared" si="0"/>
        <v>-288.19458183754796</v>
      </c>
      <c r="H52" s="37">
        <f t="shared" si="1"/>
        <v>823.40755400955607</v>
      </c>
      <c r="J52" s="33">
        <v>36</v>
      </c>
      <c r="K52" s="36">
        <f t="shared" si="7"/>
        <v>1330.3379721720075</v>
      </c>
      <c r="L52" s="36">
        <v>795.125</v>
      </c>
      <c r="M52" s="48">
        <f t="shared" si="2"/>
        <v>535.21297217200754</v>
      </c>
      <c r="N52" s="37">
        <f t="shared" si="3"/>
        <v>823.40755400955607</v>
      </c>
      <c r="P52" s="33">
        <v>36</v>
      </c>
      <c r="Q52" s="36">
        <f t="shared" si="8"/>
        <v>1330.3379721720075</v>
      </c>
      <c r="R52" s="36">
        <v>795.125</v>
      </c>
      <c r="S52" s="48">
        <f t="shared" si="4"/>
        <v>535.21297217200754</v>
      </c>
      <c r="T52" s="37">
        <f t="shared" si="5"/>
        <v>823.40755400955607</v>
      </c>
    </row>
    <row r="53" spans="1:20" x14ac:dyDescent="0.4">
      <c r="D53" s="33">
        <v>37</v>
      </c>
      <c r="E53" s="36">
        <f t="shared" si="6"/>
        <v>535.21297217200811</v>
      </c>
      <c r="F53" s="36">
        <v>778.25</v>
      </c>
      <c r="G53" s="36">
        <f t="shared" si="0"/>
        <v>-243.03702782799189</v>
      </c>
      <c r="H53" s="37">
        <f t="shared" si="1"/>
        <v>823.40755400955607</v>
      </c>
      <c r="J53" s="33">
        <v>37</v>
      </c>
      <c r="K53" s="36">
        <f t="shared" si="7"/>
        <v>1358.6205261815635</v>
      </c>
      <c r="L53" s="36">
        <v>778.25</v>
      </c>
      <c r="M53" s="48">
        <f t="shared" si="2"/>
        <v>580.37052618156349</v>
      </c>
      <c r="N53" s="37">
        <f t="shared" si="3"/>
        <v>823.40755400955607</v>
      </c>
      <c r="P53" s="33">
        <v>37</v>
      </c>
      <c r="Q53" s="36">
        <f t="shared" si="8"/>
        <v>1358.6205261815635</v>
      </c>
      <c r="R53" s="36">
        <v>778.25</v>
      </c>
      <c r="S53" s="48">
        <f t="shared" si="4"/>
        <v>580.37052618156349</v>
      </c>
      <c r="T53" s="37">
        <f t="shared" si="5"/>
        <v>823.40755400955607</v>
      </c>
    </row>
    <row r="54" spans="1:20" x14ac:dyDescent="0.4">
      <c r="D54" s="33">
        <v>38</v>
      </c>
      <c r="E54" s="36">
        <f t="shared" si="6"/>
        <v>580.37052618156417</v>
      </c>
      <c r="F54" s="36">
        <v>774.125</v>
      </c>
      <c r="G54" s="36">
        <f t="shared" si="0"/>
        <v>-193.75447381843583</v>
      </c>
      <c r="H54" s="37">
        <f t="shared" si="1"/>
        <v>823.40755400955607</v>
      </c>
      <c r="J54" s="33">
        <v>38</v>
      </c>
      <c r="K54" s="36">
        <f t="shared" si="7"/>
        <v>1403.7780801911194</v>
      </c>
      <c r="L54" s="36">
        <v>774.125</v>
      </c>
      <c r="M54" s="48">
        <f t="shared" si="2"/>
        <v>629.65308019111944</v>
      </c>
      <c r="N54" s="37">
        <f t="shared" si="3"/>
        <v>823.40755400955607</v>
      </c>
      <c r="P54" s="33">
        <v>38</v>
      </c>
      <c r="Q54" s="36">
        <f t="shared" si="8"/>
        <v>1403.7780801911194</v>
      </c>
      <c r="R54" s="36">
        <v>774.125</v>
      </c>
      <c r="S54" s="48">
        <f t="shared" si="4"/>
        <v>629.65308019111944</v>
      </c>
      <c r="T54" s="37">
        <f t="shared" si="5"/>
        <v>823.40755400955607</v>
      </c>
    </row>
    <row r="55" spans="1:20" x14ac:dyDescent="0.4">
      <c r="D55" s="33">
        <v>39</v>
      </c>
      <c r="E55" s="36">
        <f t="shared" si="6"/>
        <v>629.65308019112024</v>
      </c>
      <c r="F55" s="36">
        <v>824.75</v>
      </c>
      <c r="G55" s="36">
        <f t="shared" si="0"/>
        <v>-195.09691980887976</v>
      </c>
      <c r="H55" s="37">
        <f t="shared" si="1"/>
        <v>823.40755400955607</v>
      </c>
      <c r="J55" s="33">
        <v>39</v>
      </c>
      <c r="K55" s="36">
        <f t="shared" si="7"/>
        <v>1453.0606342006754</v>
      </c>
      <c r="L55" s="36">
        <v>824.75</v>
      </c>
      <c r="M55" s="48">
        <f t="shared" si="2"/>
        <v>628.31063420067539</v>
      </c>
      <c r="N55" s="37">
        <f t="shared" si="3"/>
        <v>823.40755400955607</v>
      </c>
      <c r="P55" s="33">
        <v>39</v>
      </c>
      <c r="Q55" s="36">
        <f t="shared" si="8"/>
        <v>1453.0606342006754</v>
      </c>
      <c r="R55" s="36">
        <v>824.75</v>
      </c>
      <c r="S55" s="48">
        <f t="shared" si="4"/>
        <v>628.31063420067539</v>
      </c>
      <c r="T55" s="37">
        <f t="shared" si="5"/>
        <v>823.40755400955607</v>
      </c>
    </row>
    <row r="56" spans="1:20" x14ac:dyDescent="0.4">
      <c r="D56" s="33">
        <v>40</v>
      </c>
      <c r="E56" s="36">
        <f>G55+H54</f>
        <v>628.3106342006763</v>
      </c>
      <c r="F56" s="36">
        <v>819.375</v>
      </c>
      <c r="G56" s="36">
        <f t="shared" si="0"/>
        <v>-191.0643657993237</v>
      </c>
      <c r="H56" s="37">
        <f t="shared" si="1"/>
        <v>823.40755400955607</v>
      </c>
      <c r="J56" s="33">
        <v>40</v>
      </c>
      <c r="K56" s="36">
        <f t="shared" si="7"/>
        <v>1451.7181882102313</v>
      </c>
      <c r="L56" s="36">
        <v>819.375</v>
      </c>
      <c r="M56" s="48">
        <f t="shared" si="2"/>
        <v>632.34318821023135</v>
      </c>
      <c r="N56" s="37">
        <f t="shared" si="3"/>
        <v>823.40755400955607</v>
      </c>
      <c r="P56" s="33">
        <v>40</v>
      </c>
      <c r="Q56" s="36">
        <f t="shared" si="8"/>
        <v>1451.7181882102313</v>
      </c>
      <c r="R56" s="36">
        <v>819.375</v>
      </c>
      <c r="S56" s="48">
        <f t="shared" si="4"/>
        <v>632.34318821023135</v>
      </c>
      <c r="T56" s="37">
        <f t="shared" si="5"/>
        <v>823.40755400955607</v>
      </c>
    </row>
    <row r="57" spans="1:20" x14ac:dyDescent="0.4">
      <c r="D57" s="33">
        <v>41</v>
      </c>
      <c r="E57" s="36">
        <f>G56+H55</f>
        <v>632.34318821023237</v>
      </c>
      <c r="F57" s="37">
        <v>821.421875</v>
      </c>
      <c r="G57" s="36">
        <f t="shared" si="0"/>
        <v>-189.07868678976763</v>
      </c>
      <c r="H57" s="37">
        <f t="shared" si="1"/>
        <v>823.40755400955607</v>
      </c>
      <c r="J57" s="33">
        <v>41</v>
      </c>
      <c r="K57" s="36">
        <f>M56+N55</f>
        <v>1455.7507422197873</v>
      </c>
      <c r="L57" s="37">
        <v>821.421875</v>
      </c>
      <c r="M57" s="48">
        <f t="shared" si="2"/>
        <v>634.3288672197873</v>
      </c>
      <c r="N57" s="37">
        <f t="shared" si="3"/>
        <v>823.40755400955607</v>
      </c>
      <c r="P57" s="33">
        <v>41</v>
      </c>
      <c r="Q57" s="36">
        <f>S56+T55</f>
        <v>1455.7507422197873</v>
      </c>
      <c r="R57" s="37">
        <v>821.421875</v>
      </c>
      <c r="S57" s="48">
        <f t="shared" si="4"/>
        <v>634.3288672197873</v>
      </c>
      <c r="T57" s="37">
        <f t="shared" si="5"/>
        <v>823.40755400955607</v>
      </c>
    </row>
    <row r="58" spans="1:20" x14ac:dyDescent="0.4">
      <c r="D58" s="33">
        <v>42</v>
      </c>
      <c r="E58" s="36">
        <f t="shared" ref="E58:E59" si="9">G57+H56</f>
        <v>634.32886721978844</v>
      </c>
      <c r="F58" s="37">
        <v>827.099609375</v>
      </c>
      <c r="G58" s="36">
        <f t="shared" si="0"/>
        <v>-192.77074215521156</v>
      </c>
      <c r="H58" s="37">
        <f t="shared" si="1"/>
        <v>823.40755400955607</v>
      </c>
      <c r="J58" s="33">
        <v>42</v>
      </c>
      <c r="K58" s="36">
        <f t="shared" ref="K58:K59" si="10">M57+N56</f>
        <v>1457.7364212293433</v>
      </c>
      <c r="L58" s="37">
        <v>827.099609375</v>
      </c>
      <c r="M58" s="48">
        <f t="shared" si="2"/>
        <v>630.63681185434325</v>
      </c>
      <c r="N58" s="37">
        <f t="shared" si="3"/>
        <v>823.40755400955607</v>
      </c>
      <c r="P58" s="33">
        <v>42</v>
      </c>
      <c r="Q58" s="36">
        <f t="shared" ref="Q58:Q59" si="11">S57+T56</f>
        <v>1457.7364212293433</v>
      </c>
      <c r="R58" s="37">
        <v>827.099609375</v>
      </c>
      <c r="S58" s="48">
        <f t="shared" si="4"/>
        <v>630.63681185434325</v>
      </c>
      <c r="T58" s="37">
        <f t="shared" si="5"/>
        <v>823.40755400955607</v>
      </c>
    </row>
    <row r="59" spans="1:20" x14ac:dyDescent="0.4">
      <c r="D59" s="33">
        <v>43</v>
      </c>
      <c r="E59" s="36">
        <f t="shared" si="9"/>
        <v>630.6368118543445</v>
      </c>
      <c r="F59" s="37">
        <v>827.237060546875</v>
      </c>
      <c r="G59" s="36">
        <f t="shared" si="0"/>
        <v>-196.6002486925305</v>
      </c>
      <c r="H59" s="37">
        <f t="shared" si="1"/>
        <v>823.40755400955607</v>
      </c>
      <c r="J59" s="33">
        <v>43</v>
      </c>
      <c r="K59" s="36">
        <f t="shared" si="10"/>
        <v>1454.0443658638992</v>
      </c>
      <c r="L59" s="37">
        <v>827.237060546875</v>
      </c>
      <c r="M59" s="48">
        <f t="shared" si="2"/>
        <v>626.8073053170242</v>
      </c>
      <c r="N59" s="37">
        <f t="shared" si="3"/>
        <v>823.40755400955607</v>
      </c>
      <c r="P59" s="33">
        <v>43</v>
      </c>
      <c r="Q59" s="36">
        <f t="shared" si="11"/>
        <v>1454.0443658638992</v>
      </c>
      <c r="R59" s="37">
        <v>827.237060546875</v>
      </c>
      <c r="S59" s="48">
        <f t="shared" si="4"/>
        <v>626.8073053170242</v>
      </c>
      <c r="T59" s="37">
        <f t="shared" si="5"/>
        <v>823.40755400955607</v>
      </c>
    </row>
    <row r="60" spans="1:20" x14ac:dyDescent="0.4">
      <c r="D60" s="33">
        <v>44</v>
      </c>
      <c r="E60" s="37"/>
      <c r="F60" s="37"/>
      <c r="G60" s="37"/>
      <c r="H60" s="37"/>
      <c r="J60" s="33">
        <v>44</v>
      </c>
      <c r="K60" s="37"/>
      <c r="L60" s="37"/>
      <c r="M60" s="37"/>
      <c r="N60" s="37"/>
      <c r="P60" s="33">
        <v>44</v>
      </c>
      <c r="Q60" s="37"/>
      <c r="R60" s="37"/>
      <c r="S60" s="37"/>
      <c r="T60" s="37"/>
    </row>
    <row r="61" spans="1:20" x14ac:dyDescent="0.4">
      <c r="D61" s="33">
        <v>45</v>
      </c>
      <c r="E61" s="37"/>
      <c r="F61" s="37"/>
      <c r="G61" s="37"/>
      <c r="H61" s="37"/>
      <c r="J61" s="33">
        <v>45</v>
      </c>
      <c r="K61" s="37"/>
      <c r="L61" s="37"/>
      <c r="M61" s="37"/>
      <c r="N61" s="37"/>
      <c r="P61" s="33">
        <v>45</v>
      </c>
      <c r="Q61" s="37"/>
      <c r="R61" s="37"/>
      <c r="S61" s="37"/>
      <c r="T61" s="37"/>
    </row>
    <row r="62" spans="1:20" x14ac:dyDescent="0.4">
      <c r="D62" s="33">
        <v>46</v>
      </c>
      <c r="E62" s="37"/>
      <c r="F62" s="37"/>
      <c r="G62" s="37"/>
      <c r="H62" s="37"/>
      <c r="J62" s="33">
        <v>46</v>
      </c>
      <c r="K62" s="37"/>
      <c r="L62" s="37"/>
      <c r="M62" s="37"/>
      <c r="N62" s="37"/>
      <c r="P62" s="33">
        <v>46</v>
      </c>
      <c r="Q62" s="37"/>
      <c r="R62" s="37"/>
      <c r="S62" s="37"/>
      <c r="T62" s="37"/>
    </row>
    <row r="63" spans="1:20" x14ac:dyDescent="0.4">
      <c r="D63" s="33">
        <v>47</v>
      </c>
      <c r="E63" s="37"/>
      <c r="F63" s="37"/>
      <c r="G63" s="37"/>
      <c r="H63" s="37"/>
      <c r="J63" s="33">
        <v>47</v>
      </c>
      <c r="K63" s="37"/>
      <c r="L63" s="37"/>
      <c r="M63" s="37"/>
      <c r="N63" s="37"/>
      <c r="P63" s="33">
        <v>47</v>
      </c>
      <c r="Q63" s="37"/>
      <c r="R63" s="37"/>
      <c r="S63" s="37"/>
      <c r="T63" s="37"/>
    </row>
    <row r="64" spans="1:20" x14ac:dyDescent="0.4">
      <c r="D64" s="33">
        <v>48</v>
      </c>
      <c r="E64" s="37"/>
      <c r="F64" s="37"/>
      <c r="G64" s="37"/>
      <c r="H64" s="37"/>
      <c r="J64" s="33">
        <v>48</v>
      </c>
      <c r="K64" s="37"/>
      <c r="L64" s="37"/>
      <c r="M64" s="37"/>
      <c r="N64" s="37"/>
      <c r="P64" s="33">
        <v>48</v>
      </c>
      <c r="Q64" s="37"/>
      <c r="R64" s="37"/>
      <c r="S64" s="37"/>
      <c r="T64" s="37"/>
    </row>
    <row r="65" spans="4:20" x14ac:dyDescent="0.4">
      <c r="D65" s="33">
        <v>49</v>
      </c>
      <c r="E65" s="37"/>
      <c r="F65" s="37"/>
      <c r="G65" s="37"/>
      <c r="H65" s="37"/>
      <c r="J65" s="33">
        <v>49</v>
      </c>
      <c r="K65" s="37"/>
      <c r="L65" s="37"/>
      <c r="M65" s="37"/>
      <c r="N65" s="37"/>
      <c r="P65" s="33">
        <v>49</v>
      </c>
      <c r="Q65" s="37"/>
      <c r="R65" s="37"/>
      <c r="S65" s="37"/>
      <c r="T65" s="37"/>
    </row>
    <row r="66" spans="4:20" x14ac:dyDescent="0.4">
      <c r="D66" s="33">
        <v>50</v>
      </c>
      <c r="E66" s="37"/>
      <c r="F66" s="37"/>
      <c r="G66" s="37"/>
      <c r="H66" s="37"/>
      <c r="J66" s="33">
        <v>50</v>
      </c>
      <c r="K66" s="37"/>
      <c r="L66" s="37"/>
      <c r="M66" s="37"/>
      <c r="N66" s="37"/>
      <c r="P66" s="33">
        <v>50</v>
      </c>
      <c r="Q66" s="37"/>
      <c r="R66" s="37"/>
      <c r="S66" s="37"/>
      <c r="T66" s="37"/>
    </row>
    <row r="67" spans="4:20" x14ac:dyDescent="0.4">
      <c r="D67" s="33">
        <v>51</v>
      </c>
      <c r="E67" s="37"/>
      <c r="F67" s="37"/>
      <c r="G67" s="37"/>
      <c r="H67" s="37"/>
      <c r="J67" s="33">
        <v>51</v>
      </c>
      <c r="K67" s="37"/>
      <c r="L67" s="37"/>
      <c r="M67" s="37"/>
      <c r="N67" s="37"/>
      <c r="P67" s="33">
        <v>51</v>
      </c>
      <c r="Q67" s="37"/>
      <c r="R67" s="37"/>
      <c r="S67" s="37"/>
      <c r="T67" s="37"/>
    </row>
    <row r="68" spans="4:20" x14ac:dyDescent="0.4">
      <c r="D68" s="34">
        <v>52</v>
      </c>
      <c r="E68" s="38"/>
      <c r="F68" s="38"/>
      <c r="G68" s="38"/>
      <c r="H68" s="38"/>
      <c r="J68" s="34">
        <v>52</v>
      </c>
      <c r="K68" s="38"/>
      <c r="L68" s="38"/>
      <c r="M68" s="38"/>
      <c r="N68" s="38"/>
      <c r="P68" s="34">
        <v>52</v>
      </c>
      <c r="Q68" s="38"/>
      <c r="R68" s="38"/>
      <c r="S68" s="38"/>
      <c r="T68" s="38"/>
    </row>
  </sheetData>
  <mergeCells count="2">
    <mergeCell ref="I1:K1"/>
    <mergeCell ref="E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65DB5-7B70-4C19-AED0-AE324E74622B}">
  <dimension ref="A1:T68"/>
  <sheetViews>
    <sheetView topLeftCell="A4" zoomScale="77" zoomScaleNormal="77" workbookViewId="0">
      <selection activeCell="H28" sqref="H28"/>
    </sheetView>
  </sheetViews>
  <sheetFormatPr defaultRowHeight="14.6" x14ac:dyDescent="0.4"/>
  <cols>
    <col min="1" max="1" width="27" customWidth="1"/>
    <col min="5" max="5" width="32.15234375" customWidth="1"/>
    <col min="6" max="6" width="17.84375" customWidth="1"/>
    <col min="7" max="7" width="17.53515625" customWidth="1"/>
    <col min="8" max="8" width="25.61328125" customWidth="1"/>
    <col min="11" max="11" width="12.61328125" customWidth="1"/>
    <col min="13" max="13" width="10.84375" customWidth="1"/>
    <col min="14" max="14" width="12.61328125" customWidth="1"/>
    <col min="17" max="17" width="12.61328125" customWidth="1"/>
    <col min="19" max="19" width="9.84375" customWidth="1"/>
    <col min="20" max="20" width="12.53515625" customWidth="1"/>
  </cols>
  <sheetData>
    <row r="1" spans="1:20" ht="15" thickBot="1" x14ac:dyDescent="0.45">
      <c r="A1" s="72" t="s">
        <v>65</v>
      </c>
      <c r="I1" s="129" t="s">
        <v>48</v>
      </c>
      <c r="J1" s="129"/>
      <c r="K1" s="129"/>
    </row>
    <row r="2" spans="1:20" x14ac:dyDescent="0.4">
      <c r="A2" s="1" t="s">
        <v>0</v>
      </c>
      <c r="B2" s="24">
        <v>33701</v>
      </c>
      <c r="E2" s="133" t="s">
        <v>51</v>
      </c>
      <c r="F2" s="134"/>
      <c r="G2" s="135"/>
      <c r="H2" s="64" t="s">
        <v>60</v>
      </c>
      <c r="I2" s="2">
        <v>99.9</v>
      </c>
      <c r="J2" s="2">
        <v>99</v>
      </c>
      <c r="K2" s="44">
        <v>95</v>
      </c>
    </row>
    <row r="3" spans="1:20" x14ac:dyDescent="0.4">
      <c r="A3" s="1" t="s">
        <v>1</v>
      </c>
      <c r="B3" s="2">
        <v>820.98721061902052</v>
      </c>
      <c r="E3" s="68" t="s">
        <v>52</v>
      </c>
      <c r="F3" s="68">
        <v>2858.877</v>
      </c>
      <c r="G3" s="66" t="s">
        <v>41</v>
      </c>
      <c r="H3" s="42" t="s">
        <v>70</v>
      </c>
      <c r="I3" s="28">
        <f>B15</f>
        <v>1112.5668649430618</v>
      </c>
      <c r="J3" s="28">
        <f>B32</f>
        <v>999.23697059269921</v>
      </c>
      <c r="K3" s="42">
        <f>B49</f>
        <v>898.13048409452063</v>
      </c>
    </row>
    <row r="4" spans="1:20" x14ac:dyDescent="0.4">
      <c r="A4" s="1" t="s">
        <v>49</v>
      </c>
      <c r="B4" s="2">
        <v>365</v>
      </c>
      <c r="E4" s="69" t="s">
        <v>53</v>
      </c>
      <c r="F4" s="69">
        <v>740</v>
      </c>
      <c r="G4" s="66" t="s">
        <v>44</v>
      </c>
      <c r="H4" s="65" t="s">
        <v>71</v>
      </c>
      <c r="I4" s="46">
        <f>B3</f>
        <v>820.98721061902052</v>
      </c>
      <c r="J4" s="46">
        <f>B20</f>
        <v>820.98721061902052</v>
      </c>
      <c r="K4" s="28">
        <f>B37</f>
        <v>820.98721061902052</v>
      </c>
    </row>
    <row r="5" spans="1:20" x14ac:dyDescent="0.4">
      <c r="A5" s="1" t="s">
        <v>2</v>
      </c>
      <c r="B5" s="2">
        <v>6</v>
      </c>
      <c r="E5" s="69" t="s">
        <v>54</v>
      </c>
      <c r="F5" s="69">
        <v>74</v>
      </c>
      <c r="G5" s="66" t="s">
        <v>44</v>
      </c>
    </row>
    <row r="6" spans="1:20" x14ac:dyDescent="0.4">
      <c r="A6" s="1" t="s">
        <v>3</v>
      </c>
      <c r="B6" s="3">
        <f>B2/B4*B5</f>
        <v>553.98904109589034</v>
      </c>
      <c r="E6" s="70" t="s">
        <v>55</v>
      </c>
      <c r="F6" s="70">
        <f>0.7*F4</f>
        <v>518</v>
      </c>
      <c r="G6" s="67" t="s">
        <v>44</v>
      </c>
    </row>
    <row r="7" spans="1:20" x14ac:dyDescent="0.4">
      <c r="A7" s="6" t="s">
        <v>48</v>
      </c>
      <c r="B7" s="2">
        <v>99.9</v>
      </c>
    </row>
    <row r="8" spans="1:20" x14ac:dyDescent="0.4">
      <c r="A8" s="26" t="s">
        <v>4</v>
      </c>
      <c r="B8" s="27">
        <f>B2/B3</f>
        <v>41.049360530951027</v>
      </c>
      <c r="E8" s="43" t="s">
        <v>56</v>
      </c>
      <c r="F8" s="53">
        <v>99.9</v>
      </c>
      <c r="G8" s="53">
        <v>99</v>
      </c>
      <c r="H8" s="54">
        <v>95</v>
      </c>
    </row>
    <row r="9" spans="1:20" x14ac:dyDescent="0.4">
      <c r="A9" s="1" t="s">
        <v>5</v>
      </c>
      <c r="B9" s="4">
        <f>1-B10</f>
        <v>9.9999999999988987E-4</v>
      </c>
      <c r="E9" s="40" t="s">
        <v>57</v>
      </c>
      <c r="F9" s="51">
        <f>F4*COUNTIF(H17:H56,"&gt;0")*I4</f>
        <v>14580732.860593805</v>
      </c>
      <c r="G9" s="51">
        <f>F4*COUNTIF(N17:N56,"&gt;0")*J4</f>
        <v>14580732.860593805</v>
      </c>
      <c r="H9" s="50">
        <f>F4*COUNTIF(T17:T56,"&gt;0")*K4</f>
        <v>15188263.396451879</v>
      </c>
    </row>
    <row r="10" spans="1:20" x14ac:dyDescent="0.4">
      <c r="A10" s="1" t="s">
        <v>6</v>
      </c>
      <c r="B10" s="4">
        <f>B7*0.01</f>
        <v>0.99900000000000011</v>
      </c>
      <c r="E10" s="40" t="s">
        <v>58</v>
      </c>
      <c r="F10" s="52">
        <f>F5*SUMIF(G17:G56,"&gt;0",G17:G56)</f>
        <v>3162647.150782058</v>
      </c>
      <c r="G10" s="52">
        <f>F5*SUMIF(M17:M56,"&gt;0",M17:M56)</f>
        <v>3065093.552227064</v>
      </c>
      <c r="H10" s="50">
        <f>F5*SUMIF(S17:S56,"&gt;0",S17:S56)</f>
        <v>3496453.2966625202</v>
      </c>
    </row>
    <row r="11" spans="1:20" x14ac:dyDescent="0.4">
      <c r="A11" s="1" t="s">
        <v>7</v>
      </c>
      <c r="B11" s="5">
        <v>654.1</v>
      </c>
      <c r="E11" s="40" t="s">
        <v>59</v>
      </c>
      <c r="F11" s="52">
        <f>-F6*SUMIF(G17:G56,"&lt;0",G17:G56)</f>
        <v>823182.54552433977</v>
      </c>
      <c r="G11" s="52">
        <f>-F6*SUMIF(M17:M56,"&lt;0",M17:M56)</f>
        <v>990850.10584068904</v>
      </c>
      <c r="H11" s="50">
        <f>-F6*SUMIF(S17:S56,"&lt;0",S17:S56)</f>
        <v>182925.94098301462</v>
      </c>
    </row>
    <row r="12" spans="1:20" x14ac:dyDescent="0.4">
      <c r="A12" s="1" t="s">
        <v>8</v>
      </c>
      <c r="B12" s="5">
        <v>148.36000000000001</v>
      </c>
      <c r="E12" s="40" t="s">
        <v>61</v>
      </c>
      <c r="F12" s="52">
        <f>SUM(F9:F11)</f>
        <v>18566562.556900203</v>
      </c>
      <c r="G12" s="52">
        <f>SUM(G9:G11)</f>
        <v>18636676.518661559</v>
      </c>
      <c r="H12" s="50">
        <f>SUM(H9:H11)</f>
        <v>18867642.634097416</v>
      </c>
    </row>
    <row r="13" spans="1:20" x14ac:dyDescent="0.4">
      <c r="A13" s="6" t="s">
        <v>9</v>
      </c>
      <c r="B13" s="3">
        <f>NORMINV(B10,B11,B12)</f>
        <v>1112.5668649430618</v>
      </c>
      <c r="E13" s="41" t="s">
        <v>69</v>
      </c>
      <c r="F13" s="38">
        <f>COUNTIF(G17:G56,"&lt;0")</f>
        <v>11</v>
      </c>
      <c r="G13" s="38">
        <f>COUNTIF(M17:M56,"&lt;0")</f>
        <v>12</v>
      </c>
      <c r="H13" s="31">
        <f>COUNTIF(S17:S56,"&lt;0")</f>
        <v>2</v>
      </c>
    </row>
    <row r="14" spans="1:20" x14ac:dyDescent="0.4">
      <c r="A14" s="1" t="s">
        <v>10</v>
      </c>
      <c r="B14" s="3">
        <f>B6</f>
        <v>553.98904109589034</v>
      </c>
    </row>
    <row r="15" spans="1:20" x14ac:dyDescent="0.4">
      <c r="A15" s="1" t="s">
        <v>11</v>
      </c>
      <c r="B15" s="5">
        <f>B13</f>
        <v>1112.5668649430618</v>
      </c>
      <c r="E15" t="s">
        <v>68</v>
      </c>
      <c r="F15" s="30" t="s">
        <v>65</v>
      </c>
      <c r="L15" s="30" t="s">
        <v>66</v>
      </c>
      <c r="R15" s="30" t="s">
        <v>67</v>
      </c>
    </row>
    <row r="16" spans="1:20" x14ac:dyDescent="0.4">
      <c r="A16" s="6" t="s">
        <v>50</v>
      </c>
      <c r="B16" s="3">
        <f>B15-B14</f>
        <v>558.57782384717143</v>
      </c>
      <c r="D16" s="45" t="s">
        <v>62</v>
      </c>
      <c r="E16" s="45" t="s">
        <v>72</v>
      </c>
      <c r="F16" s="45" t="s">
        <v>0</v>
      </c>
      <c r="G16" s="45" t="s">
        <v>63</v>
      </c>
      <c r="H16" s="45" t="s">
        <v>64</v>
      </c>
      <c r="J16" s="45" t="s">
        <v>62</v>
      </c>
      <c r="K16" s="45" t="s">
        <v>72</v>
      </c>
      <c r="L16" s="45" t="s">
        <v>0</v>
      </c>
      <c r="M16" s="45" t="s">
        <v>63</v>
      </c>
      <c r="N16" s="49" t="s">
        <v>64</v>
      </c>
      <c r="P16" s="45" t="s">
        <v>62</v>
      </c>
      <c r="Q16" s="45" t="s">
        <v>72</v>
      </c>
      <c r="R16" s="45" t="s">
        <v>0</v>
      </c>
      <c r="S16" s="45" t="s">
        <v>63</v>
      </c>
      <c r="T16" s="49" t="s">
        <v>64</v>
      </c>
    </row>
    <row r="17" spans="1:20" x14ac:dyDescent="0.4">
      <c r="D17" s="32">
        <v>1</v>
      </c>
      <c r="E17" s="35">
        <v>2858.877</v>
      </c>
      <c r="F17" s="39"/>
      <c r="G17" s="39">
        <f t="shared" ref="G17:G31" si="0">E17-F17</f>
        <v>2858.877</v>
      </c>
      <c r="H17" s="35">
        <f t="shared" ref="H17:H56" si="1">IF(G17&lt;=$I$3,$I$4,0)</f>
        <v>0</v>
      </c>
      <c r="J17" s="32">
        <v>1</v>
      </c>
      <c r="K17" s="35">
        <v>2858.877</v>
      </c>
      <c r="L17" s="39"/>
      <c r="M17" s="47">
        <f t="shared" ref="M17:M31" si="2">K17-L17</f>
        <v>2858.877</v>
      </c>
      <c r="N17" s="35">
        <f t="shared" ref="N17:N56" si="3">IF(M17&lt;=$J$3,$J$4,0)</f>
        <v>0</v>
      </c>
      <c r="P17" s="32">
        <v>1</v>
      </c>
      <c r="Q17" s="35">
        <v>2858.877</v>
      </c>
      <c r="R17" s="39"/>
      <c r="S17" s="47">
        <f t="shared" ref="S17:S31" si="4">Q17-R17</f>
        <v>2858.877</v>
      </c>
      <c r="T17" s="35">
        <f t="shared" ref="T17:T56" si="5">IF(S17&lt;=$K$3,$K$4,0)</f>
        <v>0</v>
      </c>
    </row>
    <row r="18" spans="1:20" x14ac:dyDescent="0.4">
      <c r="A18" s="71" t="s">
        <v>66</v>
      </c>
      <c r="D18" s="33">
        <v>2</v>
      </c>
      <c r="E18" s="36">
        <f>G17</f>
        <v>2858.877</v>
      </c>
      <c r="F18" s="36"/>
      <c r="G18" s="36">
        <f t="shared" si="0"/>
        <v>2858.877</v>
      </c>
      <c r="H18" s="37">
        <f t="shared" si="1"/>
        <v>0</v>
      </c>
      <c r="J18" s="33">
        <v>2</v>
      </c>
      <c r="K18" s="36">
        <f>M17</f>
        <v>2858.877</v>
      </c>
      <c r="L18" s="36"/>
      <c r="M18" s="48">
        <f t="shared" si="2"/>
        <v>2858.877</v>
      </c>
      <c r="N18" s="37">
        <f t="shared" si="3"/>
        <v>0</v>
      </c>
      <c r="P18" s="33">
        <v>2</v>
      </c>
      <c r="Q18" s="36">
        <f>S17</f>
        <v>2858.877</v>
      </c>
      <c r="R18" s="36"/>
      <c r="S18" s="48">
        <f t="shared" si="4"/>
        <v>2858.877</v>
      </c>
      <c r="T18" s="37">
        <f t="shared" si="5"/>
        <v>0</v>
      </c>
    </row>
    <row r="19" spans="1:20" x14ac:dyDescent="0.4">
      <c r="A19" s="1" t="s">
        <v>0</v>
      </c>
      <c r="B19" s="2">
        <f>B2</f>
        <v>33701</v>
      </c>
      <c r="D19" s="33">
        <v>3</v>
      </c>
      <c r="E19" s="36">
        <f t="shared" ref="E19:E32" si="6">G18+H17</f>
        <v>2858.877</v>
      </c>
      <c r="F19" s="36"/>
      <c r="G19" s="36">
        <f t="shared" si="0"/>
        <v>2858.877</v>
      </c>
      <c r="H19" s="37">
        <f t="shared" si="1"/>
        <v>0</v>
      </c>
      <c r="J19" s="33">
        <v>3</v>
      </c>
      <c r="K19" s="36">
        <f t="shared" ref="K19:K32" si="7">M18+N17</f>
        <v>2858.877</v>
      </c>
      <c r="L19" s="36"/>
      <c r="M19" s="48">
        <f t="shared" si="2"/>
        <v>2858.877</v>
      </c>
      <c r="N19" s="37">
        <f t="shared" si="3"/>
        <v>0</v>
      </c>
      <c r="P19" s="33">
        <v>3</v>
      </c>
      <c r="Q19" s="36">
        <f t="shared" ref="Q19:Q32" si="8">S18+T17</f>
        <v>2858.877</v>
      </c>
      <c r="R19" s="36"/>
      <c r="S19" s="48">
        <f t="shared" si="4"/>
        <v>2858.877</v>
      </c>
      <c r="T19" s="37">
        <f t="shared" si="5"/>
        <v>0</v>
      </c>
    </row>
    <row r="20" spans="1:20" x14ac:dyDescent="0.4">
      <c r="A20" s="1" t="s">
        <v>1</v>
      </c>
      <c r="B20" s="2">
        <f>B3</f>
        <v>820.98721061902052</v>
      </c>
      <c r="D20" s="33">
        <v>4</v>
      </c>
      <c r="E20" s="36">
        <f t="shared" si="6"/>
        <v>2858.877</v>
      </c>
      <c r="F20" s="36"/>
      <c r="G20" s="36">
        <f t="shared" si="0"/>
        <v>2858.877</v>
      </c>
      <c r="H20" s="37">
        <f t="shared" si="1"/>
        <v>0</v>
      </c>
      <c r="J20" s="33">
        <v>4</v>
      </c>
      <c r="K20" s="36">
        <f t="shared" si="7"/>
        <v>2858.877</v>
      </c>
      <c r="L20" s="36"/>
      <c r="M20" s="48">
        <f t="shared" si="2"/>
        <v>2858.877</v>
      </c>
      <c r="N20" s="37">
        <f t="shared" si="3"/>
        <v>0</v>
      </c>
      <c r="P20" s="33">
        <v>4</v>
      </c>
      <c r="Q20" s="36">
        <f t="shared" si="8"/>
        <v>2858.877</v>
      </c>
      <c r="R20" s="36"/>
      <c r="S20" s="48">
        <f t="shared" si="4"/>
        <v>2858.877</v>
      </c>
      <c r="T20" s="37">
        <f t="shared" si="5"/>
        <v>0</v>
      </c>
    </row>
    <row r="21" spans="1:20" x14ac:dyDescent="0.4">
      <c r="A21" s="1" t="s">
        <v>49</v>
      </c>
      <c r="B21" s="2">
        <v>365</v>
      </c>
      <c r="D21" s="33">
        <v>5</v>
      </c>
      <c r="E21" s="36">
        <f t="shared" si="6"/>
        <v>2858.877</v>
      </c>
      <c r="F21" s="36"/>
      <c r="G21" s="36">
        <f t="shared" si="0"/>
        <v>2858.877</v>
      </c>
      <c r="H21" s="37">
        <f t="shared" si="1"/>
        <v>0</v>
      </c>
      <c r="J21" s="33">
        <v>5</v>
      </c>
      <c r="K21" s="36">
        <f t="shared" si="7"/>
        <v>2858.877</v>
      </c>
      <c r="L21" s="36"/>
      <c r="M21" s="48">
        <f t="shared" si="2"/>
        <v>2858.877</v>
      </c>
      <c r="N21" s="37">
        <f t="shared" si="3"/>
        <v>0</v>
      </c>
      <c r="P21" s="33">
        <v>5</v>
      </c>
      <c r="Q21" s="36">
        <f t="shared" si="8"/>
        <v>2858.877</v>
      </c>
      <c r="R21" s="36"/>
      <c r="S21" s="48">
        <f t="shared" si="4"/>
        <v>2858.877</v>
      </c>
      <c r="T21" s="37">
        <f t="shared" si="5"/>
        <v>0</v>
      </c>
    </row>
    <row r="22" spans="1:20" x14ac:dyDescent="0.4">
      <c r="A22" s="1" t="s">
        <v>2</v>
      </c>
      <c r="B22" s="2">
        <v>6</v>
      </c>
      <c r="D22" s="33">
        <v>6</v>
      </c>
      <c r="E22" s="36">
        <f t="shared" si="6"/>
        <v>2858.877</v>
      </c>
      <c r="F22" s="36"/>
      <c r="G22" s="36">
        <f t="shared" si="0"/>
        <v>2858.877</v>
      </c>
      <c r="H22" s="37">
        <f t="shared" si="1"/>
        <v>0</v>
      </c>
      <c r="J22" s="33">
        <v>6</v>
      </c>
      <c r="K22" s="36">
        <f t="shared" si="7"/>
        <v>2858.877</v>
      </c>
      <c r="L22" s="36"/>
      <c r="M22" s="48">
        <f t="shared" si="2"/>
        <v>2858.877</v>
      </c>
      <c r="N22" s="37">
        <f t="shared" si="3"/>
        <v>0</v>
      </c>
      <c r="P22" s="33">
        <v>6</v>
      </c>
      <c r="Q22" s="36">
        <f t="shared" si="8"/>
        <v>2858.877</v>
      </c>
      <c r="R22" s="36"/>
      <c r="S22" s="48">
        <f t="shared" si="4"/>
        <v>2858.877</v>
      </c>
      <c r="T22" s="37">
        <f t="shared" si="5"/>
        <v>0</v>
      </c>
    </row>
    <row r="23" spans="1:20" x14ac:dyDescent="0.4">
      <c r="A23" s="1" t="s">
        <v>3</v>
      </c>
      <c r="B23" s="3">
        <f>B19/B21*B22</f>
        <v>553.98904109589034</v>
      </c>
      <c r="D23" s="33">
        <v>7</v>
      </c>
      <c r="E23" s="36">
        <f t="shared" si="6"/>
        <v>2858.877</v>
      </c>
      <c r="F23" s="36"/>
      <c r="G23" s="36">
        <f t="shared" si="0"/>
        <v>2858.877</v>
      </c>
      <c r="H23" s="37">
        <f t="shared" si="1"/>
        <v>0</v>
      </c>
      <c r="J23" s="33">
        <v>7</v>
      </c>
      <c r="K23" s="36">
        <f t="shared" si="7"/>
        <v>2858.877</v>
      </c>
      <c r="L23" s="36"/>
      <c r="M23" s="48">
        <f t="shared" si="2"/>
        <v>2858.877</v>
      </c>
      <c r="N23" s="37">
        <f t="shared" si="3"/>
        <v>0</v>
      </c>
      <c r="P23" s="33">
        <v>7</v>
      </c>
      <c r="Q23" s="36">
        <f t="shared" si="8"/>
        <v>2858.877</v>
      </c>
      <c r="R23" s="36"/>
      <c r="S23" s="48">
        <f t="shared" si="4"/>
        <v>2858.877</v>
      </c>
      <c r="T23" s="37">
        <f t="shared" si="5"/>
        <v>0</v>
      </c>
    </row>
    <row r="24" spans="1:20" x14ac:dyDescent="0.4">
      <c r="A24" s="6" t="s">
        <v>48</v>
      </c>
      <c r="B24" s="2">
        <v>99</v>
      </c>
      <c r="D24" s="33">
        <v>8</v>
      </c>
      <c r="E24" s="36">
        <f t="shared" si="6"/>
        <v>2858.877</v>
      </c>
      <c r="F24" s="36"/>
      <c r="G24" s="36">
        <f t="shared" si="0"/>
        <v>2858.877</v>
      </c>
      <c r="H24" s="37">
        <f t="shared" si="1"/>
        <v>0</v>
      </c>
      <c r="J24" s="33">
        <v>8</v>
      </c>
      <c r="K24" s="36">
        <f t="shared" si="7"/>
        <v>2858.877</v>
      </c>
      <c r="L24" s="36"/>
      <c r="M24" s="48">
        <f t="shared" si="2"/>
        <v>2858.877</v>
      </c>
      <c r="N24" s="37">
        <f t="shared" si="3"/>
        <v>0</v>
      </c>
      <c r="P24" s="33">
        <v>8</v>
      </c>
      <c r="Q24" s="36">
        <f t="shared" si="8"/>
        <v>2858.877</v>
      </c>
      <c r="R24" s="36"/>
      <c r="S24" s="48">
        <f t="shared" si="4"/>
        <v>2858.877</v>
      </c>
      <c r="T24" s="37">
        <f t="shared" si="5"/>
        <v>0</v>
      </c>
    </row>
    <row r="25" spans="1:20" x14ac:dyDescent="0.4">
      <c r="A25" s="26" t="s">
        <v>4</v>
      </c>
      <c r="B25" s="27">
        <f>B19/B20</f>
        <v>41.049360530951027</v>
      </c>
      <c r="D25" s="33">
        <v>9</v>
      </c>
      <c r="E25" s="36">
        <f t="shared" si="6"/>
        <v>2858.877</v>
      </c>
      <c r="F25" s="36">
        <v>357.27777777777771</v>
      </c>
      <c r="G25" s="36">
        <f t="shared" si="0"/>
        <v>2501.5992222222221</v>
      </c>
      <c r="H25" s="37">
        <f t="shared" si="1"/>
        <v>0</v>
      </c>
      <c r="J25" s="33">
        <v>9</v>
      </c>
      <c r="K25" s="36">
        <f t="shared" si="7"/>
        <v>2858.877</v>
      </c>
      <c r="L25" s="36">
        <v>357.27777777777771</v>
      </c>
      <c r="M25" s="48">
        <f t="shared" si="2"/>
        <v>2501.5992222222221</v>
      </c>
      <c r="N25" s="37">
        <f t="shared" si="3"/>
        <v>0</v>
      </c>
      <c r="P25" s="33">
        <v>9</v>
      </c>
      <c r="Q25" s="36">
        <f t="shared" si="8"/>
        <v>2858.877</v>
      </c>
      <c r="R25" s="36">
        <v>357.27777777777771</v>
      </c>
      <c r="S25" s="48">
        <f t="shared" si="4"/>
        <v>2501.5992222222221</v>
      </c>
      <c r="T25" s="37">
        <f t="shared" si="5"/>
        <v>0</v>
      </c>
    </row>
    <row r="26" spans="1:20" x14ac:dyDescent="0.4">
      <c r="A26" s="1" t="s">
        <v>5</v>
      </c>
      <c r="B26" s="4">
        <f>1-B27</f>
        <v>1.0000000000000009E-2</v>
      </c>
      <c r="D26" s="33">
        <v>10</v>
      </c>
      <c r="E26" s="36">
        <f t="shared" si="6"/>
        <v>2501.5992222222221</v>
      </c>
      <c r="F26" s="36">
        <v>405.6944444444444</v>
      </c>
      <c r="G26" s="36">
        <f t="shared" si="0"/>
        <v>2095.9047777777778</v>
      </c>
      <c r="H26" s="37">
        <f t="shared" si="1"/>
        <v>0</v>
      </c>
      <c r="J26" s="33">
        <v>10</v>
      </c>
      <c r="K26" s="36">
        <f t="shared" si="7"/>
        <v>2501.5992222222221</v>
      </c>
      <c r="L26" s="36">
        <v>405.6944444444444</v>
      </c>
      <c r="M26" s="48">
        <f t="shared" si="2"/>
        <v>2095.9047777777778</v>
      </c>
      <c r="N26" s="37">
        <f t="shared" si="3"/>
        <v>0</v>
      </c>
      <c r="P26" s="33">
        <v>10</v>
      </c>
      <c r="Q26" s="36">
        <f t="shared" si="8"/>
        <v>2501.5992222222221</v>
      </c>
      <c r="R26" s="36">
        <v>405.6944444444444</v>
      </c>
      <c r="S26" s="48">
        <f t="shared" si="4"/>
        <v>2095.9047777777778</v>
      </c>
      <c r="T26" s="37">
        <f t="shared" si="5"/>
        <v>0</v>
      </c>
    </row>
    <row r="27" spans="1:20" x14ac:dyDescent="0.4">
      <c r="A27" s="1" t="s">
        <v>6</v>
      </c>
      <c r="B27" s="4">
        <f>B24*0.01</f>
        <v>0.99</v>
      </c>
      <c r="D27" s="33">
        <v>11</v>
      </c>
      <c r="E27" s="36">
        <f t="shared" si="6"/>
        <v>2095.9047777777778</v>
      </c>
      <c r="F27" s="36">
        <v>476</v>
      </c>
      <c r="G27" s="36">
        <f t="shared" si="0"/>
        <v>1619.9047777777778</v>
      </c>
      <c r="H27" s="37">
        <f t="shared" si="1"/>
        <v>0</v>
      </c>
      <c r="J27" s="33">
        <v>11</v>
      </c>
      <c r="K27" s="36">
        <f t="shared" si="7"/>
        <v>2095.9047777777778</v>
      </c>
      <c r="L27" s="36">
        <v>476</v>
      </c>
      <c r="M27" s="48">
        <f t="shared" si="2"/>
        <v>1619.9047777777778</v>
      </c>
      <c r="N27" s="37">
        <f t="shared" si="3"/>
        <v>0</v>
      </c>
      <c r="P27" s="33">
        <v>11</v>
      </c>
      <c r="Q27" s="36">
        <f t="shared" si="8"/>
        <v>2095.9047777777778</v>
      </c>
      <c r="R27" s="36">
        <v>476</v>
      </c>
      <c r="S27" s="48">
        <f t="shared" si="4"/>
        <v>1619.9047777777778</v>
      </c>
      <c r="T27" s="37">
        <f t="shared" si="5"/>
        <v>0</v>
      </c>
    </row>
    <row r="28" spans="1:20" x14ac:dyDescent="0.4">
      <c r="A28" s="1" t="s">
        <v>7</v>
      </c>
      <c r="B28" s="5">
        <f>B11</f>
        <v>654.1</v>
      </c>
      <c r="D28" s="33">
        <v>12</v>
      </c>
      <c r="E28" s="36">
        <f t="shared" si="6"/>
        <v>1619.9047777777778</v>
      </c>
      <c r="F28" s="36">
        <v>469.69444444444446</v>
      </c>
      <c r="G28" s="36">
        <f t="shared" si="0"/>
        <v>1150.2103333333334</v>
      </c>
      <c r="H28" s="37">
        <f t="shared" si="1"/>
        <v>0</v>
      </c>
      <c r="J28" s="33">
        <v>12</v>
      </c>
      <c r="K28" s="36">
        <f t="shared" si="7"/>
        <v>1619.9047777777778</v>
      </c>
      <c r="L28" s="36">
        <v>469.69444444444446</v>
      </c>
      <c r="M28" s="48">
        <f t="shared" si="2"/>
        <v>1150.2103333333334</v>
      </c>
      <c r="N28" s="37">
        <f t="shared" si="3"/>
        <v>0</v>
      </c>
      <c r="P28" s="33">
        <v>12</v>
      </c>
      <c r="Q28" s="36">
        <f t="shared" si="8"/>
        <v>1619.9047777777778</v>
      </c>
      <c r="R28" s="36">
        <v>469.69444444444446</v>
      </c>
      <c r="S28" s="48">
        <f t="shared" si="4"/>
        <v>1150.2103333333334</v>
      </c>
      <c r="T28" s="37">
        <f t="shared" si="5"/>
        <v>0</v>
      </c>
    </row>
    <row r="29" spans="1:20" x14ac:dyDescent="0.4">
      <c r="A29" s="1" t="s">
        <v>8</v>
      </c>
      <c r="B29" s="5">
        <v>148.36000000000001</v>
      </c>
      <c r="D29" s="33">
        <v>13</v>
      </c>
      <c r="E29" s="36">
        <f t="shared" si="6"/>
        <v>1150.2103333333334</v>
      </c>
      <c r="F29" s="36">
        <v>489.52777777777771</v>
      </c>
      <c r="G29" s="36">
        <f t="shared" si="0"/>
        <v>660.68255555555572</v>
      </c>
      <c r="H29" s="37">
        <f t="shared" si="1"/>
        <v>820.98721061902052</v>
      </c>
      <c r="J29" s="33">
        <v>13</v>
      </c>
      <c r="K29" s="36">
        <f t="shared" si="7"/>
        <v>1150.2103333333334</v>
      </c>
      <c r="L29" s="36">
        <v>489.52777777777771</v>
      </c>
      <c r="M29" s="48">
        <f t="shared" si="2"/>
        <v>660.68255555555572</v>
      </c>
      <c r="N29" s="37">
        <f t="shared" si="3"/>
        <v>820.98721061902052</v>
      </c>
      <c r="P29" s="33">
        <v>13</v>
      </c>
      <c r="Q29" s="36">
        <f t="shared" si="8"/>
        <v>1150.2103333333334</v>
      </c>
      <c r="R29" s="36">
        <v>489.52777777777771</v>
      </c>
      <c r="S29" s="48">
        <f t="shared" si="4"/>
        <v>660.68255555555572</v>
      </c>
      <c r="T29" s="37">
        <f t="shared" si="5"/>
        <v>820.98721061902052</v>
      </c>
    </row>
    <row r="30" spans="1:20" x14ac:dyDescent="0.4">
      <c r="A30" s="6" t="s">
        <v>9</v>
      </c>
      <c r="B30" s="3">
        <f>NORMINV(B27,B28,B29)</f>
        <v>999.23697059269921</v>
      </c>
      <c r="D30" s="33">
        <v>14</v>
      </c>
      <c r="E30" s="36">
        <f t="shared" si="6"/>
        <v>660.68255555555572</v>
      </c>
      <c r="F30" s="36">
        <v>470.52777777777771</v>
      </c>
      <c r="G30" s="36">
        <f t="shared" si="0"/>
        <v>190.15477777777801</v>
      </c>
      <c r="H30" s="37">
        <f t="shared" si="1"/>
        <v>820.98721061902052</v>
      </c>
      <c r="J30" s="33">
        <v>14</v>
      </c>
      <c r="K30" s="36">
        <f t="shared" si="7"/>
        <v>660.68255555555572</v>
      </c>
      <c r="L30" s="36">
        <v>470.52777777777771</v>
      </c>
      <c r="M30" s="48">
        <f t="shared" si="2"/>
        <v>190.15477777777801</v>
      </c>
      <c r="N30" s="37">
        <f t="shared" si="3"/>
        <v>820.98721061902052</v>
      </c>
      <c r="P30" s="33">
        <v>14</v>
      </c>
      <c r="Q30" s="36">
        <f t="shared" si="8"/>
        <v>660.68255555555572</v>
      </c>
      <c r="R30" s="36">
        <v>470.52777777777771</v>
      </c>
      <c r="S30" s="48">
        <f t="shared" si="4"/>
        <v>190.15477777777801</v>
      </c>
      <c r="T30" s="37">
        <f t="shared" si="5"/>
        <v>820.98721061902052</v>
      </c>
    </row>
    <row r="31" spans="1:20" x14ac:dyDescent="0.4">
      <c r="A31" s="1" t="s">
        <v>10</v>
      </c>
      <c r="B31" s="3">
        <f>B23</f>
        <v>553.98904109589034</v>
      </c>
      <c r="D31" s="33">
        <v>15</v>
      </c>
      <c r="E31" s="36">
        <f t="shared" si="6"/>
        <v>1011.1419883967985</v>
      </c>
      <c r="F31" s="36">
        <v>500.77777777777771</v>
      </c>
      <c r="G31" s="36">
        <f t="shared" si="0"/>
        <v>510.36421061902081</v>
      </c>
      <c r="H31" s="37">
        <f t="shared" si="1"/>
        <v>820.98721061902052</v>
      </c>
      <c r="J31" s="33">
        <v>15</v>
      </c>
      <c r="K31" s="36">
        <f t="shared" si="7"/>
        <v>1011.1419883967985</v>
      </c>
      <c r="L31" s="36">
        <v>500.77777777777771</v>
      </c>
      <c r="M31" s="48">
        <f t="shared" si="2"/>
        <v>510.36421061902081</v>
      </c>
      <c r="N31" s="37">
        <f t="shared" si="3"/>
        <v>820.98721061902052</v>
      </c>
      <c r="P31" s="33">
        <v>15</v>
      </c>
      <c r="Q31" s="36">
        <f t="shared" si="8"/>
        <v>1011.1419883967985</v>
      </c>
      <c r="R31" s="36">
        <v>500.77777777777771</v>
      </c>
      <c r="S31" s="48">
        <f t="shared" si="4"/>
        <v>510.36421061902081</v>
      </c>
      <c r="T31" s="37">
        <f t="shared" si="5"/>
        <v>820.98721061902052</v>
      </c>
    </row>
    <row r="32" spans="1:20" x14ac:dyDescent="0.4">
      <c r="A32" s="1" t="s">
        <v>11</v>
      </c>
      <c r="B32" s="5">
        <f>B30</f>
        <v>999.23697059269921</v>
      </c>
      <c r="D32" s="33">
        <v>16</v>
      </c>
      <c r="E32" s="36">
        <f t="shared" si="6"/>
        <v>1331.3514212380414</v>
      </c>
      <c r="F32" s="36">
        <v>487.08333333333326</v>
      </c>
      <c r="G32" s="36">
        <f t="shared" ref="G32:G56" si="9">E32-F32</f>
        <v>844.26808790470818</v>
      </c>
      <c r="H32" s="37">
        <f t="shared" si="1"/>
        <v>820.98721061902052</v>
      </c>
      <c r="J32" s="33">
        <v>16</v>
      </c>
      <c r="K32" s="36">
        <f t="shared" si="7"/>
        <v>1331.3514212380414</v>
      </c>
      <c r="L32" s="36">
        <v>487.08333333333326</v>
      </c>
      <c r="M32" s="48">
        <f t="shared" ref="M32:M56" si="10">K32-L32</f>
        <v>844.26808790470818</v>
      </c>
      <c r="N32" s="37">
        <f t="shared" si="3"/>
        <v>820.98721061902052</v>
      </c>
      <c r="P32" s="33">
        <v>16</v>
      </c>
      <c r="Q32" s="36">
        <f t="shared" si="8"/>
        <v>1331.3514212380414</v>
      </c>
      <c r="R32" s="36">
        <v>487.08333333333326</v>
      </c>
      <c r="S32" s="48">
        <f t="shared" ref="S32:S56" si="11">Q32-R32</f>
        <v>844.26808790470818</v>
      </c>
      <c r="T32" s="37">
        <f t="shared" si="5"/>
        <v>820.98721061902052</v>
      </c>
    </row>
    <row r="33" spans="1:20" x14ac:dyDescent="0.4">
      <c r="A33" s="6" t="s">
        <v>50</v>
      </c>
      <c r="B33" s="3">
        <f>B32-B31</f>
        <v>445.24792949680887</v>
      </c>
      <c r="D33" s="33">
        <v>17</v>
      </c>
      <c r="E33" s="36">
        <f t="shared" ref="E33:E55" si="12">G32+H31</f>
        <v>1665.2552985237287</v>
      </c>
      <c r="F33" s="36">
        <v>468.86111111111109</v>
      </c>
      <c r="G33" s="36">
        <f t="shared" si="9"/>
        <v>1196.3941874126176</v>
      </c>
      <c r="H33" s="37">
        <f t="shared" si="1"/>
        <v>0</v>
      </c>
      <c r="J33" s="33">
        <v>17</v>
      </c>
      <c r="K33" s="36">
        <f t="shared" ref="K33:K56" si="13">M32+N31</f>
        <v>1665.2552985237287</v>
      </c>
      <c r="L33" s="36">
        <v>468.86111111111109</v>
      </c>
      <c r="M33" s="48">
        <f t="shared" si="10"/>
        <v>1196.3941874126176</v>
      </c>
      <c r="N33" s="37">
        <f t="shared" si="3"/>
        <v>0</v>
      </c>
      <c r="P33" s="33">
        <v>17</v>
      </c>
      <c r="Q33" s="36">
        <f t="shared" ref="Q33:Q56" si="14">S32+T31</f>
        <v>1665.2552985237287</v>
      </c>
      <c r="R33" s="36">
        <v>468.86111111111109</v>
      </c>
      <c r="S33" s="48">
        <f t="shared" si="11"/>
        <v>1196.3941874126176</v>
      </c>
      <c r="T33" s="37">
        <f t="shared" si="5"/>
        <v>0</v>
      </c>
    </row>
    <row r="34" spans="1:20" x14ac:dyDescent="0.4">
      <c r="D34" s="33">
        <v>18</v>
      </c>
      <c r="E34" s="36">
        <f t="shared" si="12"/>
        <v>2017.3813980316381</v>
      </c>
      <c r="F34" s="36">
        <v>525.27777777777783</v>
      </c>
      <c r="G34" s="36">
        <f t="shared" si="9"/>
        <v>1492.1036202538603</v>
      </c>
      <c r="H34" s="37">
        <f t="shared" si="1"/>
        <v>0</v>
      </c>
      <c r="J34" s="33">
        <v>18</v>
      </c>
      <c r="K34" s="36">
        <f t="shared" si="13"/>
        <v>2017.3813980316381</v>
      </c>
      <c r="L34" s="36">
        <v>525.27777777777783</v>
      </c>
      <c r="M34" s="48">
        <f t="shared" si="10"/>
        <v>1492.1036202538603</v>
      </c>
      <c r="N34" s="37">
        <f t="shared" si="3"/>
        <v>0</v>
      </c>
      <c r="P34" s="33">
        <v>18</v>
      </c>
      <c r="Q34" s="36">
        <f t="shared" si="14"/>
        <v>2017.3813980316381</v>
      </c>
      <c r="R34" s="36">
        <v>525.27777777777783</v>
      </c>
      <c r="S34" s="48">
        <f t="shared" si="11"/>
        <v>1492.1036202538603</v>
      </c>
      <c r="T34" s="37">
        <f t="shared" si="5"/>
        <v>0</v>
      </c>
    </row>
    <row r="35" spans="1:20" x14ac:dyDescent="0.4">
      <c r="A35" s="71" t="s">
        <v>67</v>
      </c>
      <c r="D35" s="33">
        <v>19</v>
      </c>
      <c r="E35" s="36">
        <f t="shared" si="12"/>
        <v>1492.1036202538603</v>
      </c>
      <c r="F35" s="36">
        <v>536.11111111111109</v>
      </c>
      <c r="G35" s="36">
        <f t="shared" si="9"/>
        <v>955.99250914274921</v>
      </c>
      <c r="H35" s="37">
        <f t="shared" si="1"/>
        <v>820.98721061902052</v>
      </c>
      <c r="J35" s="33">
        <v>19</v>
      </c>
      <c r="K35" s="36">
        <f t="shared" si="13"/>
        <v>1492.1036202538603</v>
      </c>
      <c r="L35" s="36">
        <v>536.11111111111109</v>
      </c>
      <c r="M35" s="48">
        <f t="shared" si="10"/>
        <v>955.99250914274921</v>
      </c>
      <c r="N35" s="37">
        <f t="shared" si="3"/>
        <v>820.98721061902052</v>
      </c>
      <c r="P35" s="33">
        <v>19</v>
      </c>
      <c r="Q35" s="36">
        <f t="shared" si="14"/>
        <v>1492.1036202538603</v>
      </c>
      <c r="R35" s="36">
        <v>536.11111111111109</v>
      </c>
      <c r="S35" s="48">
        <f t="shared" si="11"/>
        <v>955.99250914274921</v>
      </c>
      <c r="T35" s="37">
        <f t="shared" si="5"/>
        <v>0</v>
      </c>
    </row>
    <row r="36" spans="1:20" x14ac:dyDescent="0.4">
      <c r="A36" s="1" t="s">
        <v>0</v>
      </c>
      <c r="B36" s="2">
        <f>B2</f>
        <v>33701</v>
      </c>
      <c r="D36" s="33">
        <v>20</v>
      </c>
      <c r="E36" s="36">
        <f t="shared" si="12"/>
        <v>955.99250914274921</v>
      </c>
      <c r="F36" s="36">
        <v>602.58333333333326</v>
      </c>
      <c r="G36" s="36">
        <f t="shared" si="9"/>
        <v>353.40917580941596</v>
      </c>
      <c r="H36" s="37">
        <f t="shared" si="1"/>
        <v>820.98721061902052</v>
      </c>
      <c r="J36" s="33">
        <v>20</v>
      </c>
      <c r="K36" s="36">
        <f t="shared" si="13"/>
        <v>955.99250914274921</v>
      </c>
      <c r="L36" s="36">
        <v>602.58333333333326</v>
      </c>
      <c r="M36" s="48">
        <f t="shared" si="10"/>
        <v>353.40917580941596</v>
      </c>
      <c r="N36" s="37">
        <f t="shared" si="3"/>
        <v>820.98721061902052</v>
      </c>
      <c r="P36" s="33">
        <v>20</v>
      </c>
      <c r="Q36" s="36">
        <f t="shared" si="14"/>
        <v>955.99250914274921</v>
      </c>
      <c r="R36" s="36">
        <v>602.58333333333326</v>
      </c>
      <c r="S36" s="48">
        <f t="shared" si="11"/>
        <v>353.40917580941596</v>
      </c>
      <c r="T36" s="37">
        <f t="shared" si="5"/>
        <v>820.98721061902052</v>
      </c>
    </row>
    <row r="37" spans="1:20" x14ac:dyDescent="0.4">
      <c r="A37" s="1" t="s">
        <v>1</v>
      </c>
      <c r="B37" s="2">
        <f>B3</f>
        <v>820.98721061902052</v>
      </c>
      <c r="D37" s="33">
        <v>21</v>
      </c>
      <c r="E37" s="36">
        <f t="shared" si="12"/>
        <v>1174.3963864284365</v>
      </c>
      <c r="F37" s="36">
        <v>610.52777777777771</v>
      </c>
      <c r="G37" s="36">
        <f t="shared" si="9"/>
        <v>563.86860865065876</v>
      </c>
      <c r="H37" s="37">
        <f t="shared" si="1"/>
        <v>820.98721061902052</v>
      </c>
      <c r="J37" s="33">
        <v>21</v>
      </c>
      <c r="K37" s="36">
        <f t="shared" si="13"/>
        <v>1174.3963864284365</v>
      </c>
      <c r="L37" s="36">
        <v>610.52777777777771</v>
      </c>
      <c r="M37" s="48">
        <f t="shared" si="10"/>
        <v>563.86860865065876</v>
      </c>
      <c r="N37" s="37">
        <f t="shared" si="3"/>
        <v>820.98721061902052</v>
      </c>
      <c r="P37" s="33">
        <v>21</v>
      </c>
      <c r="Q37" s="36">
        <f t="shared" si="14"/>
        <v>353.40917580941596</v>
      </c>
      <c r="R37" s="36">
        <v>610.52777777777771</v>
      </c>
      <c r="S37" s="48">
        <f t="shared" si="11"/>
        <v>-257.11860196836176</v>
      </c>
      <c r="T37" s="37">
        <f t="shared" si="5"/>
        <v>820.98721061902052</v>
      </c>
    </row>
    <row r="38" spans="1:20" x14ac:dyDescent="0.4">
      <c r="A38" s="1" t="s">
        <v>49</v>
      </c>
      <c r="B38" s="2">
        <v>365</v>
      </c>
      <c r="D38" s="33">
        <v>22</v>
      </c>
      <c r="E38" s="36">
        <f t="shared" si="12"/>
        <v>1384.8558192696792</v>
      </c>
      <c r="F38" s="36">
        <v>659.88888888888891</v>
      </c>
      <c r="G38" s="36">
        <f t="shared" si="9"/>
        <v>724.96693038079025</v>
      </c>
      <c r="H38" s="37">
        <f t="shared" si="1"/>
        <v>820.98721061902052</v>
      </c>
      <c r="J38" s="33">
        <v>22</v>
      </c>
      <c r="K38" s="36">
        <f t="shared" si="13"/>
        <v>1384.8558192696792</v>
      </c>
      <c r="L38" s="36">
        <v>659.88888888888891</v>
      </c>
      <c r="M38" s="48">
        <f t="shared" si="10"/>
        <v>724.96693038079025</v>
      </c>
      <c r="N38" s="37">
        <f t="shared" si="3"/>
        <v>820.98721061902052</v>
      </c>
      <c r="P38" s="33">
        <v>22</v>
      </c>
      <c r="Q38" s="36">
        <f t="shared" si="14"/>
        <v>563.86860865065876</v>
      </c>
      <c r="R38" s="36">
        <v>659.88888888888891</v>
      </c>
      <c r="S38" s="48">
        <f t="shared" si="11"/>
        <v>-96.020280238230157</v>
      </c>
      <c r="T38" s="37">
        <f t="shared" si="5"/>
        <v>820.98721061902052</v>
      </c>
    </row>
    <row r="39" spans="1:20" x14ac:dyDescent="0.4">
      <c r="A39" s="1" t="s">
        <v>2</v>
      </c>
      <c r="B39" s="2">
        <v>6</v>
      </c>
      <c r="D39" s="33">
        <v>23</v>
      </c>
      <c r="E39" s="36">
        <f t="shared" si="12"/>
        <v>1545.9541409998108</v>
      </c>
      <c r="F39" s="36">
        <v>642.38888888888891</v>
      </c>
      <c r="G39" s="36">
        <f t="shared" si="9"/>
        <v>903.56525211092185</v>
      </c>
      <c r="H39" s="37">
        <f t="shared" si="1"/>
        <v>820.98721061902052</v>
      </c>
      <c r="J39" s="33">
        <v>23</v>
      </c>
      <c r="K39" s="36">
        <f t="shared" si="13"/>
        <v>1545.9541409998108</v>
      </c>
      <c r="L39" s="36">
        <v>642.38888888888891</v>
      </c>
      <c r="M39" s="48">
        <f t="shared" si="10"/>
        <v>903.56525211092185</v>
      </c>
      <c r="N39" s="37">
        <f t="shared" si="3"/>
        <v>820.98721061902052</v>
      </c>
      <c r="P39" s="33">
        <v>23</v>
      </c>
      <c r="Q39" s="36">
        <f t="shared" si="14"/>
        <v>724.96693038079036</v>
      </c>
      <c r="R39" s="36">
        <v>642.38888888888891</v>
      </c>
      <c r="S39" s="48">
        <f t="shared" si="11"/>
        <v>82.578041491901445</v>
      </c>
      <c r="T39" s="37">
        <f t="shared" si="5"/>
        <v>820.98721061902052</v>
      </c>
    </row>
    <row r="40" spans="1:20" x14ac:dyDescent="0.4">
      <c r="A40" s="1" t="s">
        <v>3</v>
      </c>
      <c r="B40" s="3">
        <f>B36/B38*B39</f>
        <v>553.98904109589034</v>
      </c>
      <c r="D40" s="33">
        <v>24</v>
      </c>
      <c r="E40" s="36">
        <f t="shared" si="12"/>
        <v>1724.5524627299424</v>
      </c>
      <c r="F40" s="36">
        <v>644.72222222222217</v>
      </c>
      <c r="G40" s="36">
        <f t="shared" si="9"/>
        <v>1079.8302405077202</v>
      </c>
      <c r="H40" s="37">
        <f t="shared" si="1"/>
        <v>820.98721061902052</v>
      </c>
      <c r="J40" s="33">
        <v>24</v>
      </c>
      <c r="K40" s="36">
        <f t="shared" si="13"/>
        <v>1724.5524627299424</v>
      </c>
      <c r="L40" s="36">
        <v>644.72222222222217</v>
      </c>
      <c r="M40" s="48">
        <f t="shared" si="10"/>
        <v>1079.8302405077202</v>
      </c>
      <c r="N40" s="37">
        <f t="shared" si="3"/>
        <v>0</v>
      </c>
      <c r="P40" s="33">
        <v>24</v>
      </c>
      <c r="Q40" s="36">
        <f t="shared" si="14"/>
        <v>903.56525211092196</v>
      </c>
      <c r="R40" s="36">
        <v>644.72222222222217</v>
      </c>
      <c r="S40" s="48">
        <f t="shared" si="11"/>
        <v>258.84302988869979</v>
      </c>
      <c r="T40" s="37">
        <f t="shared" si="5"/>
        <v>820.98721061902052</v>
      </c>
    </row>
    <row r="41" spans="1:20" x14ac:dyDescent="0.4">
      <c r="A41" s="6" t="s">
        <v>48</v>
      </c>
      <c r="B41" s="2">
        <v>95</v>
      </c>
      <c r="D41" s="33">
        <v>25</v>
      </c>
      <c r="E41" s="36">
        <f t="shared" si="12"/>
        <v>1900.8174511267407</v>
      </c>
      <c r="F41" s="36">
        <v>686.86111111111109</v>
      </c>
      <c r="G41" s="36">
        <f t="shared" si="9"/>
        <v>1213.9563400156296</v>
      </c>
      <c r="H41" s="37">
        <f t="shared" si="1"/>
        <v>0</v>
      </c>
      <c r="J41" s="33">
        <v>25</v>
      </c>
      <c r="K41" s="36">
        <f t="shared" si="13"/>
        <v>1900.8174511267407</v>
      </c>
      <c r="L41" s="36">
        <v>686.86111111111109</v>
      </c>
      <c r="M41" s="48">
        <f t="shared" si="10"/>
        <v>1213.9563400156296</v>
      </c>
      <c r="N41" s="37">
        <f t="shared" si="3"/>
        <v>0</v>
      </c>
      <c r="P41" s="33">
        <v>25</v>
      </c>
      <c r="Q41" s="36">
        <f t="shared" si="14"/>
        <v>1079.8302405077202</v>
      </c>
      <c r="R41" s="36">
        <v>686.86111111111109</v>
      </c>
      <c r="S41" s="48">
        <f t="shared" si="11"/>
        <v>392.96912939660911</v>
      </c>
      <c r="T41" s="37">
        <f t="shared" si="5"/>
        <v>820.98721061902052</v>
      </c>
    </row>
    <row r="42" spans="1:20" x14ac:dyDescent="0.4">
      <c r="A42" s="26" t="s">
        <v>4</v>
      </c>
      <c r="B42" s="27">
        <f>B36/B37</f>
        <v>41.049360530951027</v>
      </c>
      <c r="D42" s="33">
        <v>26</v>
      </c>
      <c r="E42" s="36">
        <f t="shared" si="12"/>
        <v>2034.9435506346501</v>
      </c>
      <c r="F42" s="36">
        <v>757.33333333333337</v>
      </c>
      <c r="G42" s="36">
        <f t="shared" si="9"/>
        <v>1277.6102173013169</v>
      </c>
      <c r="H42" s="37">
        <f t="shared" si="1"/>
        <v>0</v>
      </c>
      <c r="J42" s="33">
        <v>26</v>
      </c>
      <c r="K42" s="36">
        <f t="shared" si="13"/>
        <v>1213.9563400156296</v>
      </c>
      <c r="L42" s="36">
        <v>757.33333333333337</v>
      </c>
      <c r="M42" s="48">
        <f t="shared" si="10"/>
        <v>456.62300668229625</v>
      </c>
      <c r="N42" s="37">
        <f t="shared" si="3"/>
        <v>820.98721061902052</v>
      </c>
      <c r="P42" s="33">
        <v>26</v>
      </c>
      <c r="Q42" s="36">
        <f t="shared" si="14"/>
        <v>1213.9563400156296</v>
      </c>
      <c r="R42" s="36">
        <v>757.33333333333337</v>
      </c>
      <c r="S42" s="48">
        <f t="shared" si="11"/>
        <v>456.62300668229625</v>
      </c>
      <c r="T42" s="37">
        <f t="shared" si="5"/>
        <v>820.98721061902052</v>
      </c>
    </row>
    <row r="43" spans="1:20" x14ac:dyDescent="0.4">
      <c r="A43" s="1" t="s">
        <v>5</v>
      </c>
      <c r="B43" s="4">
        <f>1-B44</f>
        <v>4.9999999999999933E-2</v>
      </c>
      <c r="D43" s="33">
        <v>27</v>
      </c>
      <c r="E43" s="36">
        <f t="shared" si="12"/>
        <v>1277.6102173013169</v>
      </c>
      <c r="F43" s="36">
        <v>780.30555555555554</v>
      </c>
      <c r="G43" s="36">
        <f t="shared" si="9"/>
        <v>497.30466174576134</v>
      </c>
      <c r="H43" s="37">
        <f t="shared" si="1"/>
        <v>820.98721061902052</v>
      </c>
      <c r="J43" s="33">
        <v>27</v>
      </c>
      <c r="K43" s="36">
        <f t="shared" si="13"/>
        <v>456.62300668229625</v>
      </c>
      <c r="L43" s="36">
        <v>780.30555555555554</v>
      </c>
      <c r="M43" s="48">
        <f t="shared" si="10"/>
        <v>-323.68254887325929</v>
      </c>
      <c r="N43" s="37">
        <f t="shared" si="3"/>
        <v>820.98721061902052</v>
      </c>
      <c r="P43" s="33">
        <v>27</v>
      </c>
      <c r="Q43" s="36">
        <f t="shared" si="14"/>
        <v>1277.6102173013169</v>
      </c>
      <c r="R43" s="36">
        <v>780.30555555555554</v>
      </c>
      <c r="S43" s="48">
        <f t="shared" si="11"/>
        <v>497.30466174576134</v>
      </c>
      <c r="T43" s="37">
        <f t="shared" si="5"/>
        <v>820.98721061902052</v>
      </c>
    </row>
    <row r="44" spans="1:20" x14ac:dyDescent="0.4">
      <c r="A44" s="1" t="s">
        <v>6</v>
      </c>
      <c r="B44" s="4">
        <f>B41*0.01</f>
        <v>0.95000000000000007</v>
      </c>
      <c r="D44" s="33">
        <v>28</v>
      </c>
      <c r="E44" s="36">
        <f t="shared" si="12"/>
        <v>497.30466174576134</v>
      </c>
      <c r="F44" s="36">
        <v>767.58333333333326</v>
      </c>
      <c r="G44" s="36">
        <f t="shared" si="9"/>
        <v>-270.27867158757192</v>
      </c>
      <c r="H44" s="37">
        <f t="shared" si="1"/>
        <v>820.98721061902052</v>
      </c>
      <c r="J44" s="33">
        <v>28</v>
      </c>
      <c r="K44" s="36">
        <f t="shared" si="13"/>
        <v>497.30466174576122</v>
      </c>
      <c r="L44" s="36">
        <v>767.58333333333326</v>
      </c>
      <c r="M44" s="48">
        <f t="shared" si="10"/>
        <v>-270.27867158757203</v>
      </c>
      <c r="N44" s="37">
        <f t="shared" si="3"/>
        <v>820.98721061902052</v>
      </c>
      <c r="P44" s="33">
        <v>28</v>
      </c>
      <c r="Q44" s="36">
        <f t="shared" si="14"/>
        <v>1318.2918723647817</v>
      </c>
      <c r="R44" s="36">
        <v>767.58333333333326</v>
      </c>
      <c r="S44" s="48">
        <f t="shared" si="11"/>
        <v>550.70853903144848</v>
      </c>
      <c r="T44" s="37">
        <f t="shared" si="5"/>
        <v>820.98721061902052</v>
      </c>
    </row>
    <row r="45" spans="1:20" x14ac:dyDescent="0.4">
      <c r="A45" s="1" t="s">
        <v>7</v>
      </c>
      <c r="B45" s="5">
        <f>B28</f>
        <v>654.1</v>
      </c>
      <c r="D45" s="33">
        <v>29</v>
      </c>
      <c r="E45" s="36">
        <f t="shared" si="12"/>
        <v>550.70853903144859</v>
      </c>
      <c r="F45" s="36">
        <v>798.38888888888891</v>
      </c>
      <c r="G45" s="36">
        <f t="shared" si="9"/>
        <v>-247.68034985744032</v>
      </c>
      <c r="H45" s="37">
        <f t="shared" si="1"/>
        <v>820.98721061902052</v>
      </c>
      <c r="J45" s="33">
        <v>29</v>
      </c>
      <c r="K45" s="36">
        <f t="shared" si="13"/>
        <v>550.70853903144848</v>
      </c>
      <c r="L45" s="36">
        <v>798.38888888888891</v>
      </c>
      <c r="M45" s="48">
        <f t="shared" si="10"/>
        <v>-247.68034985744043</v>
      </c>
      <c r="N45" s="37">
        <f t="shared" si="3"/>
        <v>820.98721061902052</v>
      </c>
      <c r="P45" s="33">
        <v>29</v>
      </c>
      <c r="Q45" s="36">
        <f t="shared" si="14"/>
        <v>1371.695749650469</v>
      </c>
      <c r="R45" s="36">
        <v>798.38888888888891</v>
      </c>
      <c r="S45" s="48">
        <f t="shared" si="11"/>
        <v>573.30686076158008</v>
      </c>
      <c r="T45" s="37">
        <f t="shared" si="5"/>
        <v>820.98721061902052</v>
      </c>
    </row>
    <row r="46" spans="1:20" x14ac:dyDescent="0.4">
      <c r="A46" s="1" t="s">
        <v>8</v>
      </c>
      <c r="B46" s="5">
        <v>148.36000000000001</v>
      </c>
      <c r="D46" s="33">
        <v>30</v>
      </c>
      <c r="E46" s="36">
        <f t="shared" si="12"/>
        <v>573.3068607615802</v>
      </c>
      <c r="F46" s="36">
        <v>810.88888888888891</v>
      </c>
      <c r="G46" s="36">
        <f t="shared" si="9"/>
        <v>-237.58202812730872</v>
      </c>
      <c r="H46" s="37">
        <f t="shared" si="1"/>
        <v>820.98721061902052</v>
      </c>
      <c r="J46" s="33">
        <v>30</v>
      </c>
      <c r="K46" s="36">
        <f t="shared" si="13"/>
        <v>573.30686076158008</v>
      </c>
      <c r="L46" s="36">
        <v>810.88888888888891</v>
      </c>
      <c r="M46" s="48">
        <f t="shared" si="10"/>
        <v>-237.58202812730883</v>
      </c>
      <c r="N46" s="37">
        <f t="shared" si="3"/>
        <v>820.98721061902052</v>
      </c>
      <c r="P46" s="33">
        <v>30</v>
      </c>
      <c r="Q46" s="36">
        <f t="shared" si="14"/>
        <v>1394.2940713806006</v>
      </c>
      <c r="R46" s="36">
        <v>810.88888888888891</v>
      </c>
      <c r="S46" s="48">
        <f t="shared" si="11"/>
        <v>583.40518249171168</v>
      </c>
      <c r="T46" s="37">
        <f t="shared" si="5"/>
        <v>820.98721061902052</v>
      </c>
    </row>
    <row r="47" spans="1:20" x14ac:dyDescent="0.4">
      <c r="A47" s="6" t="s">
        <v>9</v>
      </c>
      <c r="B47" s="3">
        <f>NORMINV(B44,B45,B46)</f>
        <v>898.13048409452063</v>
      </c>
      <c r="D47" s="33">
        <v>31</v>
      </c>
      <c r="E47" s="36">
        <f t="shared" si="12"/>
        <v>583.4051824917118</v>
      </c>
      <c r="F47" s="36">
        <v>782.08333333333326</v>
      </c>
      <c r="G47" s="36">
        <f t="shared" si="9"/>
        <v>-198.67815084162146</v>
      </c>
      <c r="H47" s="37">
        <f t="shared" si="1"/>
        <v>820.98721061902052</v>
      </c>
      <c r="J47" s="33">
        <v>31</v>
      </c>
      <c r="K47" s="36">
        <f t="shared" si="13"/>
        <v>583.40518249171168</v>
      </c>
      <c r="L47" s="36">
        <v>782.08333333333326</v>
      </c>
      <c r="M47" s="48">
        <f t="shared" si="10"/>
        <v>-198.67815084162157</v>
      </c>
      <c r="N47" s="37">
        <f t="shared" si="3"/>
        <v>820.98721061902052</v>
      </c>
      <c r="P47" s="33">
        <v>31</v>
      </c>
      <c r="Q47" s="36">
        <f t="shared" si="14"/>
        <v>1404.3923931107322</v>
      </c>
      <c r="R47" s="36">
        <v>782.08333333333326</v>
      </c>
      <c r="S47" s="48">
        <f t="shared" si="11"/>
        <v>622.30905977739894</v>
      </c>
      <c r="T47" s="37">
        <f t="shared" si="5"/>
        <v>820.98721061902052</v>
      </c>
    </row>
    <row r="48" spans="1:20" x14ac:dyDescent="0.4">
      <c r="A48" s="1" t="s">
        <v>10</v>
      </c>
      <c r="B48" s="3">
        <f>B40</f>
        <v>553.98904109589034</v>
      </c>
      <c r="D48" s="33">
        <v>32</v>
      </c>
      <c r="E48" s="36">
        <f t="shared" si="12"/>
        <v>622.30905977739906</v>
      </c>
      <c r="F48" s="36">
        <v>799.8888888888888</v>
      </c>
      <c r="G48" s="36">
        <f t="shared" si="9"/>
        <v>-177.57982911148974</v>
      </c>
      <c r="H48" s="37">
        <f t="shared" si="1"/>
        <v>820.98721061902052</v>
      </c>
      <c r="J48" s="33">
        <v>32</v>
      </c>
      <c r="K48" s="36">
        <f t="shared" si="13"/>
        <v>622.30905977739894</v>
      </c>
      <c r="L48" s="36">
        <v>799.8888888888888</v>
      </c>
      <c r="M48" s="48">
        <f t="shared" si="10"/>
        <v>-177.57982911148986</v>
      </c>
      <c r="N48" s="37">
        <f t="shared" si="3"/>
        <v>820.98721061902052</v>
      </c>
      <c r="P48" s="33">
        <v>32</v>
      </c>
      <c r="Q48" s="36">
        <f t="shared" si="14"/>
        <v>1443.2962703964195</v>
      </c>
      <c r="R48" s="36">
        <v>799.8888888888888</v>
      </c>
      <c r="S48" s="48">
        <f t="shared" si="11"/>
        <v>643.40738150753066</v>
      </c>
      <c r="T48" s="37">
        <f t="shared" si="5"/>
        <v>820.98721061902052</v>
      </c>
    </row>
    <row r="49" spans="1:20" x14ac:dyDescent="0.4">
      <c r="A49" s="1" t="s">
        <v>11</v>
      </c>
      <c r="B49" s="5">
        <f>B47</f>
        <v>898.13048409452063</v>
      </c>
      <c r="D49" s="33">
        <v>33</v>
      </c>
      <c r="E49" s="36">
        <f t="shared" si="12"/>
        <v>643.40738150753077</v>
      </c>
      <c r="F49" s="36">
        <v>796.63888888888891</v>
      </c>
      <c r="G49" s="36">
        <f t="shared" si="9"/>
        <v>-153.23150738135814</v>
      </c>
      <c r="H49" s="37">
        <f t="shared" si="1"/>
        <v>820.98721061902052</v>
      </c>
      <c r="J49" s="33">
        <v>33</v>
      </c>
      <c r="K49" s="36">
        <f t="shared" si="13"/>
        <v>643.40738150753066</v>
      </c>
      <c r="L49" s="36">
        <v>796.63888888888891</v>
      </c>
      <c r="M49" s="48">
        <f t="shared" si="10"/>
        <v>-153.23150738135826</v>
      </c>
      <c r="N49" s="37">
        <f t="shared" si="3"/>
        <v>820.98721061902052</v>
      </c>
      <c r="P49" s="33">
        <v>33</v>
      </c>
      <c r="Q49" s="36">
        <f t="shared" si="14"/>
        <v>1464.3945921265513</v>
      </c>
      <c r="R49" s="36">
        <v>796.63888888888891</v>
      </c>
      <c r="S49" s="48">
        <f t="shared" si="11"/>
        <v>667.75570323766237</v>
      </c>
      <c r="T49" s="37">
        <f t="shared" si="5"/>
        <v>820.98721061902052</v>
      </c>
    </row>
    <row r="50" spans="1:20" x14ac:dyDescent="0.4">
      <c r="A50" s="6" t="s">
        <v>50</v>
      </c>
      <c r="B50" s="3">
        <f>B49-B48</f>
        <v>344.14144299863028</v>
      </c>
      <c r="D50" s="33">
        <v>34</v>
      </c>
      <c r="E50" s="36">
        <f t="shared" si="12"/>
        <v>667.75570323766237</v>
      </c>
      <c r="F50" s="36">
        <v>787.94444444444446</v>
      </c>
      <c r="G50" s="36">
        <f t="shared" si="9"/>
        <v>-120.18874120678208</v>
      </c>
      <c r="H50" s="37">
        <f t="shared" si="1"/>
        <v>820.98721061902052</v>
      </c>
      <c r="J50" s="33">
        <v>34</v>
      </c>
      <c r="K50" s="36">
        <f t="shared" si="13"/>
        <v>667.75570323766226</v>
      </c>
      <c r="L50" s="36">
        <v>787.94444444444446</v>
      </c>
      <c r="M50" s="48">
        <f t="shared" si="10"/>
        <v>-120.1887412067822</v>
      </c>
      <c r="N50" s="37">
        <f t="shared" si="3"/>
        <v>820.98721061902052</v>
      </c>
      <c r="P50" s="33">
        <v>34</v>
      </c>
      <c r="Q50" s="36">
        <f t="shared" si="14"/>
        <v>1488.7429138566829</v>
      </c>
      <c r="R50" s="36">
        <v>787.94444444444446</v>
      </c>
      <c r="S50" s="48">
        <f t="shared" si="11"/>
        <v>700.79846941223843</v>
      </c>
      <c r="T50" s="37">
        <f t="shared" si="5"/>
        <v>820.98721061902052</v>
      </c>
    </row>
    <row r="51" spans="1:20" x14ac:dyDescent="0.4">
      <c r="D51" s="33">
        <v>35</v>
      </c>
      <c r="E51" s="36">
        <f t="shared" si="12"/>
        <v>700.79846941223843</v>
      </c>
      <c r="F51" s="36">
        <v>796.61111111111109</v>
      </c>
      <c r="G51" s="36">
        <f t="shared" si="9"/>
        <v>-95.812641698872653</v>
      </c>
      <c r="H51" s="37">
        <f t="shared" si="1"/>
        <v>820.98721061902052</v>
      </c>
      <c r="J51" s="33">
        <v>35</v>
      </c>
      <c r="K51" s="36">
        <f t="shared" si="13"/>
        <v>700.79846941223832</v>
      </c>
      <c r="L51" s="36">
        <v>796.61111111111109</v>
      </c>
      <c r="M51" s="48">
        <f t="shared" si="10"/>
        <v>-95.812641698872767</v>
      </c>
      <c r="N51" s="37">
        <f t="shared" si="3"/>
        <v>820.98721061902052</v>
      </c>
      <c r="P51" s="33">
        <v>35</v>
      </c>
      <c r="Q51" s="36">
        <f t="shared" si="14"/>
        <v>1521.7856800312588</v>
      </c>
      <c r="R51" s="36">
        <v>796.61111111111109</v>
      </c>
      <c r="S51" s="48">
        <f t="shared" si="11"/>
        <v>725.17456892014775</v>
      </c>
      <c r="T51" s="37">
        <f t="shared" si="5"/>
        <v>820.98721061902052</v>
      </c>
    </row>
    <row r="52" spans="1:20" x14ac:dyDescent="0.4">
      <c r="D52" s="33">
        <v>36</v>
      </c>
      <c r="E52" s="36">
        <f t="shared" si="12"/>
        <v>725.17456892014786</v>
      </c>
      <c r="F52" s="36">
        <v>787.74999999999989</v>
      </c>
      <c r="G52" s="36">
        <f t="shared" si="9"/>
        <v>-62.575431079852024</v>
      </c>
      <c r="H52" s="37">
        <f t="shared" si="1"/>
        <v>820.98721061902052</v>
      </c>
      <c r="J52" s="33">
        <v>36</v>
      </c>
      <c r="K52" s="36">
        <f t="shared" si="13"/>
        <v>725.17456892014775</v>
      </c>
      <c r="L52" s="36">
        <v>787.74999999999989</v>
      </c>
      <c r="M52" s="48">
        <f t="shared" si="10"/>
        <v>-62.575431079852137</v>
      </c>
      <c r="N52" s="37">
        <f t="shared" si="3"/>
        <v>820.98721061902052</v>
      </c>
      <c r="P52" s="33">
        <v>36</v>
      </c>
      <c r="Q52" s="36">
        <f t="shared" si="14"/>
        <v>1546.1617795391683</v>
      </c>
      <c r="R52" s="36">
        <v>787.74999999999989</v>
      </c>
      <c r="S52" s="48">
        <f t="shared" si="11"/>
        <v>758.41177953916838</v>
      </c>
      <c r="T52" s="37">
        <f t="shared" si="5"/>
        <v>820.98721061902052</v>
      </c>
    </row>
    <row r="53" spans="1:20" x14ac:dyDescent="0.4">
      <c r="D53" s="33">
        <v>37</v>
      </c>
      <c r="E53" s="36">
        <f t="shared" si="12"/>
        <v>758.41177953916849</v>
      </c>
      <c r="F53" s="36">
        <v>774.83333333333326</v>
      </c>
      <c r="G53" s="36">
        <f t="shared" si="9"/>
        <v>-16.421553794164765</v>
      </c>
      <c r="H53" s="37">
        <f t="shared" si="1"/>
        <v>820.98721061902052</v>
      </c>
      <c r="J53" s="33">
        <v>37</v>
      </c>
      <c r="K53" s="36">
        <f t="shared" si="13"/>
        <v>758.41177953916838</v>
      </c>
      <c r="L53" s="36">
        <v>774.83333333333326</v>
      </c>
      <c r="M53" s="48">
        <f t="shared" si="10"/>
        <v>-16.421553794164879</v>
      </c>
      <c r="N53" s="37">
        <f t="shared" si="3"/>
        <v>820.98721061902052</v>
      </c>
      <c r="P53" s="33">
        <v>37</v>
      </c>
      <c r="Q53" s="36">
        <f t="shared" si="14"/>
        <v>1579.398990158189</v>
      </c>
      <c r="R53" s="36">
        <v>774.83333333333326</v>
      </c>
      <c r="S53" s="48">
        <f t="shared" si="11"/>
        <v>804.56565682485575</v>
      </c>
      <c r="T53" s="37">
        <f t="shared" si="5"/>
        <v>820.98721061902052</v>
      </c>
    </row>
    <row r="54" spans="1:20" x14ac:dyDescent="0.4">
      <c r="D54" s="33">
        <v>38</v>
      </c>
      <c r="E54" s="36">
        <f t="shared" si="12"/>
        <v>804.56565682485575</v>
      </c>
      <c r="F54" s="36">
        <v>777.88888888888891</v>
      </c>
      <c r="G54" s="36">
        <f t="shared" si="9"/>
        <v>26.676767935966836</v>
      </c>
      <c r="H54" s="37">
        <f t="shared" si="1"/>
        <v>820.98721061902052</v>
      </c>
      <c r="J54" s="33">
        <v>38</v>
      </c>
      <c r="K54" s="36">
        <f t="shared" si="13"/>
        <v>804.56565682485564</v>
      </c>
      <c r="L54" s="36">
        <v>777.88888888888891</v>
      </c>
      <c r="M54" s="48">
        <f t="shared" si="10"/>
        <v>26.676767935966723</v>
      </c>
      <c r="N54" s="37">
        <f t="shared" si="3"/>
        <v>820.98721061902052</v>
      </c>
      <c r="P54" s="33">
        <v>38</v>
      </c>
      <c r="Q54" s="36">
        <f t="shared" si="14"/>
        <v>1625.5528674438763</v>
      </c>
      <c r="R54" s="36">
        <v>777.88888888888891</v>
      </c>
      <c r="S54" s="48">
        <f t="shared" si="11"/>
        <v>847.66397855498735</v>
      </c>
      <c r="T54" s="37">
        <f t="shared" si="5"/>
        <v>820.98721061902052</v>
      </c>
    </row>
    <row r="55" spans="1:20" x14ac:dyDescent="0.4">
      <c r="D55" s="33">
        <v>39</v>
      </c>
      <c r="E55" s="36">
        <f t="shared" si="12"/>
        <v>847.66397855498735</v>
      </c>
      <c r="F55" s="36">
        <v>838.97222222222217</v>
      </c>
      <c r="G55" s="36">
        <f t="shared" si="9"/>
        <v>8.6917563327651806</v>
      </c>
      <c r="H55" s="37">
        <f t="shared" si="1"/>
        <v>820.98721061902052</v>
      </c>
      <c r="J55" s="33">
        <v>39</v>
      </c>
      <c r="K55" s="36">
        <f t="shared" si="13"/>
        <v>847.66397855498724</v>
      </c>
      <c r="L55" s="36">
        <v>838.97222222222217</v>
      </c>
      <c r="M55" s="48">
        <f t="shared" si="10"/>
        <v>8.6917563327650669</v>
      </c>
      <c r="N55" s="37">
        <f t="shared" si="3"/>
        <v>820.98721061902052</v>
      </c>
      <c r="P55" s="33">
        <v>39</v>
      </c>
      <c r="Q55" s="36">
        <f t="shared" si="14"/>
        <v>1668.6511891740079</v>
      </c>
      <c r="R55" s="36">
        <v>838.97222222222217</v>
      </c>
      <c r="S55" s="48">
        <f t="shared" si="11"/>
        <v>829.6789669517857</v>
      </c>
      <c r="T55" s="37">
        <f t="shared" si="5"/>
        <v>820.98721061902052</v>
      </c>
    </row>
    <row r="56" spans="1:20" x14ac:dyDescent="0.4">
      <c r="D56" s="33">
        <v>40</v>
      </c>
      <c r="E56" s="36">
        <f>G55+H54</f>
        <v>829.6789669517857</v>
      </c>
      <c r="F56" s="36">
        <v>838.80555555555543</v>
      </c>
      <c r="G56" s="36">
        <f t="shared" si="9"/>
        <v>-9.1265886037697328</v>
      </c>
      <c r="H56" s="37">
        <f t="shared" si="1"/>
        <v>820.98721061902052</v>
      </c>
      <c r="J56" s="33">
        <v>40</v>
      </c>
      <c r="K56" s="36">
        <f t="shared" si="13"/>
        <v>829.67896695178558</v>
      </c>
      <c r="L56" s="36">
        <v>838.80555555555543</v>
      </c>
      <c r="M56" s="48">
        <f t="shared" si="10"/>
        <v>-9.1265886037698465</v>
      </c>
      <c r="N56" s="37">
        <f t="shared" si="3"/>
        <v>820.98721061902052</v>
      </c>
      <c r="P56" s="33">
        <v>40</v>
      </c>
      <c r="Q56" s="36">
        <f t="shared" si="14"/>
        <v>1650.6661775708062</v>
      </c>
      <c r="R56" s="36">
        <v>838.80555555555543</v>
      </c>
      <c r="S56" s="48">
        <f t="shared" si="11"/>
        <v>811.86062201525078</v>
      </c>
      <c r="T56" s="37">
        <f t="shared" si="5"/>
        <v>820.98721061902052</v>
      </c>
    </row>
    <row r="57" spans="1:20" x14ac:dyDescent="0.4">
      <c r="D57" s="33">
        <v>41</v>
      </c>
      <c r="E57" s="36">
        <f>G56+H55</f>
        <v>811.86062201525078</v>
      </c>
      <c r="F57" s="37"/>
      <c r="G57" s="37"/>
      <c r="H57" s="37"/>
      <c r="J57" s="33">
        <v>41</v>
      </c>
      <c r="K57" s="36">
        <f>M56+N55</f>
        <v>811.86062201525067</v>
      </c>
      <c r="L57" s="37"/>
      <c r="M57" s="37"/>
      <c r="N57" s="37"/>
      <c r="P57" s="33">
        <v>41</v>
      </c>
      <c r="Q57" s="36">
        <f>S56+T55</f>
        <v>1632.8478326342713</v>
      </c>
      <c r="R57" s="37"/>
      <c r="S57" s="37"/>
      <c r="T57" s="37"/>
    </row>
    <row r="58" spans="1:20" x14ac:dyDescent="0.4">
      <c r="D58" s="33">
        <v>42</v>
      </c>
      <c r="E58" s="37"/>
      <c r="F58" s="37"/>
      <c r="G58" s="37"/>
      <c r="H58" s="37"/>
      <c r="J58" s="33">
        <v>42</v>
      </c>
      <c r="K58" s="37"/>
      <c r="L58" s="37"/>
      <c r="M58" s="37"/>
      <c r="N58" s="37"/>
      <c r="P58" s="33">
        <v>42</v>
      </c>
      <c r="Q58" s="37"/>
      <c r="R58" s="37"/>
      <c r="S58" s="37"/>
      <c r="T58" s="37"/>
    </row>
    <row r="59" spans="1:20" x14ac:dyDescent="0.4">
      <c r="D59" s="33">
        <v>43</v>
      </c>
      <c r="E59" s="37"/>
      <c r="F59" s="37"/>
      <c r="G59" s="37"/>
      <c r="H59" s="37"/>
      <c r="J59" s="33">
        <v>43</v>
      </c>
      <c r="K59" s="37"/>
      <c r="L59" s="37"/>
      <c r="M59" s="37"/>
      <c r="N59" s="37"/>
      <c r="P59" s="33">
        <v>43</v>
      </c>
      <c r="Q59" s="37"/>
      <c r="R59" s="37"/>
      <c r="S59" s="37"/>
      <c r="T59" s="37"/>
    </row>
    <row r="60" spans="1:20" x14ac:dyDescent="0.4">
      <c r="D60" s="33">
        <v>44</v>
      </c>
      <c r="E60" s="37"/>
      <c r="F60" s="37"/>
      <c r="G60" s="37"/>
      <c r="H60" s="37"/>
      <c r="J60" s="33">
        <v>44</v>
      </c>
      <c r="K60" s="37"/>
      <c r="L60" s="37"/>
      <c r="M60" s="37"/>
      <c r="N60" s="37"/>
      <c r="P60" s="33">
        <v>44</v>
      </c>
      <c r="Q60" s="37"/>
      <c r="R60" s="37"/>
      <c r="S60" s="37"/>
      <c r="T60" s="37"/>
    </row>
    <row r="61" spans="1:20" x14ac:dyDescent="0.4">
      <c r="D61" s="33">
        <v>45</v>
      </c>
      <c r="E61" s="37"/>
      <c r="F61" s="37"/>
      <c r="G61" s="37"/>
      <c r="H61" s="37"/>
      <c r="J61" s="33">
        <v>45</v>
      </c>
      <c r="K61" s="37"/>
      <c r="L61" s="37"/>
      <c r="M61" s="37"/>
      <c r="N61" s="37"/>
      <c r="P61" s="33">
        <v>45</v>
      </c>
      <c r="Q61" s="37"/>
      <c r="R61" s="37"/>
      <c r="S61" s="37"/>
      <c r="T61" s="37"/>
    </row>
    <row r="62" spans="1:20" x14ac:dyDescent="0.4">
      <c r="D62" s="33">
        <v>46</v>
      </c>
      <c r="E62" s="37"/>
      <c r="F62" s="37"/>
      <c r="G62" s="37"/>
      <c r="H62" s="37"/>
      <c r="J62" s="33">
        <v>46</v>
      </c>
      <c r="K62" s="37"/>
      <c r="L62" s="37"/>
      <c r="M62" s="37"/>
      <c r="N62" s="37"/>
      <c r="P62" s="33">
        <v>46</v>
      </c>
      <c r="Q62" s="37"/>
      <c r="R62" s="37"/>
      <c r="S62" s="37"/>
      <c r="T62" s="37"/>
    </row>
    <row r="63" spans="1:20" x14ac:dyDescent="0.4">
      <c r="D63" s="33">
        <v>47</v>
      </c>
      <c r="E63" s="37"/>
      <c r="F63" s="37"/>
      <c r="G63" s="37"/>
      <c r="H63" s="37"/>
      <c r="J63" s="33">
        <v>47</v>
      </c>
      <c r="K63" s="37"/>
      <c r="L63" s="37"/>
      <c r="M63" s="37"/>
      <c r="N63" s="37"/>
      <c r="P63" s="33">
        <v>47</v>
      </c>
      <c r="Q63" s="37"/>
      <c r="R63" s="37"/>
      <c r="S63" s="37"/>
      <c r="T63" s="37"/>
    </row>
    <row r="64" spans="1:20" x14ac:dyDescent="0.4">
      <c r="D64" s="33">
        <v>48</v>
      </c>
      <c r="E64" s="37"/>
      <c r="F64" s="37"/>
      <c r="G64" s="37"/>
      <c r="H64" s="37"/>
      <c r="J64" s="33">
        <v>48</v>
      </c>
      <c r="K64" s="37"/>
      <c r="L64" s="37"/>
      <c r="M64" s="37"/>
      <c r="N64" s="37"/>
      <c r="P64" s="33">
        <v>48</v>
      </c>
      <c r="Q64" s="37"/>
      <c r="R64" s="37"/>
      <c r="S64" s="37"/>
      <c r="T64" s="37"/>
    </row>
    <row r="65" spans="4:20" x14ac:dyDescent="0.4">
      <c r="D65" s="33">
        <v>49</v>
      </c>
      <c r="E65" s="37"/>
      <c r="F65" s="37"/>
      <c r="G65" s="37"/>
      <c r="H65" s="37"/>
      <c r="J65" s="33">
        <v>49</v>
      </c>
      <c r="K65" s="37"/>
      <c r="L65" s="37"/>
      <c r="M65" s="37"/>
      <c r="N65" s="37"/>
      <c r="P65" s="33">
        <v>49</v>
      </c>
      <c r="Q65" s="37"/>
      <c r="R65" s="37"/>
      <c r="S65" s="37"/>
      <c r="T65" s="37"/>
    </row>
    <row r="66" spans="4:20" x14ac:dyDescent="0.4">
      <c r="D66" s="33">
        <v>50</v>
      </c>
      <c r="E66" s="37"/>
      <c r="F66" s="37"/>
      <c r="G66" s="37"/>
      <c r="H66" s="37"/>
      <c r="J66" s="33">
        <v>50</v>
      </c>
      <c r="K66" s="37"/>
      <c r="L66" s="37"/>
      <c r="M66" s="37"/>
      <c r="N66" s="37"/>
      <c r="P66" s="33">
        <v>50</v>
      </c>
      <c r="Q66" s="37"/>
      <c r="R66" s="37"/>
      <c r="S66" s="37"/>
      <c r="T66" s="37"/>
    </row>
    <row r="67" spans="4:20" x14ac:dyDescent="0.4">
      <c r="D67" s="33">
        <v>51</v>
      </c>
      <c r="E67" s="37"/>
      <c r="F67" s="37"/>
      <c r="G67" s="37"/>
      <c r="H67" s="37"/>
      <c r="J67" s="33">
        <v>51</v>
      </c>
      <c r="K67" s="37"/>
      <c r="L67" s="37"/>
      <c r="M67" s="37"/>
      <c r="N67" s="37"/>
      <c r="P67" s="33">
        <v>51</v>
      </c>
      <c r="Q67" s="37"/>
      <c r="R67" s="37"/>
      <c r="S67" s="37"/>
      <c r="T67" s="37"/>
    </row>
    <row r="68" spans="4:20" x14ac:dyDescent="0.4">
      <c r="D68" s="34">
        <v>52</v>
      </c>
      <c r="E68" s="38"/>
      <c r="F68" s="38"/>
      <c r="G68" s="38"/>
      <c r="H68" s="38"/>
      <c r="J68" s="34">
        <v>52</v>
      </c>
      <c r="K68" s="38"/>
      <c r="L68" s="38"/>
      <c r="M68" s="38"/>
      <c r="N68" s="38"/>
      <c r="P68" s="34">
        <v>52</v>
      </c>
      <c r="Q68" s="38"/>
      <c r="R68" s="38"/>
      <c r="S68" s="38"/>
      <c r="T68" s="38"/>
    </row>
  </sheetData>
  <mergeCells count="2">
    <mergeCell ref="I1:K1"/>
    <mergeCell ref="E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44B6A-B267-4C51-835E-06A9E60C75E1}">
  <dimension ref="A1:T68"/>
  <sheetViews>
    <sheetView zoomScale="77" zoomScaleNormal="77" workbookViewId="0">
      <selection activeCell="O35" sqref="O35"/>
    </sheetView>
  </sheetViews>
  <sheetFormatPr defaultRowHeight="14.6" x14ac:dyDescent="0.4"/>
  <cols>
    <col min="1" max="1" width="27" customWidth="1"/>
    <col min="5" max="5" width="30.765625" customWidth="1"/>
    <col min="6" max="6" width="18.23046875" customWidth="1"/>
    <col min="7" max="7" width="17.765625" customWidth="1"/>
    <col min="8" max="8" width="26.23046875" customWidth="1"/>
    <col min="11" max="11" width="12.23046875" customWidth="1"/>
    <col min="13" max="13" width="11" customWidth="1"/>
    <col min="14" max="14" width="13.3046875" customWidth="1"/>
    <col min="17" max="17" width="12.53515625" customWidth="1"/>
    <col min="19" max="19" width="11.3046875" customWidth="1"/>
    <col min="20" max="20" width="13.15234375" customWidth="1"/>
  </cols>
  <sheetData>
    <row r="1" spans="1:20" ht="15" thickBot="1" x14ac:dyDescent="0.45">
      <c r="A1" s="72" t="s">
        <v>65</v>
      </c>
      <c r="I1" s="129" t="s">
        <v>48</v>
      </c>
      <c r="J1" s="129"/>
      <c r="K1" s="129"/>
    </row>
    <row r="2" spans="1:20" x14ac:dyDescent="0.4">
      <c r="A2" s="1" t="s">
        <v>0</v>
      </c>
      <c r="B2" s="24">
        <v>30665</v>
      </c>
      <c r="E2" s="133" t="s">
        <v>51</v>
      </c>
      <c r="F2" s="134"/>
      <c r="G2" s="135"/>
      <c r="H2" s="64" t="s">
        <v>60</v>
      </c>
      <c r="I2" s="2">
        <v>99.9</v>
      </c>
      <c r="J2" s="2">
        <v>99</v>
      </c>
      <c r="K2" s="44">
        <v>95</v>
      </c>
    </row>
    <row r="3" spans="1:20" x14ac:dyDescent="0.4">
      <c r="A3" s="58" t="s">
        <v>1</v>
      </c>
      <c r="B3" s="60">
        <v>783.13472659562228</v>
      </c>
      <c r="E3" s="68" t="s">
        <v>52</v>
      </c>
      <c r="F3" s="68">
        <v>2858.877</v>
      </c>
      <c r="G3" s="66" t="s">
        <v>41</v>
      </c>
      <c r="H3" s="42" t="s">
        <v>70</v>
      </c>
      <c r="I3" s="28">
        <f>B13</f>
        <v>1201.2051687444934</v>
      </c>
      <c r="J3" s="28">
        <f>B32</f>
        <v>1050.0477173152017</v>
      </c>
      <c r="K3" s="42">
        <f>B49</f>
        <v>915.19363570115752</v>
      </c>
    </row>
    <row r="4" spans="1:20" x14ac:dyDescent="0.4">
      <c r="A4" s="1" t="s">
        <v>49</v>
      </c>
      <c r="B4" s="59">
        <v>365</v>
      </c>
      <c r="E4" s="69" t="s">
        <v>53</v>
      </c>
      <c r="F4" s="69">
        <v>740</v>
      </c>
      <c r="G4" s="66" t="s">
        <v>44</v>
      </c>
      <c r="H4" s="65" t="s">
        <v>71</v>
      </c>
      <c r="I4" s="61">
        <f>B3</f>
        <v>783.13472659562228</v>
      </c>
      <c r="J4" s="61">
        <f>B3</f>
        <v>783.13472659562228</v>
      </c>
      <c r="K4" s="62">
        <f>B3</f>
        <v>783.13472659562228</v>
      </c>
    </row>
    <row r="5" spans="1:20" x14ac:dyDescent="0.4">
      <c r="A5" s="1" t="s">
        <v>2</v>
      </c>
      <c r="B5" s="2">
        <v>6</v>
      </c>
      <c r="E5" s="69" t="s">
        <v>54</v>
      </c>
      <c r="F5" s="69">
        <v>74</v>
      </c>
      <c r="G5" s="66" t="s">
        <v>44</v>
      </c>
    </row>
    <row r="6" spans="1:20" x14ac:dyDescent="0.4">
      <c r="A6" s="1" t="s">
        <v>3</v>
      </c>
      <c r="B6" s="3">
        <f>B2/B4*B5</f>
        <v>504.08219178082192</v>
      </c>
      <c r="E6" s="70" t="s">
        <v>55</v>
      </c>
      <c r="F6" s="70">
        <f>0.7*F4</f>
        <v>518</v>
      </c>
      <c r="G6" s="67" t="s">
        <v>44</v>
      </c>
    </row>
    <row r="7" spans="1:20" x14ac:dyDescent="0.4">
      <c r="A7" s="6" t="s">
        <v>48</v>
      </c>
      <c r="B7" s="2">
        <v>99.9</v>
      </c>
    </row>
    <row r="8" spans="1:20" x14ac:dyDescent="0.4">
      <c r="A8" s="26" t="s">
        <v>4</v>
      </c>
      <c r="B8" s="27">
        <f>B2/B3</f>
        <v>39.156736329781111</v>
      </c>
      <c r="E8" s="43" t="s">
        <v>56</v>
      </c>
      <c r="F8" s="53">
        <v>99.9</v>
      </c>
      <c r="G8" s="53">
        <v>99</v>
      </c>
      <c r="H8" s="54">
        <v>95</v>
      </c>
    </row>
    <row r="9" spans="1:20" x14ac:dyDescent="0.4">
      <c r="A9" s="1" t="s">
        <v>5</v>
      </c>
      <c r="B9" s="4">
        <f>1-B10</f>
        <v>9.9999999999988987E-4</v>
      </c>
      <c r="E9" s="40" t="s">
        <v>57</v>
      </c>
      <c r="F9" s="51">
        <f>F4*COUNTIF(H17:H56,"&gt;0")*I4</f>
        <v>16806071.232742053</v>
      </c>
      <c r="G9" s="51">
        <f>F4*COUNTIF(N17:N56,"&gt;0")*J4</f>
        <v>16226551.535061294</v>
      </c>
      <c r="H9" s="50">
        <f>F4*COUNTIF(T17:T56,"&gt;0")*K4</f>
        <v>16806071.232742053</v>
      </c>
    </row>
    <row r="10" spans="1:20" x14ac:dyDescent="0.4">
      <c r="A10" s="1" t="s">
        <v>6</v>
      </c>
      <c r="B10" s="4">
        <f>B7*0.01</f>
        <v>0.99900000000000011</v>
      </c>
      <c r="E10" s="40" t="s">
        <v>58</v>
      </c>
      <c r="F10" s="52">
        <f>F5*SUMIF(G17:G56,"&gt;0",G17:G56)</f>
        <v>2632956.5502098543</v>
      </c>
      <c r="G10" s="52">
        <f>F5*SUMIF(M17:M56,"&gt;0",M17:M56)</f>
        <v>2066409.2258146063</v>
      </c>
      <c r="H10" s="50">
        <f>F5*SUMIF(S17:S56,"&gt;0",S17:S56)</f>
        <v>2401148.6711375513</v>
      </c>
    </row>
    <row r="11" spans="1:20" x14ac:dyDescent="0.4">
      <c r="A11" s="1" t="s">
        <v>7</v>
      </c>
      <c r="B11" s="5">
        <v>589.71</v>
      </c>
      <c r="E11" s="40" t="s">
        <v>59</v>
      </c>
      <c r="F11" s="52">
        <f>-F6*SUMIF(G17:G56,"&lt;0",G17:G56)</f>
        <v>0</v>
      </c>
      <c r="G11" s="52">
        <f>-F6*SUMIF(M17:M56,"&lt;0",M17:M56)</f>
        <v>1713461.7665047082</v>
      </c>
      <c r="H11" s="50">
        <f>-F6*SUMIF(S17:S56,"&lt;0",S17:S56)</f>
        <v>0</v>
      </c>
    </row>
    <row r="12" spans="1:20" x14ac:dyDescent="0.4">
      <c r="A12" s="1" t="s">
        <v>8</v>
      </c>
      <c r="B12" s="5">
        <v>197.88</v>
      </c>
      <c r="E12" s="40" t="s">
        <v>61</v>
      </c>
      <c r="F12" s="52">
        <f>SUM(F9:F11)</f>
        <v>19439027.782951906</v>
      </c>
      <c r="G12" s="52">
        <f>SUM(G9:G11)</f>
        <v>20006422.527380608</v>
      </c>
      <c r="H12" s="50">
        <f>SUM(H9:H11)</f>
        <v>19207219.903879605</v>
      </c>
    </row>
    <row r="13" spans="1:20" x14ac:dyDescent="0.4">
      <c r="A13" s="6" t="s">
        <v>9</v>
      </c>
      <c r="B13" s="3">
        <f>NORMINV(B10,B11,B12)</f>
        <v>1201.2051687444934</v>
      </c>
      <c r="E13" s="41" t="s">
        <v>69</v>
      </c>
      <c r="F13" s="38">
        <f>COUNTIF(G17:G56,"&lt;0")</f>
        <v>0</v>
      </c>
      <c r="G13" s="38">
        <f>COUNTIF(M17:M56,"&lt;0")</f>
        <v>16</v>
      </c>
      <c r="H13" s="31">
        <f>COUNTIF(S17:S56,"&lt;0")</f>
        <v>0</v>
      </c>
    </row>
    <row r="14" spans="1:20" x14ac:dyDescent="0.4">
      <c r="A14" s="1" t="s">
        <v>10</v>
      </c>
      <c r="B14" s="3">
        <f>B6</f>
        <v>504.08219178082192</v>
      </c>
    </row>
    <row r="15" spans="1:20" x14ac:dyDescent="0.4">
      <c r="A15" s="1" t="s">
        <v>11</v>
      </c>
      <c r="B15" s="5">
        <f>B13</f>
        <v>1201.2051687444934</v>
      </c>
      <c r="E15" t="s">
        <v>68</v>
      </c>
      <c r="F15" s="30" t="s">
        <v>65</v>
      </c>
      <c r="L15" s="30" t="s">
        <v>66</v>
      </c>
      <c r="R15" s="30" t="s">
        <v>67</v>
      </c>
    </row>
    <row r="16" spans="1:20" x14ac:dyDescent="0.4">
      <c r="A16" s="6" t="s">
        <v>50</v>
      </c>
      <c r="B16" s="3">
        <f>B15-B14</f>
        <v>697.12297696367159</v>
      </c>
      <c r="D16" s="55" t="s">
        <v>62</v>
      </c>
      <c r="E16" s="55" t="s">
        <v>72</v>
      </c>
      <c r="F16" s="55" t="s">
        <v>0</v>
      </c>
      <c r="G16" s="55" t="s">
        <v>63</v>
      </c>
      <c r="H16" s="55" t="s">
        <v>64</v>
      </c>
      <c r="I16" s="29"/>
      <c r="J16" s="55" t="s">
        <v>62</v>
      </c>
      <c r="K16" s="55" t="s">
        <v>72</v>
      </c>
      <c r="L16" s="55" t="s">
        <v>0</v>
      </c>
      <c r="M16" s="55" t="s">
        <v>63</v>
      </c>
      <c r="N16" s="56" t="s">
        <v>64</v>
      </c>
      <c r="O16" s="29"/>
      <c r="P16" s="55" t="s">
        <v>62</v>
      </c>
      <c r="Q16" s="55" t="s">
        <v>72</v>
      </c>
      <c r="R16" s="55" t="s">
        <v>0</v>
      </c>
      <c r="S16" s="55" t="s">
        <v>63</v>
      </c>
      <c r="T16" s="55" t="s">
        <v>64</v>
      </c>
    </row>
    <row r="17" spans="1:20" x14ac:dyDescent="0.4">
      <c r="D17" s="32">
        <v>1</v>
      </c>
      <c r="E17" s="35">
        <v>2858.877</v>
      </c>
      <c r="F17" s="39">
        <v>262</v>
      </c>
      <c r="G17" s="39">
        <f t="shared" ref="G17:G31" si="0">E17-F17</f>
        <v>2596.877</v>
      </c>
      <c r="H17" s="35">
        <f t="shared" ref="H17:H56" si="1">IF(G17&lt;=$I$3,$I$4,0)</f>
        <v>0</v>
      </c>
      <c r="J17" s="32">
        <v>1</v>
      </c>
      <c r="K17" s="35">
        <v>2858.877</v>
      </c>
      <c r="L17" s="39">
        <v>262</v>
      </c>
      <c r="M17" s="47">
        <f t="shared" ref="M17:M31" si="2">K17-L17</f>
        <v>2596.877</v>
      </c>
      <c r="N17" s="35">
        <f>IF(M17&lt;=$J$3,$J$4,0)</f>
        <v>0</v>
      </c>
      <c r="P17" s="32">
        <v>1</v>
      </c>
      <c r="Q17" s="35">
        <v>2858.877</v>
      </c>
      <c r="R17" s="39">
        <v>262</v>
      </c>
      <c r="S17" s="39">
        <f t="shared" ref="S17:S31" si="3">Q17-R17</f>
        <v>2596.877</v>
      </c>
      <c r="T17" s="35">
        <f t="shared" ref="T17:T56" si="4">IF(S17&lt;=$K$3,$K$4,0)</f>
        <v>0</v>
      </c>
    </row>
    <row r="18" spans="1:20" x14ac:dyDescent="0.4">
      <c r="A18" s="71" t="s">
        <v>66</v>
      </c>
      <c r="D18" s="33">
        <v>2</v>
      </c>
      <c r="E18" s="36">
        <f>G17</f>
        <v>2596.877</v>
      </c>
      <c r="F18" s="36">
        <v>262</v>
      </c>
      <c r="G18" s="36">
        <f t="shared" si="0"/>
        <v>2334.877</v>
      </c>
      <c r="H18" s="37">
        <f t="shared" si="1"/>
        <v>0</v>
      </c>
      <c r="J18" s="33">
        <v>2</v>
      </c>
      <c r="K18" s="36">
        <f>M17</f>
        <v>2596.877</v>
      </c>
      <c r="L18" s="36">
        <v>262</v>
      </c>
      <c r="M18" s="48">
        <f t="shared" si="2"/>
        <v>2334.877</v>
      </c>
      <c r="N18" s="37">
        <f t="shared" ref="N18:N56" si="5">IF(M18&lt;=$J$3,$J$4,0)</f>
        <v>0</v>
      </c>
      <c r="P18" s="33">
        <v>2</v>
      </c>
      <c r="Q18" s="36">
        <f>S17</f>
        <v>2596.877</v>
      </c>
      <c r="R18" s="36">
        <v>262</v>
      </c>
      <c r="S18" s="36">
        <f t="shared" si="3"/>
        <v>2334.877</v>
      </c>
      <c r="T18" s="35">
        <f t="shared" si="4"/>
        <v>0</v>
      </c>
    </row>
    <row r="19" spans="1:20" x14ac:dyDescent="0.4">
      <c r="A19" s="1" t="s">
        <v>0</v>
      </c>
      <c r="B19" s="2">
        <f>B2</f>
        <v>30665</v>
      </c>
      <c r="D19" s="33">
        <v>3</v>
      </c>
      <c r="E19" s="36">
        <f t="shared" ref="E19:E32" si="6">G18+H17</f>
        <v>2334.877</v>
      </c>
      <c r="F19" s="36">
        <v>284.02100000000002</v>
      </c>
      <c r="G19" s="36">
        <f t="shared" si="0"/>
        <v>2050.8559999999998</v>
      </c>
      <c r="H19" s="37">
        <f t="shared" si="1"/>
        <v>0</v>
      </c>
      <c r="J19" s="33">
        <v>3</v>
      </c>
      <c r="K19" s="36">
        <f t="shared" ref="K19:K32" si="7">M18+N17</f>
        <v>2334.877</v>
      </c>
      <c r="L19" s="36">
        <v>284.02100000000002</v>
      </c>
      <c r="M19" s="48">
        <f t="shared" si="2"/>
        <v>2050.8559999999998</v>
      </c>
      <c r="N19" s="37">
        <f t="shared" si="5"/>
        <v>0</v>
      </c>
      <c r="P19" s="33">
        <v>3</v>
      </c>
      <c r="Q19" s="36">
        <f t="shared" ref="Q19:Q32" si="8">S18+T17</f>
        <v>2334.877</v>
      </c>
      <c r="R19" s="36">
        <v>284.02100000000002</v>
      </c>
      <c r="S19" s="36">
        <f t="shared" si="3"/>
        <v>2050.8559999999998</v>
      </c>
      <c r="T19" s="35">
        <f t="shared" si="4"/>
        <v>0</v>
      </c>
    </row>
    <row r="20" spans="1:20" x14ac:dyDescent="0.4">
      <c r="A20" s="1" t="s">
        <v>1</v>
      </c>
      <c r="B20" s="57">
        <f>B3</f>
        <v>783.13472659562228</v>
      </c>
      <c r="D20" s="33">
        <v>4</v>
      </c>
      <c r="E20" s="36">
        <f t="shared" si="6"/>
        <v>2050.8559999999998</v>
      </c>
      <c r="F20" s="36">
        <v>332.74841900000001</v>
      </c>
      <c r="G20" s="36">
        <f t="shared" si="0"/>
        <v>1718.1075809999998</v>
      </c>
      <c r="H20" s="37">
        <f t="shared" si="1"/>
        <v>0</v>
      </c>
      <c r="J20" s="33">
        <v>4</v>
      </c>
      <c r="K20" s="36">
        <f t="shared" si="7"/>
        <v>2050.8559999999998</v>
      </c>
      <c r="L20" s="36">
        <v>332.74841900000001</v>
      </c>
      <c r="M20" s="48">
        <f t="shared" si="2"/>
        <v>1718.1075809999998</v>
      </c>
      <c r="N20" s="37">
        <f t="shared" si="5"/>
        <v>0</v>
      </c>
      <c r="P20" s="33">
        <v>4</v>
      </c>
      <c r="Q20" s="36">
        <f t="shared" si="8"/>
        <v>2050.8559999999998</v>
      </c>
      <c r="R20" s="36">
        <v>332.74841900000001</v>
      </c>
      <c r="S20" s="36">
        <f t="shared" si="3"/>
        <v>1718.1075809999998</v>
      </c>
      <c r="T20" s="35">
        <f t="shared" si="4"/>
        <v>0</v>
      </c>
    </row>
    <row r="21" spans="1:20" x14ac:dyDescent="0.4">
      <c r="A21" s="1" t="s">
        <v>49</v>
      </c>
      <c r="B21" s="2">
        <v>365</v>
      </c>
      <c r="D21" s="33">
        <v>5</v>
      </c>
      <c r="E21" s="36">
        <f t="shared" si="6"/>
        <v>1718.1075809999998</v>
      </c>
      <c r="F21" s="36">
        <v>297.100239741</v>
      </c>
      <c r="G21" s="36">
        <f t="shared" si="0"/>
        <v>1421.0073412589998</v>
      </c>
      <c r="H21" s="37">
        <f t="shared" si="1"/>
        <v>0</v>
      </c>
      <c r="J21" s="33">
        <v>5</v>
      </c>
      <c r="K21" s="36">
        <f t="shared" si="7"/>
        <v>1718.1075809999998</v>
      </c>
      <c r="L21" s="36">
        <v>297.100239741</v>
      </c>
      <c r="M21" s="48">
        <f t="shared" si="2"/>
        <v>1421.0073412589998</v>
      </c>
      <c r="N21" s="37">
        <f t="shared" si="5"/>
        <v>0</v>
      </c>
      <c r="P21" s="33">
        <v>5</v>
      </c>
      <c r="Q21" s="36">
        <f t="shared" si="8"/>
        <v>1718.1075809999998</v>
      </c>
      <c r="R21" s="36">
        <v>297.100239741</v>
      </c>
      <c r="S21" s="36">
        <f t="shared" si="3"/>
        <v>1421.0073412589998</v>
      </c>
      <c r="T21" s="35">
        <f t="shared" si="4"/>
        <v>0</v>
      </c>
    </row>
    <row r="22" spans="1:20" x14ac:dyDescent="0.4">
      <c r="A22" s="1" t="s">
        <v>2</v>
      </c>
      <c r="B22" s="2">
        <v>6</v>
      </c>
      <c r="D22" s="33">
        <v>6</v>
      </c>
      <c r="E22" s="36">
        <f t="shared" si="6"/>
        <v>1421.0073412589998</v>
      </c>
      <c r="F22" s="36">
        <v>311.14305319449898</v>
      </c>
      <c r="G22" s="36">
        <f t="shared" si="0"/>
        <v>1109.8642880645007</v>
      </c>
      <c r="H22" s="37">
        <f t="shared" si="1"/>
        <v>783.13472659562228</v>
      </c>
      <c r="J22" s="33">
        <v>6</v>
      </c>
      <c r="K22" s="36">
        <f t="shared" si="7"/>
        <v>1421.0073412589998</v>
      </c>
      <c r="L22" s="36">
        <v>311.14305319449898</v>
      </c>
      <c r="M22" s="48">
        <f t="shared" si="2"/>
        <v>1109.8642880645007</v>
      </c>
      <c r="N22" s="37">
        <f t="shared" si="5"/>
        <v>0</v>
      </c>
      <c r="P22" s="33">
        <v>6</v>
      </c>
      <c r="Q22" s="36">
        <f t="shared" si="8"/>
        <v>1421.0073412589998</v>
      </c>
      <c r="R22" s="36">
        <v>311.14305319449898</v>
      </c>
      <c r="S22" s="36">
        <f t="shared" si="3"/>
        <v>1109.8642880645007</v>
      </c>
      <c r="T22" s="35">
        <f t="shared" si="4"/>
        <v>0</v>
      </c>
    </row>
    <row r="23" spans="1:20" x14ac:dyDescent="0.4">
      <c r="A23" s="1" t="s">
        <v>3</v>
      </c>
      <c r="B23" s="3">
        <f>B19/B21*B22</f>
        <v>504.08219178082192</v>
      </c>
      <c r="D23" s="33">
        <v>7</v>
      </c>
      <c r="E23" s="36">
        <f t="shared" si="6"/>
        <v>1109.8642880645007</v>
      </c>
      <c r="F23" s="36">
        <v>273.18641099128484</v>
      </c>
      <c r="G23" s="36">
        <f t="shared" si="0"/>
        <v>836.67787707321577</v>
      </c>
      <c r="H23" s="37">
        <f t="shared" si="1"/>
        <v>783.13472659562228</v>
      </c>
      <c r="J23" s="33">
        <v>7</v>
      </c>
      <c r="K23" s="36">
        <f t="shared" si="7"/>
        <v>1109.8642880645007</v>
      </c>
      <c r="L23" s="36">
        <v>273.18641099128484</v>
      </c>
      <c r="M23" s="48">
        <f t="shared" si="2"/>
        <v>836.67787707321577</v>
      </c>
      <c r="N23" s="37">
        <f t="shared" si="5"/>
        <v>783.13472659562228</v>
      </c>
      <c r="P23" s="33">
        <v>7</v>
      </c>
      <c r="Q23" s="36">
        <f t="shared" si="8"/>
        <v>1109.8642880645007</v>
      </c>
      <c r="R23" s="36">
        <v>273.18641099128484</v>
      </c>
      <c r="S23" s="36">
        <f t="shared" si="3"/>
        <v>836.67787707321577</v>
      </c>
      <c r="T23" s="35">
        <f t="shared" si="4"/>
        <v>783.13472659562228</v>
      </c>
    </row>
    <row r="24" spans="1:20" x14ac:dyDescent="0.4">
      <c r="A24" s="6" t="s">
        <v>48</v>
      </c>
      <c r="B24" s="2">
        <v>99</v>
      </c>
      <c r="D24" s="33">
        <v>8</v>
      </c>
      <c r="E24" s="36">
        <f t="shared" si="6"/>
        <v>1619.8126036688382</v>
      </c>
      <c r="F24" s="36">
        <v>328.71311662343101</v>
      </c>
      <c r="G24" s="36">
        <f t="shared" si="0"/>
        <v>1291.0994870454072</v>
      </c>
      <c r="H24" s="37">
        <f t="shared" si="1"/>
        <v>0</v>
      </c>
      <c r="J24" s="33">
        <v>8</v>
      </c>
      <c r="K24" s="36">
        <f t="shared" si="7"/>
        <v>836.67787707321577</v>
      </c>
      <c r="L24" s="36">
        <v>328.71311662343101</v>
      </c>
      <c r="M24" s="48">
        <f t="shared" si="2"/>
        <v>507.96476044978476</v>
      </c>
      <c r="N24" s="37">
        <f t="shared" si="5"/>
        <v>783.13472659562228</v>
      </c>
      <c r="P24" s="33">
        <v>8</v>
      </c>
      <c r="Q24" s="36">
        <f t="shared" si="8"/>
        <v>836.67787707321577</v>
      </c>
      <c r="R24" s="36">
        <v>328.71311662343101</v>
      </c>
      <c r="S24" s="36">
        <f t="shared" si="3"/>
        <v>507.96476044978476</v>
      </c>
      <c r="T24" s="35">
        <f t="shared" si="4"/>
        <v>783.13472659562228</v>
      </c>
    </row>
    <row r="25" spans="1:20" x14ac:dyDescent="0.4">
      <c r="A25" s="26" t="s">
        <v>4</v>
      </c>
      <c r="B25" s="27">
        <f>B19/B20</f>
        <v>39.156736329781111</v>
      </c>
      <c r="D25" s="33">
        <v>9</v>
      </c>
      <c r="E25" s="36">
        <f t="shared" si="6"/>
        <v>2074.2342136410293</v>
      </c>
      <c r="F25" s="36">
        <v>384.0496815223724</v>
      </c>
      <c r="G25" s="36">
        <f t="shared" si="0"/>
        <v>1690.184532118657</v>
      </c>
      <c r="H25" s="37">
        <f t="shared" si="1"/>
        <v>0</v>
      </c>
      <c r="J25" s="33">
        <v>9</v>
      </c>
      <c r="K25" s="36">
        <f t="shared" si="7"/>
        <v>1291.0994870454069</v>
      </c>
      <c r="L25" s="36">
        <v>384.0496815223724</v>
      </c>
      <c r="M25" s="48">
        <f t="shared" si="2"/>
        <v>907.04980552303459</v>
      </c>
      <c r="N25" s="37">
        <f t="shared" si="5"/>
        <v>783.13472659562228</v>
      </c>
      <c r="P25" s="33">
        <v>9</v>
      </c>
      <c r="Q25" s="36">
        <f t="shared" si="8"/>
        <v>1291.0994870454069</v>
      </c>
      <c r="R25" s="36">
        <v>384.0496815223724</v>
      </c>
      <c r="S25" s="36">
        <f t="shared" si="3"/>
        <v>907.04980552303459</v>
      </c>
      <c r="T25" s="35">
        <f t="shared" si="4"/>
        <v>783.13472659562228</v>
      </c>
    </row>
    <row r="26" spans="1:20" x14ac:dyDescent="0.4">
      <c r="A26" s="1" t="s">
        <v>5</v>
      </c>
      <c r="B26" s="4">
        <f>1-B27</f>
        <v>1.0000000000000009E-2</v>
      </c>
      <c r="D26" s="33">
        <v>10</v>
      </c>
      <c r="E26" s="36">
        <f t="shared" si="6"/>
        <v>1690.184532118657</v>
      </c>
      <c r="F26" s="36">
        <v>445.40174649279595</v>
      </c>
      <c r="G26" s="36">
        <f t="shared" si="0"/>
        <v>1244.7827856258609</v>
      </c>
      <c r="H26" s="37">
        <f t="shared" si="1"/>
        <v>0</v>
      </c>
      <c r="J26" s="33">
        <v>10</v>
      </c>
      <c r="K26" s="36">
        <f t="shared" si="7"/>
        <v>1690.184532118657</v>
      </c>
      <c r="L26" s="36">
        <v>445.40174649279595</v>
      </c>
      <c r="M26" s="48">
        <f t="shared" si="2"/>
        <v>1244.7827856258609</v>
      </c>
      <c r="N26" s="37">
        <f t="shared" si="5"/>
        <v>0</v>
      </c>
      <c r="P26" s="33">
        <v>10</v>
      </c>
      <c r="Q26" s="36">
        <f t="shared" si="8"/>
        <v>1690.184532118657</v>
      </c>
      <c r="R26" s="36">
        <v>445.40174649279595</v>
      </c>
      <c r="S26" s="36">
        <f t="shared" si="3"/>
        <v>1244.7827856258609</v>
      </c>
      <c r="T26" s="35">
        <f t="shared" si="4"/>
        <v>0</v>
      </c>
    </row>
    <row r="27" spans="1:20" x14ac:dyDescent="0.4">
      <c r="A27" s="1" t="s">
        <v>6</v>
      </c>
      <c r="B27" s="4">
        <f>B24*0.01</f>
        <v>0.99</v>
      </c>
      <c r="D27" s="33">
        <v>11</v>
      </c>
      <c r="E27" s="36">
        <f t="shared" si="6"/>
        <v>1244.7827856258609</v>
      </c>
      <c r="F27" s="36">
        <v>533.34071600889661</v>
      </c>
      <c r="G27" s="36">
        <f t="shared" si="0"/>
        <v>711.44206961696432</v>
      </c>
      <c r="H27" s="37">
        <f t="shared" si="1"/>
        <v>783.13472659562228</v>
      </c>
      <c r="J27" s="33">
        <v>11</v>
      </c>
      <c r="K27" s="36">
        <f t="shared" si="7"/>
        <v>2027.9175122214833</v>
      </c>
      <c r="L27" s="36">
        <v>533.34071600889661</v>
      </c>
      <c r="M27" s="48">
        <f t="shared" si="2"/>
        <v>1494.5767962125867</v>
      </c>
      <c r="N27" s="37">
        <f t="shared" si="5"/>
        <v>0</v>
      </c>
      <c r="P27" s="33">
        <v>11</v>
      </c>
      <c r="Q27" s="36">
        <f t="shared" si="8"/>
        <v>2027.9175122214833</v>
      </c>
      <c r="R27" s="36">
        <v>533.34071600889661</v>
      </c>
      <c r="S27" s="36">
        <f t="shared" si="3"/>
        <v>1494.5767962125867</v>
      </c>
      <c r="T27" s="35">
        <f t="shared" si="4"/>
        <v>0</v>
      </c>
    </row>
    <row r="28" spans="1:20" x14ac:dyDescent="0.4">
      <c r="A28" s="1" t="s">
        <v>7</v>
      </c>
      <c r="B28" s="5">
        <f>B11</f>
        <v>589.71</v>
      </c>
      <c r="D28" s="33">
        <v>12</v>
      </c>
      <c r="E28" s="36">
        <f t="shared" si="6"/>
        <v>711.44206961696432</v>
      </c>
      <c r="F28" s="36">
        <v>481.59471752968489</v>
      </c>
      <c r="G28" s="36">
        <f t="shared" si="0"/>
        <v>229.84735208727943</v>
      </c>
      <c r="H28" s="37">
        <f t="shared" si="1"/>
        <v>783.13472659562228</v>
      </c>
      <c r="J28" s="33">
        <v>12</v>
      </c>
      <c r="K28" s="36">
        <f t="shared" si="7"/>
        <v>1494.5767962125867</v>
      </c>
      <c r="L28" s="36">
        <v>481.59471752968489</v>
      </c>
      <c r="M28" s="48">
        <f t="shared" si="2"/>
        <v>1012.9820786829018</v>
      </c>
      <c r="N28" s="37">
        <f t="shared" si="5"/>
        <v>783.13472659562228</v>
      </c>
      <c r="P28" s="33">
        <v>12</v>
      </c>
      <c r="Q28" s="36">
        <f t="shared" si="8"/>
        <v>1494.5767962125867</v>
      </c>
      <c r="R28" s="36">
        <v>481.59471752968489</v>
      </c>
      <c r="S28" s="36">
        <f t="shared" si="3"/>
        <v>1012.9820786829018</v>
      </c>
      <c r="T28" s="35">
        <f t="shared" si="4"/>
        <v>0</v>
      </c>
    </row>
    <row r="29" spans="1:20" x14ac:dyDescent="0.4">
      <c r="A29" s="1" t="s">
        <v>8</v>
      </c>
      <c r="B29" s="5">
        <v>197.88</v>
      </c>
      <c r="D29" s="33">
        <v>13</v>
      </c>
      <c r="E29" s="36">
        <f t="shared" si="6"/>
        <v>1012.9820786829017</v>
      </c>
      <c r="F29" s="36">
        <v>489.68302450146859</v>
      </c>
      <c r="G29" s="36">
        <f t="shared" si="0"/>
        <v>523.29905418143312</v>
      </c>
      <c r="H29" s="37">
        <f t="shared" si="1"/>
        <v>783.13472659562228</v>
      </c>
      <c r="J29" s="33">
        <v>13</v>
      </c>
      <c r="K29" s="36">
        <f t="shared" si="7"/>
        <v>1012.9820786829018</v>
      </c>
      <c r="L29" s="36">
        <v>489.68302450146859</v>
      </c>
      <c r="M29" s="48">
        <f t="shared" si="2"/>
        <v>523.29905418143323</v>
      </c>
      <c r="N29" s="37">
        <f t="shared" si="5"/>
        <v>783.13472659562228</v>
      </c>
      <c r="P29" s="33">
        <v>13</v>
      </c>
      <c r="Q29" s="36">
        <f t="shared" si="8"/>
        <v>1012.9820786829018</v>
      </c>
      <c r="R29" s="36">
        <v>489.68302450146859</v>
      </c>
      <c r="S29" s="36">
        <f t="shared" si="3"/>
        <v>523.29905418143323</v>
      </c>
      <c r="T29" s="35">
        <f t="shared" si="4"/>
        <v>783.13472659562228</v>
      </c>
    </row>
    <row r="30" spans="1:20" x14ac:dyDescent="0.4">
      <c r="A30" s="6" t="s">
        <v>9</v>
      </c>
      <c r="B30" s="3">
        <f>NORMINV(B27,B28,B29)</f>
        <v>1050.0477173152017</v>
      </c>
      <c r="D30" s="33">
        <v>14</v>
      </c>
      <c r="E30" s="36">
        <f t="shared" si="6"/>
        <v>1306.4337807770553</v>
      </c>
      <c r="F30" s="36">
        <v>443.95045265643847</v>
      </c>
      <c r="G30" s="36">
        <f t="shared" si="0"/>
        <v>862.48332812061676</v>
      </c>
      <c r="H30" s="37">
        <f t="shared" si="1"/>
        <v>783.13472659562228</v>
      </c>
      <c r="J30" s="33">
        <v>14</v>
      </c>
      <c r="K30" s="36">
        <f t="shared" si="7"/>
        <v>1306.4337807770555</v>
      </c>
      <c r="L30" s="36">
        <v>443.95045265643847</v>
      </c>
      <c r="M30" s="48">
        <f t="shared" si="2"/>
        <v>862.48332812061699</v>
      </c>
      <c r="N30" s="37">
        <f t="shared" si="5"/>
        <v>783.13472659562228</v>
      </c>
      <c r="P30" s="33">
        <v>14</v>
      </c>
      <c r="Q30" s="36">
        <f t="shared" si="8"/>
        <v>523.29905418143323</v>
      </c>
      <c r="R30" s="36">
        <v>443.95045265643847</v>
      </c>
      <c r="S30" s="36">
        <f t="shared" si="3"/>
        <v>79.348601524994763</v>
      </c>
      <c r="T30" s="35">
        <f t="shared" si="4"/>
        <v>783.13472659562228</v>
      </c>
    </row>
    <row r="31" spans="1:20" x14ac:dyDescent="0.4">
      <c r="A31" s="1" t="s">
        <v>10</v>
      </c>
      <c r="B31" s="3">
        <f>B23</f>
        <v>504.08219178082192</v>
      </c>
      <c r="D31" s="33">
        <v>15</v>
      </c>
      <c r="E31" s="36">
        <f t="shared" si="6"/>
        <v>1645.6180547162389</v>
      </c>
      <c r="F31" s="36">
        <v>495.95233924746424</v>
      </c>
      <c r="G31" s="36">
        <f t="shared" si="0"/>
        <v>1149.6657154687746</v>
      </c>
      <c r="H31" s="37">
        <f t="shared" si="1"/>
        <v>783.13472659562228</v>
      </c>
      <c r="J31" s="33">
        <v>15</v>
      </c>
      <c r="K31" s="36">
        <f t="shared" si="7"/>
        <v>1645.6180547162394</v>
      </c>
      <c r="L31" s="36">
        <v>495.95233924746424</v>
      </c>
      <c r="M31" s="48">
        <f t="shared" si="2"/>
        <v>1149.665715468775</v>
      </c>
      <c r="N31" s="37">
        <f t="shared" si="5"/>
        <v>0</v>
      </c>
      <c r="P31" s="33">
        <v>15</v>
      </c>
      <c r="Q31" s="36">
        <f t="shared" si="8"/>
        <v>862.48332812061699</v>
      </c>
      <c r="R31" s="36">
        <v>495.95233924746424</v>
      </c>
      <c r="S31" s="36">
        <f t="shared" si="3"/>
        <v>366.53098887315275</v>
      </c>
      <c r="T31" s="35">
        <f t="shared" si="4"/>
        <v>783.13472659562228</v>
      </c>
    </row>
    <row r="32" spans="1:20" x14ac:dyDescent="0.4">
      <c r="A32" s="1" t="s">
        <v>11</v>
      </c>
      <c r="B32" s="5">
        <f>B30</f>
        <v>1050.0477173152017</v>
      </c>
      <c r="D32" s="33">
        <v>16</v>
      </c>
      <c r="E32" s="36">
        <f t="shared" si="6"/>
        <v>1932.800442064397</v>
      </c>
      <c r="F32" s="36">
        <v>475.03154477912966</v>
      </c>
      <c r="G32" s="36">
        <f t="shared" ref="G32:G56" si="9">E32-F32</f>
        <v>1457.7688972852673</v>
      </c>
      <c r="H32" s="37">
        <f t="shared" si="1"/>
        <v>0</v>
      </c>
      <c r="J32" s="33">
        <v>16</v>
      </c>
      <c r="K32" s="36">
        <f t="shared" si="7"/>
        <v>1932.8004420643974</v>
      </c>
      <c r="L32" s="36">
        <v>475.03154477912966</v>
      </c>
      <c r="M32" s="48">
        <f t="shared" ref="M32:M56" si="10">K32-L32</f>
        <v>1457.7688972852677</v>
      </c>
      <c r="N32" s="37">
        <f t="shared" si="5"/>
        <v>0</v>
      </c>
      <c r="P32" s="33">
        <v>16</v>
      </c>
      <c r="Q32" s="36">
        <f t="shared" si="8"/>
        <v>1149.665715468775</v>
      </c>
      <c r="R32" s="36">
        <v>475.03154477912966</v>
      </c>
      <c r="S32" s="36">
        <f t="shared" ref="S32:S56" si="11">Q32-R32</f>
        <v>674.63417068964532</v>
      </c>
      <c r="T32" s="35">
        <f t="shared" si="4"/>
        <v>783.13472659562228</v>
      </c>
    </row>
    <row r="33" spans="1:20" x14ac:dyDescent="0.4">
      <c r="A33" s="6" t="s">
        <v>50</v>
      </c>
      <c r="B33" s="3">
        <f>B32-B31</f>
        <v>545.96552553437982</v>
      </c>
      <c r="D33" s="33">
        <v>17</v>
      </c>
      <c r="E33" s="36">
        <f t="shared" ref="E33:E55" si="12">G32+H31</f>
        <v>2240.9036238808894</v>
      </c>
      <c r="F33" s="36">
        <v>454.80415711386388</v>
      </c>
      <c r="G33" s="36">
        <f t="shared" si="9"/>
        <v>1786.0994667670257</v>
      </c>
      <c r="H33" s="37">
        <f t="shared" si="1"/>
        <v>0</v>
      </c>
      <c r="J33" s="33">
        <v>17</v>
      </c>
      <c r="K33" s="36">
        <f t="shared" ref="K33:K56" si="13">M32+N31</f>
        <v>1457.7688972852677</v>
      </c>
      <c r="L33" s="36">
        <v>454.80415711386388</v>
      </c>
      <c r="M33" s="48">
        <f t="shared" si="10"/>
        <v>1002.9647401714038</v>
      </c>
      <c r="N33" s="37">
        <f t="shared" si="5"/>
        <v>783.13472659562228</v>
      </c>
      <c r="P33" s="33">
        <v>17</v>
      </c>
      <c r="Q33" s="36">
        <f t="shared" ref="Q33:Q56" si="14">S32+T31</f>
        <v>1457.7688972852675</v>
      </c>
      <c r="R33" s="36">
        <v>454.80415711386388</v>
      </c>
      <c r="S33" s="36">
        <f t="shared" si="11"/>
        <v>1002.9647401714036</v>
      </c>
      <c r="T33" s="35">
        <f t="shared" si="4"/>
        <v>0</v>
      </c>
    </row>
    <row r="34" spans="1:20" x14ac:dyDescent="0.4">
      <c r="D34" s="33">
        <v>18</v>
      </c>
      <c r="E34" s="36">
        <f t="shared" si="12"/>
        <v>1786.0994667670257</v>
      </c>
      <c r="F34" s="36">
        <v>560.28685639575906</v>
      </c>
      <c r="G34" s="36">
        <f t="shared" si="9"/>
        <v>1225.8126103712666</v>
      </c>
      <c r="H34" s="37">
        <f t="shared" si="1"/>
        <v>0</v>
      </c>
      <c r="J34" s="33">
        <v>18</v>
      </c>
      <c r="K34" s="36">
        <f t="shared" si="13"/>
        <v>1002.9647401714038</v>
      </c>
      <c r="L34" s="36">
        <v>560.28685639575906</v>
      </c>
      <c r="M34" s="48">
        <f t="shared" si="10"/>
        <v>442.67788377564477</v>
      </c>
      <c r="N34" s="37">
        <f t="shared" si="5"/>
        <v>783.13472659562228</v>
      </c>
      <c r="P34" s="33">
        <v>18</v>
      </c>
      <c r="Q34" s="36">
        <f t="shared" si="14"/>
        <v>1786.0994667670259</v>
      </c>
      <c r="R34" s="36">
        <v>560.28685639575906</v>
      </c>
      <c r="S34" s="36">
        <f t="shared" si="11"/>
        <v>1225.8126103712668</v>
      </c>
      <c r="T34" s="35">
        <f t="shared" si="4"/>
        <v>0</v>
      </c>
    </row>
    <row r="35" spans="1:20" x14ac:dyDescent="0.4">
      <c r="A35" s="71" t="s">
        <v>67</v>
      </c>
      <c r="D35" s="33">
        <v>19</v>
      </c>
      <c r="E35" s="36">
        <f t="shared" si="12"/>
        <v>1225.8126103712666</v>
      </c>
      <c r="F35" s="36">
        <v>562.34930123689003</v>
      </c>
      <c r="G35" s="36">
        <f t="shared" si="9"/>
        <v>663.46330913437657</v>
      </c>
      <c r="H35" s="37">
        <f t="shared" si="1"/>
        <v>783.13472659562228</v>
      </c>
      <c r="J35" s="33">
        <v>19</v>
      </c>
      <c r="K35" s="36">
        <f t="shared" si="13"/>
        <v>1225.8126103712671</v>
      </c>
      <c r="L35" s="36">
        <v>562.34930123689003</v>
      </c>
      <c r="M35" s="48">
        <f t="shared" si="10"/>
        <v>663.46330913437703</v>
      </c>
      <c r="N35" s="37">
        <f t="shared" si="5"/>
        <v>783.13472659562228</v>
      </c>
      <c r="P35" s="33">
        <v>19</v>
      </c>
      <c r="Q35" s="36">
        <f t="shared" si="14"/>
        <v>1225.8126103712668</v>
      </c>
      <c r="R35" s="36">
        <v>562.34930123689003</v>
      </c>
      <c r="S35" s="36">
        <f t="shared" si="11"/>
        <v>663.4633091343768</v>
      </c>
      <c r="T35" s="35">
        <f t="shared" si="4"/>
        <v>783.13472659562228</v>
      </c>
    </row>
    <row r="36" spans="1:20" x14ac:dyDescent="0.4">
      <c r="A36" s="1" t="s">
        <v>0</v>
      </c>
      <c r="B36" s="2">
        <f>B19</f>
        <v>30665</v>
      </c>
      <c r="D36" s="33">
        <v>20</v>
      </c>
      <c r="E36" s="36">
        <f t="shared" si="12"/>
        <v>663.46330913437657</v>
      </c>
      <c r="F36" s="36">
        <v>648.50220349037272</v>
      </c>
      <c r="G36" s="36">
        <f t="shared" si="9"/>
        <v>14.961105644003851</v>
      </c>
      <c r="H36" s="37">
        <f t="shared" si="1"/>
        <v>783.13472659562228</v>
      </c>
      <c r="J36" s="33">
        <v>20</v>
      </c>
      <c r="K36" s="36">
        <f t="shared" si="13"/>
        <v>1446.5980357299993</v>
      </c>
      <c r="L36" s="36">
        <v>648.50220349037272</v>
      </c>
      <c r="M36" s="48">
        <f t="shared" si="10"/>
        <v>798.09583223962659</v>
      </c>
      <c r="N36" s="37">
        <f t="shared" si="5"/>
        <v>783.13472659562228</v>
      </c>
      <c r="P36" s="33">
        <v>20</v>
      </c>
      <c r="Q36" s="36">
        <f t="shared" si="14"/>
        <v>663.4633091343768</v>
      </c>
      <c r="R36" s="36">
        <v>648.50220349037272</v>
      </c>
      <c r="S36" s="36">
        <f t="shared" si="11"/>
        <v>14.961105644004078</v>
      </c>
      <c r="T36" s="35">
        <f t="shared" si="4"/>
        <v>783.13472659562228</v>
      </c>
    </row>
    <row r="37" spans="1:20" x14ac:dyDescent="0.4">
      <c r="A37" s="1" t="s">
        <v>1</v>
      </c>
      <c r="B37" s="57">
        <f>B3</f>
        <v>783.13472659562228</v>
      </c>
      <c r="D37" s="33">
        <v>21</v>
      </c>
      <c r="E37" s="36">
        <f t="shared" si="12"/>
        <v>798.09583223962613</v>
      </c>
      <c r="F37" s="36">
        <v>627.02190803034819</v>
      </c>
      <c r="G37" s="36">
        <f t="shared" si="9"/>
        <v>171.07392420927795</v>
      </c>
      <c r="H37" s="37">
        <f t="shared" si="1"/>
        <v>783.13472659562228</v>
      </c>
      <c r="J37" s="33">
        <v>21</v>
      </c>
      <c r="K37" s="36">
        <f t="shared" si="13"/>
        <v>1581.2305588352488</v>
      </c>
      <c r="L37" s="36">
        <v>627.02190803034819</v>
      </c>
      <c r="M37" s="48">
        <f t="shared" si="10"/>
        <v>954.20865080490057</v>
      </c>
      <c r="N37" s="37">
        <f t="shared" si="5"/>
        <v>783.13472659562228</v>
      </c>
      <c r="P37" s="33">
        <v>21</v>
      </c>
      <c r="Q37" s="36">
        <f t="shared" si="14"/>
        <v>798.09583223962636</v>
      </c>
      <c r="R37" s="36">
        <v>627.02190803034819</v>
      </c>
      <c r="S37" s="36">
        <f t="shared" si="11"/>
        <v>171.07392420927818</v>
      </c>
      <c r="T37" s="35">
        <f t="shared" si="4"/>
        <v>783.13472659562228</v>
      </c>
    </row>
    <row r="38" spans="1:20" x14ac:dyDescent="0.4">
      <c r="A38" s="1" t="s">
        <v>49</v>
      </c>
      <c r="B38" s="2">
        <v>365</v>
      </c>
      <c r="D38" s="33">
        <v>22</v>
      </c>
      <c r="E38" s="36">
        <f t="shared" si="12"/>
        <v>954.20865080490023</v>
      </c>
      <c r="F38" s="36">
        <v>684.4129992313924</v>
      </c>
      <c r="G38" s="36">
        <f t="shared" si="9"/>
        <v>269.79565157350783</v>
      </c>
      <c r="H38" s="37">
        <f t="shared" si="1"/>
        <v>783.13472659562228</v>
      </c>
      <c r="J38" s="33">
        <v>22</v>
      </c>
      <c r="K38" s="36">
        <f t="shared" si="13"/>
        <v>1737.343377400523</v>
      </c>
      <c r="L38" s="36">
        <v>684.4129992313924</v>
      </c>
      <c r="M38" s="48">
        <f t="shared" si="10"/>
        <v>1052.9303781691306</v>
      </c>
      <c r="N38" s="37">
        <f t="shared" si="5"/>
        <v>0</v>
      </c>
      <c r="P38" s="33">
        <v>22</v>
      </c>
      <c r="Q38" s="36">
        <f t="shared" si="14"/>
        <v>954.20865080490046</v>
      </c>
      <c r="R38" s="36">
        <v>684.4129992313924</v>
      </c>
      <c r="S38" s="36">
        <f t="shared" si="11"/>
        <v>269.79565157350805</v>
      </c>
      <c r="T38" s="35">
        <f t="shared" si="4"/>
        <v>783.13472659562228</v>
      </c>
    </row>
    <row r="39" spans="1:20" x14ac:dyDescent="0.4">
      <c r="A39" s="1" t="s">
        <v>2</v>
      </c>
      <c r="B39" s="2">
        <v>6</v>
      </c>
      <c r="D39" s="33">
        <v>23</v>
      </c>
      <c r="E39" s="36">
        <f t="shared" si="12"/>
        <v>1052.9303781691301</v>
      </c>
      <c r="F39" s="36">
        <v>631.55790650885979</v>
      </c>
      <c r="G39" s="36">
        <f t="shared" si="9"/>
        <v>421.37247166027032</v>
      </c>
      <c r="H39" s="37">
        <f t="shared" si="1"/>
        <v>783.13472659562228</v>
      </c>
      <c r="J39" s="33">
        <v>23</v>
      </c>
      <c r="K39" s="36">
        <f t="shared" si="13"/>
        <v>1836.065104764753</v>
      </c>
      <c r="L39" s="36">
        <v>631.55790650885979</v>
      </c>
      <c r="M39" s="48">
        <f t="shared" si="10"/>
        <v>1204.5071982558932</v>
      </c>
      <c r="N39" s="37">
        <f t="shared" si="5"/>
        <v>0</v>
      </c>
      <c r="P39" s="33">
        <v>23</v>
      </c>
      <c r="Q39" s="36">
        <f t="shared" si="14"/>
        <v>1052.9303781691303</v>
      </c>
      <c r="R39" s="36">
        <v>631.55790650885979</v>
      </c>
      <c r="S39" s="36">
        <f t="shared" si="11"/>
        <v>421.37247166027055</v>
      </c>
      <c r="T39" s="35">
        <f t="shared" si="4"/>
        <v>783.13472659562228</v>
      </c>
    </row>
    <row r="40" spans="1:20" x14ac:dyDescent="0.4">
      <c r="A40" s="1" t="s">
        <v>3</v>
      </c>
      <c r="B40" s="3">
        <f>B36/B38*B39</f>
        <v>504.08219178082192</v>
      </c>
      <c r="D40" s="33">
        <v>24</v>
      </c>
      <c r="E40" s="36">
        <f t="shared" si="12"/>
        <v>1204.5071982558925</v>
      </c>
      <c r="F40" s="36">
        <v>627.74650225916139</v>
      </c>
      <c r="G40" s="36">
        <f t="shared" si="9"/>
        <v>576.7606959967311</v>
      </c>
      <c r="H40" s="37">
        <f t="shared" si="1"/>
        <v>783.13472659562228</v>
      </c>
      <c r="J40" s="33">
        <v>24</v>
      </c>
      <c r="K40" s="36">
        <f t="shared" si="13"/>
        <v>1204.5071982558932</v>
      </c>
      <c r="L40" s="36">
        <v>627.74650225916139</v>
      </c>
      <c r="M40" s="48">
        <f t="shared" si="10"/>
        <v>576.76069599673178</v>
      </c>
      <c r="N40" s="37">
        <f t="shared" si="5"/>
        <v>783.13472659562228</v>
      </c>
      <c r="P40" s="33">
        <v>24</v>
      </c>
      <c r="Q40" s="36">
        <f t="shared" si="14"/>
        <v>1204.5071982558929</v>
      </c>
      <c r="R40" s="36">
        <v>627.74650225916139</v>
      </c>
      <c r="S40" s="36">
        <f t="shared" si="11"/>
        <v>576.76069599673156</v>
      </c>
      <c r="T40" s="35">
        <f t="shared" si="4"/>
        <v>783.13472659562228</v>
      </c>
    </row>
    <row r="41" spans="1:20" x14ac:dyDescent="0.4">
      <c r="A41" s="6" t="s">
        <v>48</v>
      </c>
      <c r="B41" s="2">
        <v>95</v>
      </c>
      <c r="D41" s="33">
        <v>25</v>
      </c>
      <c r="E41" s="36">
        <f t="shared" si="12"/>
        <v>1359.8954225923535</v>
      </c>
      <c r="F41" s="36">
        <v>698.23301494360408</v>
      </c>
      <c r="G41" s="36">
        <f t="shared" si="9"/>
        <v>661.66240764874942</v>
      </c>
      <c r="H41" s="37">
        <f t="shared" si="1"/>
        <v>783.13472659562228</v>
      </c>
      <c r="J41" s="33">
        <v>25</v>
      </c>
      <c r="K41" s="36">
        <f t="shared" si="13"/>
        <v>576.76069599673178</v>
      </c>
      <c r="L41" s="36">
        <v>698.23301494360408</v>
      </c>
      <c r="M41" s="48">
        <f t="shared" si="10"/>
        <v>-121.47231894687229</v>
      </c>
      <c r="N41" s="37">
        <f t="shared" si="5"/>
        <v>783.13472659562228</v>
      </c>
      <c r="P41" s="33">
        <v>25</v>
      </c>
      <c r="Q41" s="36">
        <f t="shared" si="14"/>
        <v>1359.895422592354</v>
      </c>
      <c r="R41" s="36">
        <v>698.23301494360408</v>
      </c>
      <c r="S41" s="36">
        <f t="shared" si="11"/>
        <v>661.66240764874988</v>
      </c>
      <c r="T41" s="35">
        <f t="shared" si="4"/>
        <v>783.13472659562228</v>
      </c>
    </row>
    <row r="42" spans="1:20" x14ac:dyDescent="0.4">
      <c r="A42" s="26" t="s">
        <v>4</v>
      </c>
      <c r="B42" s="27">
        <f>B36/B37</f>
        <v>39.156736329781111</v>
      </c>
      <c r="D42" s="33">
        <v>26</v>
      </c>
      <c r="E42" s="36">
        <f t="shared" si="12"/>
        <v>1444.7971342443716</v>
      </c>
      <c r="F42" s="36">
        <v>807.531896548963</v>
      </c>
      <c r="G42" s="36">
        <f t="shared" si="9"/>
        <v>637.26523769540859</v>
      </c>
      <c r="H42" s="37">
        <f t="shared" si="1"/>
        <v>783.13472659562228</v>
      </c>
      <c r="J42" s="33">
        <v>26</v>
      </c>
      <c r="K42" s="36">
        <f>M41+N40</f>
        <v>661.66240764874999</v>
      </c>
      <c r="L42" s="36">
        <v>807.531896548963</v>
      </c>
      <c r="M42" s="48">
        <f t="shared" si="10"/>
        <v>-145.86948890021301</v>
      </c>
      <c r="N42" s="37">
        <f t="shared" si="5"/>
        <v>783.13472659562228</v>
      </c>
      <c r="P42" s="33">
        <v>26</v>
      </c>
      <c r="Q42" s="36">
        <f t="shared" si="14"/>
        <v>1444.797134244372</v>
      </c>
      <c r="R42" s="36">
        <v>807.531896548963</v>
      </c>
      <c r="S42" s="36">
        <f t="shared" si="11"/>
        <v>637.26523769540904</v>
      </c>
      <c r="T42" s="35">
        <f t="shared" si="4"/>
        <v>783.13472659562228</v>
      </c>
    </row>
    <row r="43" spans="1:20" x14ac:dyDescent="0.4">
      <c r="A43" s="1" t="s">
        <v>5</v>
      </c>
      <c r="B43" s="4">
        <f>1-B44</f>
        <v>4.9999999999999933E-2</v>
      </c>
      <c r="D43" s="33">
        <v>27</v>
      </c>
      <c r="E43" s="36">
        <f t="shared" si="12"/>
        <v>1420.3999642910308</v>
      </c>
      <c r="F43" s="36">
        <v>811.67188189478736</v>
      </c>
      <c r="G43" s="36">
        <f t="shared" si="9"/>
        <v>608.72808239624339</v>
      </c>
      <c r="H43" s="37">
        <f t="shared" si="1"/>
        <v>783.13472659562228</v>
      </c>
      <c r="J43" s="33">
        <v>27</v>
      </c>
      <c r="K43" s="36">
        <f t="shared" si="13"/>
        <v>637.26523769540927</v>
      </c>
      <c r="L43" s="36">
        <v>811.67188189478736</v>
      </c>
      <c r="M43" s="48">
        <f t="shared" si="10"/>
        <v>-174.40664419937809</v>
      </c>
      <c r="N43" s="37">
        <f t="shared" si="5"/>
        <v>783.13472659562228</v>
      </c>
      <c r="P43" s="33">
        <v>27</v>
      </c>
      <c r="Q43" s="36">
        <f t="shared" si="14"/>
        <v>1420.3999642910312</v>
      </c>
      <c r="R43" s="36">
        <v>811.67188189478736</v>
      </c>
      <c r="S43" s="36">
        <f t="shared" si="11"/>
        <v>608.72808239624385</v>
      </c>
      <c r="T43" s="35">
        <f t="shared" si="4"/>
        <v>783.13472659562228</v>
      </c>
    </row>
    <row r="44" spans="1:20" x14ac:dyDescent="0.4">
      <c r="A44" s="1" t="s">
        <v>6</v>
      </c>
      <c r="B44" s="4">
        <f>B41*0.01</f>
        <v>0.95000000000000007</v>
      </c>
      <c r="D44" s="33">
        <v>28</v>
      </c>
      <c r="E44" s="36">
        <f t="shared" si="12"/>
        <v>1391.8628089918657</v>
      </c>
      <c r="F44" s="36">
        <v>767.74833253076918</v>
      </c>
      <c r="G44" s="36">
        <f t="shared" si="9"/>
        <v>624.1144764610965</v>
      </c>
      <c r="H44" s="37">
        <f t="shared" si="1"/>
        <v>783.13472659562228</v>
      </c>
      <c r="J44" s="33">
        <v>28</v>
      </c>
      <c r="K44" s="36">
        <f t="shared" si="13"/>
        <v>608.72808239624419</v>
      </c>
      <c r="L44" s="36">
        <v>767.74833253076918</v>
      </c>
      <c r="M44" s="48">
        <f t="shared" si="10"/>
        <v>-159.02025013452499</v>
      </c>
      <c r="N44" s="37">
        <f t="shared" si="5"/>
        <v>783.13472659562228</v>
      </c>
      <c r="P44" s="33">
        <v>28</v>
      </c>
      <c r="Q44" s="36">
        <f t="shared" si="14"/>
        <v>1391.8628089918661</v>
      </c>
      <c r="R44" s="36">
        <v>767.74833253076918</v>
      </c>
      <c r="S44" s="36">
        <f t="shared" si="11"/>
        <v>624.11447646109696</v>
      </c>
      <c r="T44" s="35">
        <f t="shared" si="4"/>
        <v>783.13472659562228</v>
      </c>
    </row>
    <row r="45" spans="1:20" x14ac:dyDescent="0.4">
      <c r="A45" s="1" t="s">
        <v>7</v>
      </c>
      <c r="B45" s="5">
        <f>B28</f>
        <v>589.71</v>
      </c>
      <c r="D45" s="33">
        <v>29</v>
      </c>
      <c r="E45" s="36">
        <f t="shared" si="12"/>
        <v>1407.2492030567187</v>
      </c>
      <c r="F45" s="36">
        <v>805.38318448716154</v>
      </c>
      <c r="G45" s="36">
        <f t="shared" si="9"/>
        <v>601.86601856955713</v>
      </c>
      <c r="H45" s="37">
        <f t="shared" si="1"/>
        <v>783.13472659562228</v>
      </c>
      <c r="J45" s="33">
        <v>29</v>
      </c>
      <c r="K45" s="36">
        <f t="shared" si="13"/>
        <v>624.1144764610973</v>
      </c>
      <c r="L45" s="36">
        <v>805.38318448716154</v>
      </c>
      <c r="M45" s="48">
        <f t="shared" si="10"/>
        <v>-181.26870802606425</v>
      </c>
      <c r="N45" s="37">
        <f t="shared" si="5"/>
        <v>783.13472659562228</v>
      </c>
      <c r="P45" s="33">
        <v>29</v>
      </c>
      <c r="Q45" s="36">
        <f t="shared" si="14"/>
        <v>1407.2492030567191</v>
      </c>
      <c r="R45" s="36">
        <v>805.38318448716154</v>
      </c>
      <c r="S45" s="36">
        <f t="shared" si="11"/>
        <v>601.86601856955758</v>
      </c>
      <c r="T45" s="35">
        <f t="shared" si="4"/>
        <v>783.13472659562228</v>
      </c>
    </row>
    <row r="46" spans="1:20" x14ac:dyDescent="0.4">
      <c r="A46" s="1" t="s">
        <v>8</v>
      </c>
      <c r="B46" s="5">
        <v>197.88</v>
      </c>
      <c r="D46" s="33">
        <v>30</v>
      </c>
      <c r="E46" s="36">
        <f t="shared" si="12"/>
        <v>1385.0007451651795</v>
      </c>
      <c r="F46" s="36">
        <v>812.46485488729627</v>
      </c>
      <c r="G46" s="36">
        <f t="shared" si="9"/>
        <v>572.53589027788325</v>
      </c>
      <c r="H46" s="37">
        <f t="shared" si="1"/>
        <v>783.13472659562228</v>
      </c>
      <c r="J46" s="33">
        <v>30</v>
      </c>
      <c r="K46" s="36">
        <f t="shared" si="13"/>
        <v>601.86601856955804</v>
      </c>
      <c r="L46" s="36">
        <v>812.46485488729627</v>
      </c>
      <c r="M46" s="48">
        <f t="shared" si="10"/>
        <v>-210.59883631773823</v>
      </c>
      <c r="N46" s="37">
        <f t="shared" si="5"/>
        <v>783.13472659562228</v>
      </c>
      <c r="P46" s="33">
        <v>30</v>
      </c>
      <c r="Q46" s="36">
        <f t="shared" si="14"/>
        <v>1385.00074516518</v>
      </c>
      <c r="R46" s="36">
        <v>812.46485488729627</v>
      </c>
      <c r="S46" s="36">
        <f t="shared" si="11"/>
        <v>572.53589027788371</v>
      </c>
      <c r="T46" s="35">
        <f t="shared" si="4"/>
        <v>783.13472659562228</v>
      </c>
    </row>
    <row r="47" spans="1:20" x14ac:dyDescent="0.4">
      <c r="A47" s="6" t="s">
        <v>9</v>
      </c>
      <c r="B47" s="3">
        <f>NORMINV(B44,B45,B46)</f>
        <v>915.19363570115752</v>
      </c>
      <c r="D47" s="33">
        <v>31</v>
      </c>
      <c r="E47" s="36">
        <f t="shared" si="12"/>
        <v>1355.6706168735054</v>
      </c>
      <c r="F47" s="36">
        <v>751.64904227298234</v>
      </c>
      <c r="G47" s="36">
        <f t="shared" si="9"/>
        <v>604.02157460052308</v>
      </c>
      <c r="H47" s="37">
        <f t="shared" si="1"/>
        <v>783.13472659562228</v>
      </c>
      <c r="J47" s="33">
        <v>31</v>
      </c>
      <c r="K47" s="36">
        <f t="shared" si="13"/>
        <v>572.53589027788405</v>
      </c>
      <c r="L47" s="36">
        <v>751.64904227298234</v>
      </c>
      <c r="M47" s="48">
        <f t="shared" si="10"/>
        <v>-179.11315199509829</v>
      </c>
      <c r="N47" s="37">
        <f t="shared" si="5"/>
        <v>783.13472659562228</v>
      </c>
      <c r="P47" s="33">
        <v>31</v>
      </c>
      <c r="Q47" s="36">
        <f t="shared" si="14"/>
        <v>1355.6706168735059</v>
      </c>
      <c r="R47" s="36">
        <v>751.64904227298234</v>
      </c>
      <c r="S47" s="36">
        <f t="shared" si="11"/>
        <v>604.02157460052354</v>
      </c>
      <c r="T47" s="35">
        <f t="shared" si="4"/>
        <v>783.13472659562228</v>
      </c>
    </row>
    <row r="48" spans="1:20" x14ac:dyDescent="0.4">
      <c r="A48" s="1" t="s">
        <v>10</v>
      </c>
      <c r="B48" s="3">
        <f>B40</f>
        <v>504.08219178082192</v>
      </c>
      <c r="D48" s="33">
        <v>32</v>
      </c>
      <c r="E48" s="36">
        <f t="shared" si="12"/>
        <v>1387.1563011961453</v>
      </c>
      <c r="F48" s="36">
        <v>793.29073801243567</v>
      </c>
      <c r="G48" s="36">
        <f t="shared" si="9"/>
        <v>593.86556318370958</v>
      </c>
      <c r="H48" s="37">
        <f t="shared" si="1"/>
        <v>783.13472659562228</v>
      </c>
      <c r="J48" s="33">
        <v>32</v>
      </c>
      <c r="K48" s="36">
        <f t="shared" si="13"/>
        <v>604.02157460052399</v>
      </c>
      <c r="L48" s="36">
        <v>793.29073801243567</v>
      </c>
      <c r="M48" s="48">
        <f t="shared" si="10"/>
        <v>-189.26916341191168</v>
      </c>
      <c r="N48" s="37">
        <f t="shared" si="5"/>
        <v>783.13472659562228</v>
      </c>
      <c r="P48" s="33">
        <v>32</v>
      </c>
      <c r="Q48" s="36">
        <f t="shared" si="14"/>
        <v>1387.1563011961457</v>
      </c>
      <c r="R48" s="36">
        <v>793.29073801243567</v>
      </c>
      <c r="S48" s="36">
        <f t="shared" si="11"/>
        <v>593.86556318371004</v>
      </c>
      <c r="T48" s="35">
        <f t="shared" si="4"/>
        <v>783.13472659562228</v>
      </c>
    </row>
    <row r="49" spans="1:20" x14ac:dyDescent="0.4">
      <c r="A49" s="1" t="s">
        <v>11</v>
      </c>
      <c r="B49" s="5">
        <f>B47</f>
        <v>915.19363570115752</v>
      </c>
      <c r="D49" s="33">
        <v>33</v>
      </c>
      <c r="E49" s="36">
        <f t="shared" si="12"/>
        <v>1377.000289779332</v>
      </c>
      <c r="F49" s="36">
        <v>796.79578158994639</v>
      </c>
      <c r="G49" s="36">
        <f t="shared" si="9"/>
        <v>580.20450818938559</v>
      </c>
      <c r="H49" s="37">
        <f t="shared" si="1"/>
        <v>783.13472659562228</v>
      </c>
      <c r="J49" s="33">
        <v>33</v>
      </c>
      <c r="K49" s="36">
        <f t="shared" si="13"/>
        <v>593.86556318371061</v>
      </c>
      <c r="L49" s="36">
        <v>796.79578158994639</v>
      </c>
      <c r="M49" s="48">
        <f t="shared" si="10"/>
        <v>-202.93021840623578</v>
      </c>
      <c r="N49" s="37">
        <f t="shared" si="5"/>
        <v>783.13472659562228</v>
      </c>
      <c r="P49" s="33">
        <v>33</v>
      </c>
      <c r="Q49" s="36">
        <f t="shared" si="14"/>
        <v>1377.0002897793324</v>
      </c>
      <c r="R49" s="36">
        <v>796.79578158994639</v>
      </c>
      <c r="S49" s="36">
        <f t="shared" si="11"/>
        <v>580.20450818938605</v>
      </c>
      <c r="T49" s="35">
        <f t="shared" si="4"/>
        <v>783.13472659562228</v>
      </c>
    </row>
    <row r="50" spans="1:20" x14ac:dyDescent="0.4">
      <c r="A50" s="6" t="s">
        <v>50</v>
      </c>
      <c r="B50" s="3">
        <f>B49-B48</f>
        <v>411.1114439203356</v>
      </c>
      <c r="D50" s="33">
        <v>34</v>
      </c>
      <c r="E50" s="36">
        <f t="shared" si="12"/>
        <v>1363.3392347850079</v>
      </c>
      <c r="F50" s="36">
        <v>789.28850443597571</v>
      </c>
      <c r="G50" s="36">
        <f t="shared" si="9"/>
        <v>574.05073034903216</v>
      </c>
      <c r="H50" s="37">
        <f t="shared" si="1"/>
        <v>783.13472659562228</v>
      </c>
      <c r="J50" s="33">
        <v>34</v>
      </c>
      <c r="K50" s="36">
        <f t="shared" si="13"/>
        <v>580.2045081893865</v>
      </c>
      <c r="L50" s="36">
        <v>789.28850443597571</v>
      </c>
      <c r="M50" s="48">
        <f t="shared" si="10"/>
        <v>-209.08399624658921</v>
      </c>
      <c r="N50" s="37">
        <f t="shared" si="5"/>
        <v>783.13472659562228</v>
      </c>
      <c r="P50" s="33">
        <v>34</v>
      </c>
      <c r="Q50" s="36">
        <f t="shared" si="14"/>
        <v>1363.3392347850083</v>
      </c>
      <c r="R50" s="36">
        <v>789.28850443597571</v>
      </c>
      <c r="S50" s="36">
        <f t="shared" si="11"/>
        <v>574.05073034903262</v>
      </c>
      <c r="T50" s="35">
        <f t="shared" si="4"/>
        <v>783.13472659562228</v>
      </c>
    </row>
    <row r="51" spans="1:20" x14ac:dyDescent="0.4">
      <c r="D51" s="33">
        <v>35</v>
      </c>
      <c r="E51" s="36">
        <f t="shared" si="12"/>
        <v>1357.1854569446546</v>
      </c>
      <c r="F51" s="36">
        <v>802.5413543345885</v>
      </c>
      <c r="G51" s="36">
        <f t="shared" si="9"/>
        <v>554.64410261006606</v>
      </c>
      <c r="H51" s="37">
        <f t="shared" si="1"/>
        <v>783.13472659562228</v>
      </c>
      <c r="J51" s="33">
        <v>35</v>
      </c>
      <c r="K51" s="36">
        <f t="shared" si="13"/>
        <v>574.05073034903307</v>
      </c>
      <c r="L51" s="36">
        <v>802.5413543345885</v>
      </c>
      <c r="M51" s="48">
        <f t="shared" si="10"/>
        <v>-228.49062398555543</v>
      </c>
      <c r="N51" s="37">
        <f t="shared" si="5"/>
        <v>783.13472659562228</v>
      </c>
      <c r="P51" s="33">
        <v>35</v>
      </c>
      <c r="Q51" s="36">
        <f t="shared" si="14"/>
        <v>1357.185456944655</v>
      </c>
      <c r="R51" s="36">
        <v>802.5413543345885</v>
      </c>
      <c r="S51" s="36">
        <f t="shared" si="11"/>
        <v>554.64410261006651</v>
      </c>
      <c r="T51" s="35">
        <f t="shared" si="4"/>
        <v>783.13472659562228</v>
      </c>
    </row>
    <row r="52" spans="1:20" x14ac:dyDescent="0.4">
      <c r="D52" s="33">
        <v>36</v>
      </c>
      <c r="E52" s="36">
        <f t="shared" si="12"/>
        <v>1337.7788292056885</v>
      </c>
      <c r="F52" s="36">
        <v>782.851925419802</v>
      </c>
      <c r="G52" s="36">
        <f t="shared" si="9"/>
        <v>554.92690378588645</v>
      </c>
      <c r="H52" s="37">
        <f t="shared" si="1"/>
        <v>783.13472659562228</v>
      </c>
      <c r="J52" s="33">
        <v>36</v>
      </c>
      <c r="K52" s="36">
        <f t="shared" si="13"/>
        <v>554.64410261006685</v>
      </c>
      <c r="L52" s="36">
        <v>782.851925419802</v>
      </c>
      <c r="M52" s="48">
        <f t="shared" si="10"/>
        <v>-228.20782280973515</v>
      </c>
      <c r="N52" s="37">
        <f t="shared" si="5"/>
        <v>783.13472659562228</v>
      </c>
      <c r="P52" s="33">
        <v>36</v>
      </c>
      <c r="Q52" s="36">
        <f t="shared" si="14"/>
        <v>1337.7788292056889</v>
      </c>
      <c r="R52" s="36">
        <v>782.851925419802</v>
      </c>
      <c r="S52" s="36">
        <f t="shared" si="11"/>
        <v>554.92690378588691</v>
      </c>
      <c r="T52" s="35">
        <f t="shared" si="4"/>
        <v>783.13472659562228</v>
      </c>
    </row>
    <row r="53" spans="1:20" x14ac:dyDescent="0.4">
      <c r="D53" s="33">
        <v>37</v>
      </c>
      <c r="E53" s="36">
        <f t="shared" si="12"/>
        <v>1338.0616303815086</v>
      </c>
      <c r="F53" s="36">
        <v>766.29938034325346</v>
      </c>
      <c r="G53" s="36">
        <f t="shared" si="9"/>
        <v>571.76225003825516</v>
      </c>
      <c r="H53" s="37">
        <f t="shared" si="1"/>
        <v>783.13472659562228</v>
      </c>
      <c r="J53" s="33">
        <v>37</v>
      </c>
      <c r="K53" s="36">
        <f t="shared" si="13"/>
        <v>554.92690378588713</v>
      </c>
      <c r="L53" s="36">
        <v>766.29938034325346</v>
      </c>
      <c r="M53" s="48">
        <f t="shared" si="10"/>
        <v>-211.37247655736633</v>
      </c>
      <c r="N53" s="37">
        <f t="shared" si="5"/>
        <v>783.13472659562228</v>
      </c>
      <c r="P53" s="33">
        <v>37</v>
      </c>
      <c r="Q53" s="36">
        <f t="shared" si="14"/>
        <v>1338.0616303815091</v>
      </c>
      <c r="R53" s="36">
        <v>766.29938034325346</v>
      </c>
      <c r="S53" s="36">
        <f t="shared" si="11"/>
        <v>571.76225003825562</v>
      </c>
      <c r="T53" s="35">
        <f t="shared" si="4"/>
        <v>783.13472659562228</v>
      </c>
    </row>
    <row r="54" spans="1:20" x14ac:dyDescent="0.4">
      <c r="D54" s="33">
        <v>38</v>
      </c>
      <c r="E54" s="36">
        <f t="shared" si="12"/>
        <v>1354.8969766338773</v>
      </c>
      <c r="F54" s="36">
        <v>775.57730403933897</v>
      </c>
      <c r="G54" s="36">
        <f t="shared" si="9"/>
        <v>579.31967259453836</v>
      </c>
      <c r="H54" s="37">
        <f t="shared" si="1"/>
        <v>783.13472659562228</v>
      </c>
      <c r="J54" s="33">
        <v>38</v>
      </c>
      <c r="K54" s="36">
        <f t="shared" si="13"/>
        <v>571.76225003825596</v>
      </c>
      <c r="L54" s="36">
        <v>775.57730403933897</v>
      </c>
      <c r="M54" s="48">
        <f t="shared" si="10"/>
        <v>-203.81505400108301</v>
      </c>
      <c r="N54" s="37">
        <f t="shared" si="5"/>
        <v>783.13472659562228</v>
      </c>
      <c r="P54" s="33">
        <v>38</v>
      </c>
      <c r="Q54" s="36">
        <f t="shared" si="14"/>
        <v>1354.8969766338778</v>
      </c>
      <c r="R54" s="36">
        <v>775.57730403933897</v>
      </c>
      <c r="S54" s="36">
        <f t="shared" si="11"/>
        <v>579.31967259453882</v>
      </c>
      <c r="T54" s="35">
        <f t="shared" si="4"/>
        <v>783.13472659562228</v>
      </c>
    </row>
    <row r="55" spans="1:20" x14ac:dyDescent="0.4">
      <c r="D55" s="33">
        <v>39</v>
      </c>
      <c r="E55" s="36">
        <f t="shared" si="12"/>
        <v>1362.4543991901605</v>
      </c>
      <c r="F55" s="36">
        <v>874.28289728113759</v>
      </c>
      <c r="G55" s="36">
        <f t="shared" si="9"/>
        <v>488.17150190902294</v>
      </c>
      <c r="H55" s="37">
        <f t="shared" si="1"/>
        <v>783.13472659562228</v>
      </c>
      <c r="J55" s="33">
        <v>39</v>
      </c>
      <c r="K55" s="36">
        <f t="shared" si="13"/>
        <v>579.31967259453927</v>
      </c>
      <c r="L55" s="36">
        <v>874.28289728113759</v>
      </c>
      <c r="M55" s="48">
        <f t="shared" si="10"/>
        <v>-294.96322468659832</v>
      </c>
      <c r="N55" s="37">
        <f t="shared" si="5"/>
        <v>783.13472659562228</v>
      </c>
      <c r="P55" s="33">
        <v>39</v>
      </c>
      <c r="Q55" s="36">
        <f t="shared" si="14"/>
        <v>1362.454399190161</v>
      </c>
      <c r="R55" s="36">
        <v>874.28289728113759</v>
      </c>
      <c r="S55" s="36">
        <f t="shared" si="11"/>
        <v>488.17150190902339</v>
      </c>
      <c r="T55" s="35">
        <f t="shared" si="4"/>
        <v>783.13472659562228</v>
      </c>
    </row>
    <row r="56" spans="1:20" x14ac:dyDescent="0.4">
      <c r="D56" s="33">
        <v>40</v>
      </c>
      <c r="E56" s="36">
        <f>G55+H54</f>
        <v>1271.3062285046453</v>
      </c>
      <c r="F56" s="36">
        <v>856.13077136264701</v>
      </c>
      <c r="G56" s="36">
        <f t="shared" si="9"/>
        <v>415.17545714199832</v>
      </c>
      <c r="H56" s="37">
        <f t="shared" si="1"/>
        <v>783.13472659562228</v>
      </c>
      <c r="J56" s="33">
        <v>40</v>
      </c>
      <c r="K56" s="36">
        <f t="shared" si="13"/>
        <v>488.17150190902396</v>
      </c>
      <c r="L56" s="36">
        <v>856.13077136264701</v>
      </c>
      <c r="M56" s="48">
        <f t="shared" si="10"/>
        <v>-367.95926945362305</v>
      </c>
      <c r="N56" s="37">
        <f t="shared" si="5"/>
        <v>783.13472659562228</v>
      </c>
      <c r="P56" s="33">
        <v>40</v>
      </c>
      <c r="Q56" s="36">
        <f t="shared" si="14"/>
        <v>1271.3062285046458</v>
      </c>
      <c r="R56" s="36">
        <v>856.13077136264701</v>
      </c>
      <c r="S56" s="36">
        <f t="shared" si="11"/>
        <v>415.17545714199878</v>
      </c>
      <c r="T56" s="35">
        <f t="shared" si="4"/>
        <v>783.13472659562228</v>
      </c>
    </row>
    <row r="57" spans="1:20" x14ac:dyDescent="0.4">
      <c r="D57" s="33">
        <v>41</v>
      </c>
      <c r="E57" s="36">
        <f>G56+H55</f>
        <v>1198.3101837376207</v>
      </c>
      <c r="F57" s="37"/>
      <c r="G57" s="37"/>
      <c r="H57" s="37"/>
      <c r="J57" s="33">
        <v>41</v>
      </c>
      <c r="K57" s="36">
        <f>M56+N55</f>
        <v>415.17545714199923</v>
      </c>
      <c r="L57" s="37"/>
      <c r="M57" s="37"/>
      <c r="N57" s="37"/>
      <c r="P57" s="33">
        <v>41</v>
      </c>
      <c r="Q57" s="36">
        <f>S56+T55</f>
        <v>1198.3101837376212</v>
      </c>
      <c r="R57" s="37"/>
      <c r="S57" s="37"/>
      <c r="T57" s="37"/>
    </row>
    <row r="58" spans="1:20" x14ac:dyDescent="0.4">
      <c r="D58" s="33">
        <v>42</v>
      </c>
      <c r="E58" s="37"/>
      <c r="F58" s="37"/>
      <c r="G58" s="37"/>
      <c r="H58" s="37"/>
      <c r="J58" s="33">
        <v>42</v>
      </c>
      <c r="K58" s="37"/>
      <c r="L58" s="37"/>
      <c r="M58" s="37"/>
      <c r="N58" s="37"/>
      <c r="P58" s="33">
        <v>42</v>
      </c>
      <c r="Q58" s="37"/>
      <c r="R58" s="37"/>
      <c r="S58" s="37"/>
      <c r="T58" s="37"/>
    </row>
    <row r="59" spans="1:20" x14ac:dyDescent="0.4">
      <c r="D59" s="33">
        <v>43</v>
      </c>
      <c r="E59" s="37"/>
      <c r="F59" s="37"/>
      <c r="G59" s="37"/>
      <c r="H59" s="37"/>
      <c r="J59" s="33">
        <v>43</v>
      </c>
      <c r="K59" s="37"/>
      <c r="L59" s="37"/>
      <c r="M59" s="37"/>
      <c r="N59" s="37"/>
      <c r="P59" s="33">
        <v>43</v>
      </c>
      <c r="Q59" s="37"/>
      <c r="R59" s="37"/>
      <c r="S59" s="37"/>
      <c r="T59" s="37"/>
    </row>
    <row r="60" spans="1:20" x14ac:dyDescent="0.4">
      <c r="D60" s="33">
        <v>44</v>
      </c>
      <c r="E60" s="37"/>
      <c r="F60" s="37"/>
      <c r="G60" s="37"/>
      <c r="H60" s="37"/>
      <c r="J60" s="33">
        <v>44</v>
      </c>
      <c r="K60" s="37"/>
      <c r="L60" s="37"/>
      <c r="M60" s="37"/>
      <c r="N60" s="37"/>
      <c r="P60" s="33">
        <v>44</v>
      </c>
      <c r="Q60" s="37"/>
      <c r="R60" s="37"/>
      <c r="S60" s="37"/>
      <c r="T60" s="37"/>
    </row>
    <row r="61" spans="1:20" x14ac:dyDescent="0.4">
      <c r="D61" s="33">
        <v>45</v>
      </c>
      <c r="E61" s="37"/>
      <c r="F61" s="37"/>
      <c r="G61" s="37"/>
      <c r="H61" s="37"/>
      <c r="J61" s="33">
        <v>45</v>
      </c>
      <c r="K61" s="37"/>
      <c r="L61" s="37"/>
      <c r="M61" s="37"/>
      <c r="N61" s="37"/>
      <c r="P61" s="33">
        <v>45</v>
      </c>
      <c r="Q61" s="37"/>
      <c r="R61" s="37"/>
      <c r="S61" s="37"/>
      <c r="T61" s="37"/>
    </row>
    <row r="62" spans="1:20" x14ac:dyDescent="0.4">
      <c r="D62" s="33">
        <v>46</v>
      </c>
      <c r="E62" s="37"/>
      <c r="F62" s="37"/>
      <c r="G62" s="37"/>
      <c r="H62" s="37"/>
      <c r="J62" s="33">
        <v>46</v>
      </c>
      <c r="K62" s="37"/>
      <c r="L62" s="37"/>
      <c r="M62" s="37"/>
      <c r="N62" s="37"/>
      <c r="P62" s="33">
        <v>46</v>
      </c>
      <c r="Q62" s="37"/>
      <c r="R62" s="37"/>
      <c r="S62" s="37"/>
      <c r="T62" s="37"/>
    </row>
    <row r="63" spans="1:20" x14ac:dyDescent="0.4">
      <c r="D63" s="33">
        <v>47</v>
      </c>
      <c r="E63" s="37"/>
      <c r="F63" s="37"/>
      <c r="G63" s="37"/>
      <c r="H63" s="37"/>
      <c r="J63" s="33">
        <v>47</v>
      </c>
      <c r="K63" s="37"/>
      <c r="L63" s="37"/>
      <c r="M63" s="37"/>
      <c r="N63" s="37"/>
      <c r="P63" s="33">
        <v>47</v>
      </c>
      <c r="Q63" s="37"/>
      <c r="R63" s="37"/>
      <c r="S63" s="37"/>
      <c r="T63" s="37"/>
    </row>
    <row r="64" spans="1:20" x14ac:dyDescent="0.4">
      <c r="D64" s="33">
        <v>48</v>
      </c>
      <c r="E64" s="37"/>
      <c r="F64" s="37"/>
      <c r="G64" s="37"/>
      <c r="H64" s="37"/>
      <c r="J64" s="33">
        <v>48</v>
      </c>
      <c r="K64" s="37"/>
      <c r="L64" s="37"/>
      <c r="M64" s="37"/>
      <c r="N64" s="37"/>
      <c r="P64" s="33">
        <v>48</v>
      </c>
      <c r="Q64" s="37"/>
      <c r="R64" s="37"/>
      <c r="S64" s="37"/>
      <c r="T64" s="37"/>
    </row>
    <row r="65" spans="4:20" x14ac:dyDescent="0.4">
      <c r="D65" s="33">
        <v>49</v>
      </c>
      <c r="E65" s="37"/>
      <c r="F65" s="37"/>
      <c r="G65" s="37"/>
      <c r="H65" s="37"/>
      <c r="J65" s="33">
        <v>49</v>
      </c>
      <c r="K65" s="37"/>
      <c r="L65" s="37"/>
      <c r="M65" s="37"/>
      <c r="N65" s="37"/>
      <c r="P65" s="33">
        <v>49</v>
      </c>
      <c r="Q65" s="37"/>
      <c r="R65" s="37"/>
      <c r="S65" s="37"/>
      <c r="T65" s="37"/>
    </row>
    <row r="66" spans="4:20" x14ac:dyDescent="0.4">
      <c r="D66" s="33">
        <v>50</v>
      </c>
      <c r="E66" s="37"/>
      <c r="F66" s="37"/>
      <c r="G66" s="37"/>
      <c r="H66" s="37"/>
      <c r="J66" s="33">
        <v>50</v>
      </c>
      <c r="K66" s="37"/>
      <c r="L66" s="37"/>
      <c r="M66" s="37"/>
      <c r="N66" s="37"/>
      <c r="P66" s="33">
        <v>50</v>
      </c>
      <c r="Q66" s="37"/>
      <c r="R66" s="37"/>
      <c r="S66" s="37"/>
      <c r="T66" s="37"/>
    </row>
    <row r="67" spans="4:20" x14ac:dyDescent="0.4">
      <c r="D67" s="33">
        <v>51</v>
      </c>
      <c r="E67" s="37"/>
      <c r="F67" s="37"/>
      <c r="G67" s="37"/>
      <c r="H67" s="37"/>
      <c r="J67" s="33">
        <v>51</v>
      </c>
      <c r="K67" s="37"/>
      <c r="L67" s="37"/>
      <c r="M67" s="37"/>
      <c r="N67" s="37"/>
      <c r="P67" s="33">
        <v>51</v>
      </c>
      <c r="Q67" s="37"/>
      <c r="R67" s="37"/>
      <c r="S67" s="37"/>
      <c r="T67" s="37"/>
    </row>
    <row r="68" spans="4:20" x14ac:dyDescent="0.4">
      <c r="D68" s="34">
        <v>52</v>
      </c>
      <c r="E68" s="38"/>
      <c r="F68" s="38"/>
      <c r="G68" s="38"/>
      <c r="H68" s="38"/>
      <c r="J68" s="34">
        <v>52</v>
      </c>
      <c r="K68" s="38"/>
      <c r="L68" s="38"/>
      <c r="M68" s="38"/>
      <c r="N68" s="38"/>
      <c r="P68" s="34">
        <v>52</v>
      </c>
      <c r="Q68" s="38"/>
      <c r="R68" s="38"/>
      <c r="S68" s="38"/>
      <c r="T68" s="38"/>
    </row>
  </sheetData>
  <mergeCells count="2">
    <mergeCell ref="I1:K1"/>
    <mergeCell ref="E2:G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72b7b12-0965-4392-b7f5-c3208f3e9bb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D6B00A6E0D73459C12E5EDAC1D68BE" ma:contentTypeVersion="12" ma:contentTypeDescription="Create a new document." ma:contentTypeScope="" ma:versionID="7b99b1a4105d3ec977d1cb7942228a29">
  <xsd:schema xmlns:xsd="http://www.w3.org/2001/XMLSchema" xmlns:xs="http://www.w3.org/2001/XMLSchema" xmlns:p="http://schemas.microsoft.com/office/2006/metadata/properties" xmlns:ns3="072b7b12-0965-4392-b7f5-c3208f3e9bbd" xmlns:ns4="35df4cc6-60cb-44b8-92bd-039868d22f78" targetNamespace="http://schemas.microsoft.com/office/2006/metadata/properties" ma:root="true" ma:fieldsID="858a11d5c4a0048cb807cd7311a1288e" ns3:_="" ns4:_="">
    <xsd:import namespace="072b7b12-0965-4392-b7f5-c3208f3e9bbd"/>
    <xsd:import namespace="35df4cc6-60cb-44b8-92bd-039868d22f7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_activity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b7b12-0965-4392-b7f5-c3208f3e9b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df4cc6-60cb-44b8-92bd-039868d22f7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6876C5-8288-4E56-A72B-8669935AE84A}">
  <ds:schemaRefs>
    <ds:schemaRef ds:uri="http://schemas.microsoft.com/office/2006/metadata/properties"/>
    <ds:schemaRef ds:uri="http://schemas.microsoft.com/office/infopath/2007/PartnerControls"/>
    <ds:schemaRef ds:uri="072b7b12-0965-4392-b7f5-c3208f3e9bbd"/>
  </ds:schemaRefs>
</ds:datastoreItem>
</file>

<file path=customXml/itemProps2.xml><?xml version="1.0" encoding="utf-8"?>
<ds:datastoreItem xmlns:ds="http://schemas.openxmlformats.org/officeDocument/2006/customXml" ds:itemID="{847E065E-DF2D-4155-B623-F8DE62152C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2b7b12-0965-4392-b7f5-c3208f3e9bbd"/>
    <ds:schemaRef ds:uri="35df4cc6-60cb-44b8-92bd-039868d22f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0ACBA4-9F67-45E7-821B-46EF4C5C51F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15</vt:i4>
      </vt:variant>
    </vt:vector>
  </HeadingPairs>
  <TitlesOfParts>
    <vt:vector size="20" baseType="lpstr">
      <vt:lpstr>FORECAST</vt:lpstr>
      <vt:lpstr>EOQ</vt:lpstr>
      <vt:lpstr>8MA</vt:lpstr>
      <vt:lpstr>WMA</vt:lpstr>
      <vt:lpstr>SES</vt:lpstr>
      <vt:lpstr>EOQ!AnHolding</vt:lpstr>
      <vt:lpstr>EOQ!AnOrdering</vt:lpstr>
      <vt:lpstr>EOQ!Ch</vt:lpstr>
      <vt:lpstr>EOQ!Co</vt:lpstr>
      <vt:lpstr>EOQ!CycleTime</vt:lpstr>
      <vt:lpstr>EOQ!dailyDemand</vt:lpstr>
      <vt:lpstr>EOQ!days</vt:lpstr>
      <vt:lpstr>EOQ!Demand</vt:lpstr>
      <vt:lpstr>EOQ!EOQ</vt:lpstr>
      <vt:lpstr>EOQ!Inv_rate</vt:lpstr>
      <vt:lpstr>EOQ!Lead_Time</vt:lpstr>
      <vt:lpstr>EOQ!NumCycles</vt:lpstr>
      <vt:lpstr>EOQ!Reorderpoint</vt:lpstr>
      <vt:lpstr>EOQ!TotalCost</vt:lpstr>
      <vt:lpstr>EOQ!Unit_Cost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Brett Smith</dc:creator>
  <cp:keywords/>
  <dc:description/>
  <cp:lastModifiedBy>Adharsh Sundaram Soudakar</cp:lastModifiedBy>
  <cp:revision/>
  <dcterms:created xsi:type="dcterms:W3CDTF">2023-04-25T23:31:03Z</dcterms:created>
  <dcterms:modified xsi:type="dcterms:W3CDTF">2023-05-21T16:08:16Z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0x010100DBD6B00A6E0D73459C12E5EDAC1D68BE</vt:lpwstr>
  </property>
</Properties>
</file>