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Case Study 2/"/>
    </mc:Choice>
  </mc:AlternateContent>
  <xr:revisionPtr revIDLastSave="82" documentId="13_ncr:1_{55D92179-19C4-458F-85AA-F4D4BA7673EC}" xr6:coauthVersionLast="47" xr6:coauthVersionMax="47" xr10:uidLastSave="{59C2D643-4CD2-4BAF-AD06-B4AA45BEE324}"/>
  <bookViews>
    <workbookView xWindow="-103" yWindow="-103" windowWidth="22149" windowHeight="13200" xr2:uid="{E8E706E5-D4F5-4B60-83F5-0F975BB5407F}"/>
  </bookViews>
  <sheets>
    <sheet name="Sheet1" sheetId="2" r:id="rId1"/>
    <sheet name="One Var Summary" sheetId="13" r:id="rId2"/>
    <sheet name="_PalUtilTempWorksheet" sheetId="3" state="hidden" r:id="rId3"/>
    <sheet name="_STDS_DG25215E86" sheetId="12" state="hidden" r:id="rId4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alpha">#REF!</definedName>
    <definedName name="PalisadeReportWorkbookCreatedBy" hidden="1">"StatTools"</definedName>
    <definedName name="PalisadeReportWorksheetCreatedBy" localSheetId="1" hidden="1">"StatTools"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</definedName>
    <definedName name="RiskNumSimulations" hidden="1">10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0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FALSE</definedName>
    <definedName name="ST_demand">Sheet1!$B$1:$B$44</definedName>
    <definedName name="ST_ES">Sheet1!$E$1:$E$44</definedName>
    <definedName name="ST_MA">Sheet1!$C$1:$C$44</definedName>
    <definedName name="ST_week">Sheet1!$A$1:$A$44</definedName>
    <definedName name="ST_WMA">Sheet1!$D$1:$D$44</definedName>
    <definedName name="StatToolsHeader" localSheetId="1">'One Var Summary'!$1:$5</definedName>
    <definedName name="STWBD_StatToolsForecast_Deseasonalize" hidden="1">"FALSE"</definedName>
    <definedName name="STWBD_StatToolsForecast_ForecastMethod" hidden="1">" 0"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0"</definedName>
    <definedName name="STWBD_StatToolsForecast_NumberOfForecasts" hidden="1">" 4"</definedName>
    <definedName name="STWBD_StatToolsForecast_NumberOfHoldOuts" hidden="1">" 0"</definedName>
    <definedName name="STWBD_StatToolsForecast_NumberOfSeasons" hidden="1">" 52"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3"</definedName>
    <definedName name="STWBD_StatToolsForecast_Span" hidden="1">" 8"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2022"</definedName>
    <definedName name="STWBD_StatToolsForecast_Trend" hidden="1">" 0"</definedName>
    <definedName name="STWBD_StatToolsForecast_UseSeasonLabels" hidden="1">"TRUE"</definedName>
    <definedName name="STWBD_StatToolsForecast_Variable" hidden="1">"U_x0001_VG1B521BDDCEA4725_x0001_"</definedName>
    <definedName name="STWBD_StatToolsForecast_VarSelectorDefaultDataSet" hidden="1">"DG2B4CDB5B"</definedName>
    <definedName name="STWBD_StatToolsOneVarSummary_Count" hidden="1">"FALSE"</definedName>
    <definedName name="STWBD_StatToolsOneVarSummary_DefaultDataFormat" hidden="1">" 0"</definedName>
    <definedName name="STWBD_StatToolsOneVarSummary_FirstQuartile" hidden="1">"FALSE"</definedName>
    <definedName name="STWBD_StatToolsOneVarSummary_HasDefaultInfo" hidden="1">"TRUE"</definedName>
    <definedName name="STWBD_StatToolsOneVarSummary_InterQuartileRange" hidden="1">"FALSE"</definedName>
    <definedName name="STWBD_StatToolsOneVarSummary_Kurtosis" hidden="1">"FALSE"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"FALSE"</definedName>
    <definedName name="STWBD_StatToolsOneVarSummary_Median" hidden="1">"FALSE"</definedName>
    <definedName name="STWBD_StatToolsOneVarSummary_Minimum" hidden="1">"TRUE"</definedName>
    <definedName name="STWBD_StatToolsOneVarSummary_Mode" hidden="1">"FALSE"</definedName>
    <definedName name="STWBD_StatToolsOneVarSummary_OtherPercentiles" hidden="1">"TRUE"</definedName>
    <definedName name="STWBD_StatToolsOneVarSummary_PercentileList" hidden="1">" .01, .025, .05, .1, .2, .8, .9, .95, .975, .99"</definedName>
    <definedName name="STWBD_StatToolsOneVarSummary_Range" hidden="1">"FALSE"</definedName>
    <definedName name="STWBD_StatToolsOneVarSummary_Skewness" hidden="1">"FALSE"</definedName>
    <definedName name="STWBD_StatToolsOneVarSummary_StandardDeviation" hidden="1">"TRUE"</definedName>
    <definedName name="STWBD_StatToolsOneVarSummary_Sum" hidden="1">"FALSE"</definedName>
    <definedName name="STWBD_StatToolsOneVarSummary_ThirdQuartile" hidden="1">"FALSE"</definedName>
    <definedName name="STWBD_StatToolsOneVarSummary_VariableList" hidden="1">4</definedName>
    <definedName name="STWBD_StatToolsOneVarSummary_VariableList_1" hidden="1">"U_x0001_VG37689F462C492A1_x0001_"</definedName>
    <definedName name="STWBD_StatToolsOneVarSummary_VariableList_2" hidden="1">"U_x0001_VG24A71C08BFA7408_x0001_"</definedName>
    <definedName name="STWBD_StatToolsOneVarSummary_VariableList_3" hidden="1">"U_x0001_VG2BA6C8401501A3E8_x0001_"</definedName>
    <definedName name="STWBD_StatToolsOneVarSummary_VariableList_4" hidden="1">"U_x0001_VG32AAE59D140B20CB_x0001_"</definedName>
    <definedName name="STWBD_StatToolsOneVarSummary_Variance" hidden="1">"FALSE"</definedName>
    <definedName name="STWBD_StatToolsOneVarSummary_VarSelectorDefaultDataSet" hidden="1">"DG25215E86"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D10" i="2"/>
  <c r="D46" i="2" s="1"/>
  <c r="D47" i="2" s="1"/>
  <c r="E47" i="2"/>
  <c r="C47" i="2"/>
  <c r="B47" i="2"/>
  <c r="E46" i="2"/>
  <c r="C46" i="2"/>
  <c r="B46" i="2"/>
  <c r="E45" i="2"/>
  <c r="E4" i="2"/>
  <c r="E41" i="2"/>
  <c r="D45" i="2"/>
  <c r="D41" i="2"/>
  <c r="C45" i="2"/>
  <c r="B45" i="2"/>
  <c r="B9" i="13"/>
  <c r="C9" i="13"/>
  <c r="D9" i="13"/>
  <c r="E9" i="13"/>
  <c r="B10" i="13"/>
  <c r="C10" i="13"/>
  <c r="D10" i="13"/>
  <c r="E10" i="13"/>
  <c r="B11" i="13"/>
  <c r="C11" i="13"/>
  <c r="D11" i="13"/>
  <c r="E11" i="13"/>
  <c r="B12" i="13"/>
  <c r="C12" i="13"/>
  <c r="D12" i="13"/>
  <c r="E12" i="13"/>
  <c r="B13" i="13"/>
  <c r="C13" i="13"/>
  <c r="D13" i="13"/>
  <c r="E13" i="13"/>
  <c r="B14" i="13"/>
  <c r="C14" i="13"/>
  <c r="D14" i="13"/>
  <c r="E14" i="13"/>
  <c r="B15" i="13"/>
  <c r="C15" i="13"/>
  <c r="D15" i="13"/>
  <c r="E15" i="13"/>
  <c r="B16" i="13"/>
  <c r="C16" i="13"/>
  <c r="D16" i="13"/>
  <c r="E16" i="13"/>
  <c r="B17" i="13"/>
  <c r="C17" i="13"/>
  <c r="D17" i="13"/>
  <c r="E17" i="13"/>
  <c r="B18" i="13"/>
  <c r="C18" i="13"/>
  <c r="D18" i="13"/>
  <c r="E18" i="13"/>
  <c r="B19" i="13"/>
  <c r="C19" i="13"/>
  <c r="D19" i="13"/>
  <c r="E19" i="13"/>
  <c r="B20" i="13"/>
  <c r="C20" i="13"/>
  <c r="D20" i="13"/>
  <c r="E20" i="13"/>
  <c r="B21" i="13"/>
  <c r="C21" i="13"/>
  <c r="D21" i="13"/>
  <c r="E21" i="13"/>
  <c r="B22" i="13"/>
  <c r="C22" i="13"/>
  <c r="D22" i="13"/>
  <c r="E22" i="13"/>
  <c r="B9" i="12" l="1"/>
  <c r="B25" i="12"/>
  <c r="B22" i="12"/>
  <c r="B19" i="12"/>
  <c r="B16" i="12"/>
  <c r="B13" i="12"/>
  <c r="B7" i="12"/>
  <c r="B3" i="12"/>
  <c r="B9" i="3"/>
  <c r="C40" i="2"/>
  <c r="C41" i="2"/>
  <c r="C42" i="2" s="1"/>
  <c r="Y40" i="2" l="1"/>
  <c r="U40" i="2"/>
  <c r="T40" i="2"/>
  <c r="AC3" i="2" s="1"/>
  <c r="AC4" i="2" s="1"/>
  <c r="Q40" i="2"/>
  <c r="P40" i="2"/>
  <c r="X40" i="2" s="1"/>
  <c r="AC5" i="2" s="1"/>
  <c r="M40" i="2"/>
  <c r="L40" i="2"/>
  <c r="D40" i="2"/>
  <c r="Y39" i="2"/>
  <c r="X39" i="2"/>
  <c r="U39" i="2"/>
  <c r="T39" i="2"/>
  <c r="Q39" i="2"/>
  <c r="P39" i="2"/>
  <c r="M39" i="2"/>
  <c r="L39" i="2"/>
  <c r="D39" i="2"/>
  <c r="C39" i="2"/>
  <c r="Y38" i="2"/>
  <c r="X38" i="2"/>
  <c r="U38" i="2"/>
  <c r="T38" i="2"/>
  <c r="Q38" i="2"/>
  <c r="P38" i="2"/>
  <c r="M38" i="2"/>
  <c r="L38" i="2"/>
  <c r="D38" i="2"/>
  <c r="C38" i="2"/>
  <c r="Y37" i="2"/>
  <c r="X37" i="2"/>
  <c r="U37" i="2"/>
  <c r="T37" i="2"/>
  <c r="Q37" i="2"/>
  <c r="P37" i="2"/>
  <c r="M37" i="2"/>
  <c r="L37" i="2"/>
  <c r="D37" i="2"/>
  <c r="C37" i="2"/>
  <c r="Y36" i="2"/>
  <c r="X36" i="2"/>
  <c r="U36" i="2"/>
  <c r="T36" i="2"/>
  <c r="Q36" i="2"/>
  <c r="P36" i="2"/>
  <c r="M36" i="2"/>
  <c r="L36" i="2"/>
  <c r="D36" i="2"/>
  <c r="C36" i="2"/>
  <c r="Y35" i="2"/>
  <c r="X35" i="2"/>
  <c r="U35" i="2"/>
  <c r="T35" i="2"/>
  <c r="Q35" i="2"/>
  <c r="P35" i="2"/>
  <c r="M35" i="2"/>
  <c r="L35" i="2"/>
  <c r="D35" i="2"/>
  <c r="C35" i="2"/>
  <c r="Y34" i="2"/>
  <c r="X34" i="2"/>
  <c r="U34" i="2"/>
  <c r="T34" i="2"/>
  <c r="Q34" i="2"/>
  <c r="P34" i="2"/>
  <c r="M34" i="2"/>
  <c r="L34" i="2"/>
  <c r="D34" i="2"/>
  <c r="C34" i="2"/>
  <c r="Y33" i="2"/>
  <c r="X33" i="2"/>
  <c r="U33" i="2"/>
  <c r="T33" i="2"/>
  <c r="Q33" i="2"/>
  <c r="P33" i="2"/>
  <c r="M33" i="2"/>
  <c r="L33" i="2"/>
  <c r="D33" i="2"/>
  <c r="C33" i="2"/>
  <c r="Y32" i="2"/>
  <c r="X32" i="2"/>
  <c r="U32" i="2"/>
  <c r="T32" i="2"/>
  <c r="Q32" i="2"/>
  <c r="P32" i="2"/>
  <c r="M32" i="2"/>
  <c r="L32" i="2"/>
  <c r="D32" i="2"/>
  <c r="C32" i="2"/>
  <c r="Y31" i="2"/>
  <c r="X31" i="2"/>
  <c r="U31" i="2"/>
  <c r="T31" i="2"/>
  <c r="Q31" i="2"/>
  <c r="P31" i="2"/>
  <c r="M31" i="2"/>
  <c r="L31" i="2"/>
  <c r="D31" i="2"/>
  <c r="C31" i="2"/>
  <c r="Y30" i="2"/>
  <c r="X30" i="2"/>
  <c r="U30" i="2"/>
  <c r="T30" i="2"/>
  <c r="Q30" i="2"/>
  <c r="P30" i="2"/>
  <c r="M30" i="2"/>
  <c r="L30" i="2"/>
  <c r="D30" i="2"/>
  <c r="C30" i="2"/>
  <c r="Y29" i="2"/>
  <c r="X29" i="2"/>
  <c r="U29" i="2"/>
  <c r="T29" i="2"/>
  <c r="Q29" i="2"/>
  <c r="P29" i="2"/>
  <c r="M29" i="2"/>
  <c r="L29" i="2"/>
  <c r="D29" i="2"/>
  <c r="C29" i="2"/>
  <c r="Y28" i="2"/>
  <c r="X28" i="2"/>
  <c r="U28" i="2"/>
  <c r="T28" i="2"/>
  <c r="Q28" i="2"/>
  <c r="P28" i="2"/>
  <c r="M28" i="2"/>
  <c r="L28" i="2"/>
  <c r="D28" i="2"/>
  <c r="C28" i="2"/>
  <c r="Y27" i="2"/>
  <c r="X27" i="2"/>
  <c r="U27" i="2"/>
  <c r="T27" i="2"/>
  <c r="Q27" i="2"/>
  <c r="P27" i="2"/>
  <c r="M27" i="2"/>
  <c r="L27" i="2"/>
  <c r="D27" i="2"/>
  <c r="C27" i="2"/>
  <c r="Y26" i="2"/>
  <c r="X26" i="2"/>
  <c r="U26" i="2"/>
  <c r="T26" i="2"/>
  <c r="Q26" i="2"/>
  <c r="P26" i="2"/>
  <c r="M26" i="2"/>
  <c r="L26" i="2"/>
  <c r="D26" i="2"/>
  <c r="C26" i="2"/>
  <c r="Y25" i="2"/>
  <c r="X25" i="2"/>
  <c r="U25" i="2"/>
  <c r="T25" i="2"/>
  <c r="Q25" i="2"/>
  <c r="P25" i="2"/>
  <c r="M25" i="2"/>
  <c r="L25" i="2"/>
  <c r="D25" i="2"/>
  <c r="C25" i="2"/>
  <c r="Y24" i="2"/>
  <c r="X24" i="2"/>
  <c r="U24" i="2"/>
  <c r="T24" i="2"/>
  <c r="Q24" i="2"/>
  <c r="P24" i="2"/>
  <c r="M24" i="2"/>
  <c r="L24" i="2"/>
  <c r="D24" i="2"/>
  <c r="C24" i="2"/>
  <c r="Y23" i="2"/>
  <c r="X23" i="2"/>
  <c r="U23" i="2"/>
  <c r="T23" i="2"/>
  <c r="Q23" i="2"/>
  <c r="P23" i="2"/>
  <c r="M23" i="2"/>
  <c r="L23" i="2"/>
  <c r="D23" i="2"/>
  <c r="C23" i="2"/>
  <c r="Y22" i="2"/>
  <c r="X22" i="2"/>
  <c r="U22" i="2"/>
  <c r="T22" i="2"/>
  <c r="Q22" i="2"/>
  <c r="P22" i="2"/>
  <c r="M22" i="2"/>
  <c r="L22" i="2"/>
  <c r="D22" i="2"/>
  <c r="C22" i="2"/>
  <c r="Y21" i="2"/>
  <c r="X21" i="2"/>
  <c r="U21" i="2"/>
  <c r="T21" i="2"/>
  <c r="Q21" i="2"/>
  <c r="P21" i="2"/>
  <c r="M21" i="2"/>
  <c r="L21" i="2"/>
  <c r="D21" i="2"/>
  <c r="C21" i="2"/>
  <c r="Y20" i="2"/>
  <c r="X20" i="2"/>
  <c r="U20" i="2"/>
  <c r="T20" i="2"/>
  <c r="Q20" i="2"/>
  <c r="P20" i="2"/>
  <c r="M20" i="2"/>
  <c r="L20" i="2"/>
  <c r="D20" i="2"/>
  <c r="C20" i="2"/>
  <c r="Y19" i="2"/>
  <c r="X19" i="2"/>
  <c r="U19" i="2"/>
  <c r="T19" i="2"/>
  <c r="Q19" i="2"/>
  <c r="P19" i="2"/>
  <c r="M19" i="2"/>
  <c r="L19" i="2"/>
  <c r="D19" i="2"/>
  <c r="C19" i="2"/>
  <c r="Y18" i="2"/>
  <c r="X18" i="2"/>
  <c r="U18" i="2"/>
  <c r="T18" i="2"/>
  <c r="Q18" i="2"/>
  <c r="P18" i="2"/>
  <c r="M18" i="2"/>
  <c r="L18" i="2"/>
  <c r="D18" i="2"/>
  <c r="C18" i="2"/>
  <c r="Y17" i="2"/>
  <c r="X17" i="2"/>
  <c r="U17" i="2"/>
  <c r="T17" i="2"/>
  <c r="Q17" i="2"/>
  <c r="P17" i="2"/>
  <c r="M17" i="2"/>
  <c r="L17" i="2"/>
  <c r="D17" i="2"/>
  <c r="C17" i="2"/>
  <c r="Y16" i="2"/>
  <c r="X16" i="2"/>
  <c r="U16" i="2"/>
  <c r="T16" i="2"/>
  <c r="Q16" i="2"/>
  <c r="P16" i="2"/>
  <c r="M16" i="2"/>
  <c r="L16" i="2"/>
  <c r="D16" i="2"/>
  <c r="C16" i="2"/>
  <c r="Y15" i="2"/>
  <c r="X15" i="2"/>
  <c r="U15" i="2"/>
  <c r="T15" i="2"/>
  <c r="Q15" i="2"/>
  <c r="P15" i="2"/>
  <c r="M15" i="2"/>
  <c r="L15" i="2"/>
  <c r="D15" i="2"/>
  <c r="C15" i="2"/>
  <c r="Y14" i="2"/>
  <c r="X14" i="2"/>
  <c r="U14" i="2"/>
  <c r="T14" i="2"/>
  <c r="Q14" i="2"/>
  <c r="P14" i="2"/>
  <c r="M14" i="2"/>
  <c r="L14" i="2"/>
  <c r="D14" i="2"/>
  <c r="C14" i="2"/>
  <c r="D13" i="2"/>
  <c r="C13" i="2"/>
  <c r="D12" i="2"/>
  <c r="C12" i="2"/>
  <c r="D11" i="2"/>
  <c r="C11" i="2"/>
  <c r="C10" i="2"/>
  <c r="AD5" i="2"/>
  <c r="AD4" i="2"/>
  <c r="AD3" i="2"/>
  <c r="E5" i="2"/>
  <c r="E6" i="2" s="1"/>
  <c r="E7" i="2" s="1"/>
  <c r="E8" i="2" s="1"/>
  <c r="E9" i="2" s="1"/>
  <c r="E10" i="2" s="1"/>
  <c r="E11" i="2" s="1"/>
  <c r="E12" i="2" s="1"/>
  <c r="E13" i="2" s="1"/>
  <c r="E14" i="2" s="1"/>
  <c r="AD2" i="2"/>
  <c r="H2" i="2"/>
  <c r="AC2" i="2" l="1"/>
  <c r="E15" i="2"/>
  <c r="N14" i="2"/>
  <c r="V14" i="2" l="1"/>
  <c r="R14" i="2"/>
  <c r="N15" i="2"/>
  <c r="E16" i="2"/>
  <c r="N16" i="2" l="1"/>
  <c r="E17" i="2"/>
  <c r="V15" i="2"/>
  <c r="R15" i="2"/>
  <c r="Z15" i="2" s="1"/>
  <c r="Z14" i="2"/>
  <c r="N17" i="2" l="1"/>
  <c r="E18" i="2"/>
  <c r="V16" i="2"/>
  <c r="R16" i="2"/>
  <c r="V17" i="2" l="1"/>
  <c r="R17" i="2"/>
  <c r="Z17" i="2" s="1"/>
  <c r="Z16" i="2"/>
  <c r="N18" i="2"/>
  <c r="E19" i="2"/>
  <c r="R18" i="2" l="1"/>
  <c r="Z18" i="2" s="1"/>
  <c r="V18" i="2"/>
  <c r="E20" i="2"/>
  <c r="N19" i="2"/>
  <c r="E21" i="2" l="1"/>
  <c r="N20" i="2"/>
  <c r="R19" i="2"/>
  <c r="V19" i="2"/>
  <c r="Z19" i="2" l="1"/>
  <c r="R20" i="2"/>
  <c r="Z20" i="2" s="1"/>
  <c r="V20" i="2"/>
  <c r="E22" i="2"/>
  <c r="N21" i="2"/>
  <c r="E23" i="2" l="1"/>
  <c r="N22" i="2"/>
  <c r="V21" i="2"/>
  <c r="R21" i="2"/>
  <c r="Z21" i="2" s="1"/>
  <c r="V22" i="2" l="1"/>
  <c r="R22" i="2"/>
  <c r="Z22" i="2" s="1"/>
  <c r="N23" i="2"/>
  <c r="E24" i="2"/>
  <c r="V23" i="2" l="1"/>
  <c r="R23" i="2"/>
  <c r="Z23" i="2" s="1"/>
  <c r="N24" i="2"/>
  <c r="E25" i="2"/>
  <c r="N25" i="2" l="1"/>
  <c r="E26" i="2"/>
  <c r="V24" i="2"/>
  <c r="R24" i="2"/>
  <c r="Z24" i="2" s="1"/>
  <c r="N26" i="2" l="1"/>
  <c r="E27" i="2"/>
  <c r="R25" i="2"/>
  <c r="Z25" i="2" s="1"/>
  <c r="V25" i="2"/>
  <c r="E28" i="2" l="1"/>
  <c r="N27" i="2"/>
  <c r="R26" i="2"/>
  <c r="Z26" i="2" s="1"/>
  <c r="V26" i="2"/>
  <c r="R27" i="2" l="1"/>
  <c r="Z27" i="2" s="1"/>
  <c r="V27" i="2"/>
  <c r="E29" i="2"/>
  <c r="N28" i="2"/>
  <c r="E30" i="2" l="1"/>
  <c r="N29" i="2"/>
  <c r="R28" i="2"/>
  <c r="Z28" i="2" s="1"/>
  <c r="V28" i="2"/>
  <c r="V29" i="2" l="1"/>
  <c r="R29" i="2"/>
  <c r="Z29" i="2" s="1"/>
  <c r="E31" i="2"/>
  <c r="N30" i="2"/>
  <c r="V30" i="2" l="1"/>
  <c r="R30" i="2"/>
  <c r="Z30" i="2" s="1"/>
  <c r="N31" i="2"/>
  <c r="E32" i="2"/>
  <c r="N32" i="2" l="1"/>
  <c r="E33" i="2"/>
  <c r="V31" i="2"/>
  <c r="R31" i="2"/>
  <c r="Z31" i="2" s="1"/>
  <c r="N33" i="2" l="1"/>
  <c r="E34" i="2"/>
  <c r="V32" i="2"/>
  <c r="R32" i="2"/>
  <c r="Z32" i="2" s="1"/>
  <c r="N34" i="2" l="1"/>
  <c r="E35" i="2"/>
  <c r="V33" i="2"/>
  <c r="R33" i="2"/>
  <c r="Z33" i="2" s="1"/>
  <c r="E36" i="2" l="1"/>
  <c r="N35" i="2"/>
  <c r="R34" i="2"/>
  <c r="Z34" i="2" s="1"/>
  <c r="V34" i="2"/>
  <c r="R35" i="2" l="1"/>
  <c r="Z35" i="2" s="1"/>
  <c r="V35" i="2"/>
  <c r="E37" i="2"/>
  <c r="N36" i="2"/>
  <c r="R36" i="2" l="1"/>
  <c r="Z36" i="2" s="1"/>
  <c r="V36" i="2"/>
  <c r="E38" i="2"/>
  <c r="N37" i="2"/>
  <c r="V37" i="2" l="1"/>
  <c r="R37" i="2"/>
  <c r="Z37" i="2" s="1"/>
  <c r="E39" i="2"/>
  <c r="N38" i="2"/>
  <c r="N39" i="2" l="1"/>
  <c r="E40" i="2"/>
  <c r="N40" i="2" s="1"/>
  <c r="V38" i="2"/>
  <c r="R38" i="2"/>
  <c r="Z38" i="2" s="1"/>
  <c r="V40" i="2" l="1"/>
  <c r="R40" i="2"/>
  <c r="V39" i="2"/>
  <c r="R39" i="2"/>
  <c r="Z39" i="2" s="1"/>
  <c r="Z40" i="2" l="1"/>
  <c r="AE5" i="2" s="1"/>
  <c r="AE2" i="2"/>
  <c r="AE3" i="2"/>
  <c r="AE4" i="2" s="1"/>
  <c r="C43" i="2"/>
  <c r="C44" i="2"/>
</calcChain>
</file>

<file path=xl/sharedStrings.xml><?xml version="1.0" encoding="utf-8"?>
<sst xmlns="http://schemas.openxmlformats.org/spreadsheetml/2006/main" count="114" uniqueCount="103">
  <si>
    <t>Week</t>
  </si>
  <si>
    <t>Demand(t)</t>
  </si>
  <si>
    <t>8 point Moving Average</t>
  </si>
  <si>
    <t>Weighted Moving Average</t>
  </si>
  <si>
    <t xml:space="preserve">Exponential Smooting </t>
  </si>
  <si>
    <t>Weights</t>
  </si>
  <si>
    <t>alpha</t>
  </si>
  <si>
    <t>Error MA</t>
  </si>
  <si>
    <t>Error SES</t>
  </si>
  <si>
    <t>Absolute Error Moving Average</t>
  </si>
  <si>
    <t>Absolute Error Weighted Moving average.</t>
  </si>
  <si>
    <t>Absolute Error SES</t>
  </si>
  <si>
    <t>Sq Error Moving Average</t>
  </si>
  <si>
    <t>Sq  Error Weighted Moving average.</t>
  </si>
  <si>
    <t>Sq                  Error SES</t>
  </si>
  <si>
    <t>Absolute Perentage Moving Average</t>
  </si>
  <si>
    <t>Absolute Percentage  Error Weighted Moving average.</t>
  </si>
  <si>
    <t>Absolute PercentageError SES</t>
  </si>
  <si>
    <t>Moving Average</t>
  </si>
  <si>
    <t>Exponential Smoothing</t>
  </si>
  <si>
    <t>T-8</t>
  </si>
  <si>
    <t>MAE</t>
  </si>
  <si>
    <t>T-7</t>
  </si>
  <si>
    <t>MSE</t>
  </si>
  <si>
    <t>T-6</t>
  </si>
  <si>
    <t>RMSE</t>
  </si>
  <si>
    <t>T-5</t>
  </si>
  <si>
    <t>MAPE</t>
  </si>
  <si>
    <t>T-4</t>
  </si>
  <si>
    <t xml:space="preserve"> </t>
  </si>
  <si>
    <t>T-3</t>
  </si>
  <si>
    <t>T-2</t>
  </si>
  <si>
    <t>T-1</t>
  </si>
  <si>
    <t>StatTools Report</t>
  </si>
  <si>
    <t>Analysis:</t>
  </si>
  <si>
    <t>One Variable Summary</t>
  </si>
  <si>
    <t>Performed By:</t>
  </si>
  <si>
    <t>Kie Yong Tan (22938336)</t>
  </si>
  <si>
    <t>Date:</t>
  </si>
  <si>
    <t>Friday, 19 May 2023</t>
  </si>
  <si>
    <t>Updating:</t>
  </si>
  <si>
    <t>Live</t>
  </si>
  <si>
    <t>demand</t>
  </si>
  <si>
    <t>MA</t>
  </si>
  <si>
    <t>WMA</t>
  </si>
  <si>
    <t>ES</t>
  </si>
  <si>
    <t>Data Set #1</t>
  </si>
  <si>
    <t>Mean</t>
  </si>
  <si>
    <t>Std. Dev.</t>
  </si>
  <si>
    <t>Minimum</t>
  </si>
  <si>
    <t>Maximum</t>
  </si>
  <si>
    <t>Name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</si>
  <si>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</si>
  <si>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</si>
  <si>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</si>
  <si>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</si>
  <si>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</si>
  <si>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</si>
  <si>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</si>
  <si>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</si>
  <si>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</si>
  <si>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GUID</t>
  </si>
  <si>
    <t>DG25215E86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</si>
  <si>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</si>
  <si>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</si>
  <si>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</si>
  <si>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</si>
  <si>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</si>
  <si>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</si>
  <si>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</si>
  <si>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</si>
  <si>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</si>
  <si>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</si>
  <si>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VG1FB923DF4E3632D</t>
  </si>
  <si>
    <t>week</t>
  </si>
  <si>
    <t>ST_week</t>
  </si>
  <si>
    <t>1 : Ranges</t>
  </si>
  <si>
    <t>1 : MultiRefs</t>
  </si>
  <si>
    <t>2 : Info</t>
  </si>
  <si>
    <t>VG37689F462C492A1</t>
  </si>
  <si>
    <t>ST_demand</t>
  </si>
  <si>
    <t>2 : Ranges</t>
  </si>
  <si>
    <t>2 : MultiRefs</t>
  </si>
  <si>
    <t>3 : Info</t>
  </si>
  <si>
    <t>VG24A71C08BFA7408</t>
  </si>
  <si>
    <t>ST_MA</t>
  </si>
  <si>
    <t>3 : Ranges</t>
  </si>
  <si>
    <t>3 : MultiRefs</t>
  </si>
  <si>
    <t>4 : Info</t>
  </si>
  <si>
    <t>VG2BA6C8401501A3E8</t>
  </si>
  <si>
    <t>ST_WMA</t>
  </si>
  <si>
    <t>4 : Ranges</t>
  </si>
  <si>
    <t>4 : MultiRefs</t>
  </si>
  <si>
    <t>5 : Info</t>
  </si>
  <si>
    <t>VG32AAE59D140B20CB</t>
  </si>
  <si>
    <t>ST_ES</t>
  </si>
  <si>
    <t>5 : Ranges</t>
  </si>
  <si>
    <t>5 : MultiRefs</t>
  </si>
  <si>
    <t>SUM</t>
  </si>
  <si>
    <t>MEAN</t>
  </si>
  <si>
    <t>YEARLY EST.</t>
  </si>
  <si>
    <t>Error WMA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</si>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</sst>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49" fontId="4" fillId="0" borderId="0" xfId="0" applyNumberFormat="1" applyFont="1" applyAlignment="1">
      <alignment horizontal="left"/>
    </xf>
    <xf numFmtId="49" fontId="4" fillId="0" borderId="9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6" borderId="11" xfId="0" applyFont="1" applyFill="1" applyBorder="1"/>
    <xf numFmtId="0" fontId="6" fillId="6" borderId="11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right"/>
    </xf>
    <xf numFmtId="0" fontId="6" fillId="6" borderId="0" xfId="0" applyFont="1" applyFill="1"/>
    <xf numFmtId="0" fontId="6" fillId="6" borderId="0" xfId="0" applyFont="1" applyFill="1" applyAlignment="1">
      <alignment horizontal="left"/>
    </xf>
    <xf numFmtId="0" fontId="4" fillId="6" borderId="0" xfId="0" applyFont="1" applyFill="1" applyAlignment="1">
      <alignment horizontal="right"/>
    </xf>
    <xf numFmtId="0" fontId="7" fillId="6" borderId="0" xfId="0" applyFont="1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2" fontId="0" fillId="0" borderId="0" xfId="0" applyNumberFormat="1" applyAlignment="1">
      <alignment horizontal="left"/>
    </xf>
    <xf numFmtId="10" fontId="4" fillId="0" borderId="0" xfId="0" applyNumberFormat="1" applyFont="1" applyAlignment="1">
      <alignment horizontal="left"/>
    </xf>
    <xf numFmtId="2" fontId="0" fillId="0" borderId="9" xfId="0" applyNumberFormat="1" applyBorder="1" applyAlignment="1">
      <alignment horizontal="left"/>
    </xf>
    <xf numFmtId="49" fontId="4" fillId="0" borderId="10" xfId="0" applyNumberFormat="1" applyFont="1" applyBorder="1" applyAlignment="1">
      <alignment horizontal="left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1" fontId="3" fillId="2" borderId="17" xfId="0" applyNumberFormat="1" applyFont="1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2" fontId="0" fillId="2" borderId="19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0" fillId="0" borderId="27" xfId="0" applyNumberFormat="1" applyBorder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9" fillId="7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164" fontId="8" fillId="8" borderId="5" xfId="0" applyNumberFormat="1" applyFont="1" applyFill="1" applyBorder="1" applyAlignment="1">
      <alignment horizontal="center" vertical="center"/>
    </xf>
    <xf numFmtId="164" fontId="8" fillId="8" borderId="6" xfId="0" applyNumberFormat="1" applyFont="1" applyFill="1" applyBorder="1" applyAlignment="1">
      <alignment horizontal="center" vertical="center"/>
    </xf>
    <xf numFmtId="164" fontId="8" fillId="8" borderId="7" xfId="0" applyNumberFormat="1" applyFont="1" applyFill="1" applyBorder="1" applyAlignment="1">
      <alignment horizontal="center" vertical="center"/>
    </xf>
    <xf numFmtId="164" fontId="8" fillId="9" borderId="5" xfId="0" applyNumberFormat="1" applyFont="1" applyFill="1" applyBorder="1" applyAlignment="1">
      <alignment horizontal="center" vertical="center"/>
    </xf>
    <xf numFmtId="164" fontId="8" fillId="9" borderId="6" xfId="0" applyNumberFormat="1" applyFont="1" applyFill="1" applyBorder="1" applyAlignment="1">
      <alignment horizontal="center" vertical="center"/>
    </xf>
    <xf numFmtId="164" fontId="8" fillId="9" borderId="7" xfId="0" applyNumberFormat="1" applyFont="1" applyFill="1" applyBorder="1" applyAlignment="1">
      <alignment horizontal="center" vertical="center"/>
    </xf>
    <xf numFmtId="164" fontId="8" fillId="10" borderId="5" xfId="0" applyNumberFormat="1" applyFont="1" applyFill="1" applyBorder="1" applyAlignment="1">
      <alignment horizontal="center" vertical="center"/>
    </xf>
    <xf numFmtId="164" fontId="8" fillId="10" borderId="6" xfId="0" applyNumberFormat="1" applyFont="1" applyFill="1" applyBorder="1" applyAlignment="1">
      <alignment horizontal="center" vertical="center"/>
    </xf>
    <xf numFmtId="164" fontId="8" fillId="10" borderId="7" xfId="0" applyNumberFormat="1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1CE2-55F5-48D7-9CCD-C5213D1C73CB}">
  <dimension ref="A1:AE47"/>
  <sheetViews>
    <sheetView tabSelected="1" topLeftCell="A34" workbookViewId="0">
      <selection activeCell="C41" sqref="C41:C44"/>
    </sheetView>
  </sheetViews>
  <sheetFormatPr defaultColWidth="9.15234375" defaultRowHeight="14.6" x14ac:dyDescent="0.4"/>
  <cols>
    <col min="1" max="1" width="13.4609375" style="1" customWidth="1"/>
    <col min="2" max="2" width="23.69140625" style="1" bestFit="1" customWidth="1"/>
    <col min="3" max="3" width="14.15234375" style="1" customWidth="1"/>
    <col min="4" max="4" width="10.53515625" style="1" customWidth="1"/>
    <col min="5" max="5" width="12.53515625" style="1" customWidth="1"/>
    <col min="12" max="13" width="12" customWidth="1"/>
    <col min="14" max="26" width="13.15234375" customWidth="1"/>
    <col min="28" max="31" width="14.53515625" customWidth="1"/>
  </cols>
  <sheetData>
    <row r="1" spans="1:31" ht="87.9" thickBot="1" x14ac:dyDescent="0.45">
      <c r="A1" s="51" t="s">
        <v>0</v>
      </c>
      <c r="B1" s="52" t="s">
        <v>1</v>
      </c>
      <c r="C1" s="53" t="s">
        <v>2</v>
      </c>
      <c r="D1" s="53" t="s">
        <v>3</v>
      </c>
      <c r="E1" s="53" t="s">
        <v>4</v>
      </c>
      <c r="F1" s="2"/>
      <c r="G1" s="58" t="s">
        <v>5</v>
      </c>
      <c r="H1" s="58"/>
      <c r="J1" s="52" t="s">
        <v>6</v>
      </c>
      <c r="K1" s="2"/>
      <c r="L1" s="52" t="s">
        <v>7</v>
      </c>
      <c r="M1" s="52" t="s">
        <v>101</v>
      </c>
      <c r="N1" s="52" t="s">
        <v>8</v>
      </c>
      <c r="O1" s="3"/>
      <c r="P1" s="53" t="s">
        <v>9</v>
      </c>
      <c r="Q1" s="53" t="s">
        <v>10</v>
      </c>
      <c r="R1" s="53" t="s">
        <v>11</v>
      </c>
      <c r="S1" s="3"/>
      <c r="T1" s="53" t="s">
        <v>12</v>
      </c>
      <c r="U1" s="53" t="s">
        <v>13</v>
      </c>
      <c r="V1" s="53" t="s">
        <v>14</v>
      </c>
      <c r="W1" s="3"/>
      <c r="X1" s="53" t="s">
        <v>15</v>
      </c>
      <c r="Y1" s="53" t="s">
        <v>16</v>
      </c>
      <c r="Z1" s="53" t="s">
        <v>17</v>
      </c>
      <c r="AA1" s="2"/>
      <c r="AB1" s="57" t="s">
        <v>102</v>
      </c>
      <c r="AC1" s="59" t="s">
        <v>18</v>
      </c>
      <c r="AD1" s="59" t="s">
        <v>3</v>
      </c>
      <c r="AE1" s="59" t="s">
        <v>19</v>
      </c>
    </row>
    <row r="2" spans="1:31" x14ac:dyDescent="0.4">
      <c r="A2" s="45">
        <v>1</v>
      </c>
      <c r="B2" s="46">
        <v>262</v>
      </c>
      <c r="C2" s="28"/>
      <c r="D2" s="28"/>
      <c r="E2" s="29">
        <v>262</v>
      </c>
      <c r="F2" s="2"/>
      <c r="G2" s="54" t="s">
        <v>20</v>
      </c>
      <c r="H2" s="55">
        <f>1/36</f>
        <v>2.7777777777777776E-2</v>
      </c>
      <c r="I2" s="2"/>
      <c r="J2" s="54">
        <v>0.36099999999999999</v>
      </c>
      <c r="K2" s="2"/>
      <c r="L2" s="4"/>
      <c r="M2" s="4"/>
      <c r="N2" s="4"/>
      <c r="O2" s="3"/>
      <c r="P2" s="4"/>
      <c r="Q2" s="4"/>
      <c r="R2" s="4"/>
      <c r="S2" s="3"/>
      <c r="T2" s="4"/>
      <c r="U2" s="4"/>
      <c r="V2" s="4"/>
      <c r="W2" s="3"/>
      <c r="X2" s="4"/>
      <c r="Y2" s="4"/>
      <c r="Z2" s="4"/>
      <c r="AA2" s="2"/>
      <c r="AB2" s="60" t="s">
        <v>21</v>
      </c>
      <c r="AC2" s="64">
        <f>AVERAGE(P14:P40)</f>
        <v>106.1574074074074</v>
      </c>
      <c r="AD2" s="61">
        <f>AVERAGE(Q14:Q40)</f>
        <v>103.05864197530867</v>
      </c>
      <c r="AE2" s="67">
        <f>AVERAGE(R14:R40)</f>
        <v>105.65141251330742</v>
      </c>
    </row>
    <row r="3" spans="1:31" x14ac:dyDescent="0.4">
      <c r="A3" s="47">
        <v>2</v>
      </c>
      <c r="B3" s="48">
        <v>323</v>
      </c>
      <c r="C3" s="9"/>
      <c r="D3" s="9"/>
      <c r="E3" s="30">
        <f>$J$2*B2+(1-$J$2)*E2</f>
        <v>262</v>
      </c>
      <c r="F3" s="2"/>
      <c r="G3" s="54" t="s">
        <v>22</v>
      </c>
      <c r="H3" s="55">
        <v>5.5555555555555552E-2</v>
      </c>
      <c r="I3" s="2"/>
      <c r="J3" s="2"/>
      <c r="K3" s="2"/>
      <c r="L3" s="4"/>
      <c r="M3" s="4"/>
      <c r="N3" s="4"/>
      <c r="O3" s="3"/>
      <c r="P3" s="4"/>
      <c r="Q3" s="4"/>
      <c r="R3" s="4"/>
      <c r="S3" s="3"/>
      <c r="T3" s="4"/>
      <c r="U3" s="4"/>
      <c r="V3" s="4"/>
      <c r="W3" s="3"/>
      <c r="X3" s="4"/>
      <c r="Y3" s="4"/>
      <c r="Z3" s="4"/>
      <c r="AA3" s="2"/>
      <c r="AB3" s="60" t="s">
        <v>23</v>
      </c>
      <c r="AC3" s="65">
        <f>AVERAGE(T14:T40)</f>
        <v>19617.395833333332</v>
      </c>
      <c r="AD3" s="62">
        <f>AVERAGE(U14:U40)</f>
        <v>18659.28992341107</v>
      </c>
      <c r="AE3" s="68">
        <f>AVERAGE(V14:V40)</f>
        <v>19207.117254603505</v>
      </c>
    </row>
    <row r="4" spans="1:31" x14ac:dyDescent="0.4">
      <c r="A4" s="47">
        <v>3</v>
      </c>
      <c r="B4" s="48">
        <v>419</v>
      </c>
      <c r="C4" s="9"/>
      <c r="D4" s="9"/>
      <c r="E4" s="30">
        <f>$J$2*B3+(1-$J$2)*E3</f>
        <v>284.02100000000002</v>
      </c>
      <c r="F4" s="2"/>
      <c r="G4" s="54" t="s">
        <v>24</v>
      </c>
      <c r="H4" s="55">
        <v>8.3333333333333329E-2</v>
      </c>
      <c r="I4" s="2"/>
      <c r="J4" s="2"/>
      <c r="K4" s="2"/>
      <c r="L4" s="4"/>
      <c r="M4" s="4"/>
      <c r="N4" s="4"/>
      <c r="O4" s="3"/>
      <c r="P4" s="4"/>
      <c r="Q4" s="4"/>
      <c r="R4" s="4"/>
      <c r="S4" s="3"/>
      <c r="T4" s="4"/>
      <c r="U4" s="4"/>
      <c r="V4" s="4"/>
      <c r="W4" s="3"/>
      <c r="X4" s="4"/>
      <c r="Y4" s="4"/>
      <c r="Z4" s="4"/>
      <c r="AA4" s="2"/>
      <c r="AB4" s="60" t="s">
        <v>25</v>
      </c>
      <c r="AC4" s="65">
        <f>SQRT(AC3)</f>
        <v>140.06211419699952</v>
      </c>
      <c r="AD4" s="62">
        <f>SQRT(AD3)</f>
        <v>136.59901142911346</v>
      </c>
      <c r="AE4" s="68">
        <f>SQRT(AE3)</f>
        <v>138.58974440629979</v>
      </c>
    </row>
    <row r="5" spans="1:31" ht="15" thickBot="1" x14ac:dyDescent="0.45">
      <c r="A5" s="47">
        <v>4</v>
      </c>
      <c r="B5" s="48">
        <v>234</v>
      </c>
      <c r="C5" s="10"/>
      <c r="D5" s="10"/>
      <c r="E5" s="30">
        <f t="shared" ref="E5:E40" si="0">$J$2*B4+(1-$J$2)*E4</f>
        <v>332.74841900000001</v>
      </c>
      <c r="F5" s="2"/>
      <c r="G5" s="54" t="s">
        <v>26</v>
      </c>
      <c r="H5" s="55">
        <v>0.1111111111111111</v>
      </c>
      <c r="I5" s="2"/>
      <c r="J5" s="2"/>
      <c r="K5" s="2"/>
      <c r="L5" s="4"/>
      <c r="M5" s="4"/>
      <c r="N5" s="4"/>
      <c r="O5" s="3"/>
      <c r="P5" s="4"/>
      <c r="Q5" s="4"/>
      <c r="R5" s="4"/>
      <c r="S5" s="3"/>
      <c r="T5" s="4"/>
      <c r="U5" s="4"/>
      <c r="V5" s="4"/>
      <c r="W5" s="3"/>
      <c r="X5" s="4"/>
      <c r="Y5" s="4"/>
      <c r="Z5" s="4"/>
      <c r="AA5" s="2"/>
      <c r="AB5" s="60" t="s">
        <v>27</v>
      </c>
      <c r="AC5" s="66">
        <f>AVERAGE(X14:X40)</f>
        <v>14.500161862236853</v>
      </c>
      <c r="AD5" s="63">
        <f>AVERAGE(Y14:Y40)</f>
        <v>14.410546313589865</v>
      </c>
      <c r="AE5" s="69">
        <f>AVERAGE(Z14:Z40)</f>
        <v>14.786078515981517</v>
      </c>
    </row>
    <row r="6" spans="1:31" x14ac:dyDescent="0.4">
      <c r="A6" s="47">
        <v>5</v>
      </c>
      <c r="B6" s="48">
        <v>336</v>
      </c>
      <c r="C6" s="10"/>
      <c r="D6" s="10"/>
      <c r="E6" s="30">
        <f t="shared" si="0"/>
        <v>297.100239741</v>
      </c>
      <c r="F6" s="2"/>
      <c r="G6" s="54" t="s">
        <v>28</v>
      </c>
      <c r="H6" s="55">
        <v>0.1388888888888889</v>
      </c>
      <c r="I6" s="2"/>
      <c r="J6" s="2"/>
      <c r="K6" s="2"/>
      <c r="L6" s="4"/>
      <c r="M6" s="4"/>
      <c r="N6" s="4"/>
      <c r="O6" s="3"/>
      <c r="P6" s="4"/>
      <c r="Q6" s="4"/>
      <c r="R6" s="4"/>
      <c r="S6" s="3"/>
      <c r="T6" s="4"/>
      <c r="U6" s="4"/>
      <c r="V6" s="4"/>
      <c r="W6" s="3"/>
      <c r="X6" s="4"/>
      <c r="Y6" s="4"/>
      <c r="Z6" s="4"/>
      <c r="AA6" s="2"/>
      <c r="AD6" t="s">
        <v>29</v>
      </c>
    </row>
    <row r="7" spans="1:31" x14ac:dyDescent="0.4">
      <c r="A7" s="47">
        <v>6</v>
      </c>
      <c r="B7" s="48">
        <v>206</v>
      </c>
      <c r="C7" s="10"/>
      <c r="D7" s="10"/>
      <c r="E7" s="30">
        <f t="shared" si="0"/>
        <v>311.14305319449898</v>
      </c>
      <c r="F7" s="2"/>
      <c r="G7" s="54" t="s">
        <v>30</v>
      </c>
      <c r="H7" s="55">
        <v>0.16666666666666666</v>
      </c>
      <c r="I7" s="2"/>
      <c r="J7" s="2"/>
      <c r="K7" s="2"/>
      <c r="L7" s="4"/>
      <c r="M7" s="4"/>
      <c r="N7" s="4"/>
      <c r="O7" s="3"/>
      <c r="P7" s="4"/>
      <c r="Q7" s="4"/>
      <c r="R7" s="4"/>
      <c r="S7" s="3"/>
      <c r="T7" s="4"/>
      <c r="U7" s="4"/>
      <c r="V7" s="4"/>
      <c r="W7" s="3"/>
      <c r="X7" s="4"/>
      <c r="Y7" s="4"/>
      <c r="Z7" s="4"/>
      <c r="AA7" s="2"/>
    </row>
    <row r="8" spans="1:31" x14ac:dyDescent="0.4">
      <c r="A8" s="47">
        <v>7</v>
      </c>
      <c r="B8" s="48">
        <v>427</v>
      </c>
      <c r="C8" s="10"/>
      <c r="D8" s="10"/>
      <c r="E8" s="30">
        <f t="shared" si="0"/>
        <v>273.18641099128484</v>
      </c>
      <c r="F8" s="2"/>
      <c r="G8" s="54" t="s">
        <v>31</v>
      </c>
      <c r="H8" s="55">
        <v>0.19444444444444445</v>
      </c>
      <c r="I8" s="2"/>
      <c r="J8" s="2"/>
      <c r="K8" s="2"/>
      <c r="L8" s="4"/>
      <c r="M8" s="4"/>
      <c r="N8" s="4"/>
      <c r="O8" s="3"/>
      <c r="P8" s="4"/>
      <c r="Q8" s="4"/>
      <c r="R8" s="4"/>
      <c r="S8" s="3"/>
      <c r="T8" s="4"/>
      <c r="U8" s="4"/>
      <c r="V8" s="4"/>
      <c r="W8" s="3"/>
      <c r="X8" s="4"/>
      <c r="Y8" s="4"/>
      <c r="Z8" s="4"/>
      <c r="AA8" s="2"/>
    </row>
    <row r="9" spans="1:31" x14ac:dyDescent="0.4">
      <c r="A9" s="47">
        <v>8</v>
      </c>
      <c r="B9" s="48">
        <v>482</v>
      </c>
      <c r="C9" s="10"/>
      <c r="D9" s="10"/>
      <c r="E9" s="30">
        <f t="shared" si="0"/>
        <v>328.71311662343101</v>
      </c>
      <c r="F9" s="2"/>
      <c r="G9" s="54" t="s">
        <v>32</v>
      </c>
      <c r="H9" s="55">
        <v>0.22222222222222221</v>
      </c>
      <c r="I9" s="2"/>
      <c r="J9" s="2"/>
      <c r="K9" s="2"/>
      <c r="L9" s="4"/>
      <c r="M9" s="4"/>
      <c r="N9" s="4"/>
      <c r="O9" s="3"/>
      <c r="P9" s="4"/>
      <c r="Q9" s="4"/>
      <c r="R9" s="4"/>
      <c r="S9" s="3"/>
      <c r="T9" s="4"/>
      <c r="U9" s="4"/>
      <c r="V9" s="4"/>
      <c r="W9" s="3"/>
      <c r="X9" s="4"/>
      <c r="Y9" s="4"/>
      <c r="Z9" s="4"/>
      <c r="AA9" s="2"/>
    </row>
    <row r="10" spans="1:31" x14ac:dyDescent="0.4">
      <c r="A10" s="47">
        <v>9</v>
      </c>
      <c r="B10" s="48">
        <v>554</v>
      </c>
      <c r="C10" s="10">
        <f>AVERAGE(B2:B9)</f>
        <v>336.125</v>
      </c>
      <c r="D10" s="10">
        <f>SUMPRODUCT($H$2:$H$9, B2:B9)</f>
        <v>357.27777777777771</v>
      </c>
      <c r="E10" s="30">
        <f t="shared" si="0"/>
        <v>384.0496815223724</v>
      </c>
      <c r="F10" s="2"/>
      <c r="G10" s="56" t="s">
        <v>98</v>
      </c>
      <c r="H10" s="54">
        <v>1</v>
      </c>
      <c r="I10" s="2"/>
      <c r="J10" s="2"/>
      <c r="K10" s="2"/>
      <c r="L10" s="4"/>
      <c r="M10" s="4"/>
      <c r="N10" s="4"/>
      <c r="O10" s="3"/>
      <c r="P10" s="4"/>
      <c r="Q10" s="4"/>
      <c r="R10" s="4"/>
      <c r="S10" s="3"/>
      <c r="T10" s="4"/>
      <c r="U10" s="4"/>
      <c r="V10" s="4"/>
      <c r="W10" s="3"/>
      <c r="X10" s="4"/>
      <c r="Y10" s="4"/>
      <c r="Z10" s="4"/>
      <c r="AA10" s="2"/>
    </row>
    <row r="11" spans="1:31" x14ac:dyDescent="0.4">
      <c r="A11" s="47">
        <v>10</v>
      </c>
      <c r="B11" s="48">
        <v>689</v>
      </c>
      <c r="C11" s="10">
        <f t="shared" ref="C11:C39" si="1">AVERAGE(B3:B10)</f>
        <v>372.625</v>
      </c>
      <c r="D11" s="10">
        <f t="shared" ref="D11:D40" si="2">SUMPRODUCT($H$2:$H$9, B3:B10)</f>
        <v>405.6944444444444</v>
      </c>
      <c r="E11" s="30">
        <f t="shared" si="0"/>
        <v>445.40174649279595</v>
      </c>
      <c r="F11" s="2"/>
      <c r="G11" s="2"/>
      <c r="H11" s="2"/>
      <c r="I11" s="2"/>
      <c r="J11" s="2"/>
      <c r="K11" s="2"/>
      <c r="L11" s="4"/>
      <c r="M11" s="4"/>
      <c r="N11" s="4"/>
      <c r="O11" s="3"/>
      <c r="P11" s="4"/>
      <c r="Q11" s="4"/>
      <c r="R11" s="4"/>
      <c r="S11" s="3"/>
      <c r="T11" s="4"/>
      <c r="U11" s="4"/>
      <c r="V11" s="4"/>
      <c r="W11" s="3"/>
      <c r="X11" s="4"/>
      <c r="Y11" s="4"/>
      <c r="Z11" s="4"/>
      <c r="AA11" s="2"/>
    </row>
    <row r="12" spans="1:31" x14ac:dyDescent="0.4">
      <c r="A12" s="47">
        <v>11</v>
      </c>
      <c r="B12" s="48">
        <v>390</v>
      </c>
      <c r="C12" s="10">
        <f t="shared" si="1"/>
        <v>418.375</v>
      </c>
      <c r="D12" s="10">
        <f t="shared" si="2"/>
        <v>476</v>
      </c>
      <c r="E12" s="30">
        <f t="shared" si="0"/>
        <v>533.34071600889661</v>
      </c>
      <c r="F12" s="2"/>
      <c r="G12" s="2"/>
      <c r="H12" s="2"/>
      <c r="I12" s="2"/>
      <c r="J12" s="2"/>
      <c r="K12" s="2"/>
      <c r="L12" s="4"/>
      <c r="M12" s="4"/>
      <c r="N12" s="4"/>
      <c r="O12" s="3"/>
      <c r="P12" s="4"/>
      <c r="Q12" s="4"/>
      <c r="R12" s="4"/>
      <c r="S12" s="3"/>
      <c r="T12" s="4"/>
      <c r="U12" s="4"/>
      <c r="V12" s="4"/>
      <c r="W12" s="3"/>
      <c r="X12" s="4"/>
      <c r="Y12" s="4"/>
      <c r="Z12" s="4"/>
      <c r="AA12" s="2"/>
    </row>
    <row r="13" spans="1:31" x14ac:dyDescent="0.4">
      <c r="A13" s="47">
        <v>12</v>
      </c>
      <c r="B13" s="48">
        <v>504</v>
      </c>
      <c r="C13" s="10">
        <f t="shared" si="1"/>
        <v>414.75</v>
      </c>
      <c r="D13" s="10">
        <f t="shared" si="2"/>
        <v>469.69444444444446</v>
      </c>
      <c r="E13" s="30">
        <f t="shared" si="0"/>
        <v>481.59471752968489</v>
      </c>
      <c r="F13" s="2"/>
      <c r="G13" s="2"/>
      <c r="H13" s="2"/>
      <c r="I13" s="2"/>
      <c r="J13" s="2"/>
      <c r="K13" s="2"/>
      <c r="L13" s="4"/>
      <c r="M13" s="4"/>
      <c r="N13" s="4"/>
      <c r="O13" s="3"/>
      <c r="P13" s="4"/>
      <c r="Q13" s="4"/>
      <c r="R13" s="4"/>
      <c r="S13" s="3"/>
      <c r="T13" s="4"/>
      <c r="U13" s="4"/>
      <c r="V13" s="4"/>
      <c r="W13" s="3"/>
      <c r="X13" s="4"/>
      <c r="Y13" s="4"/>
      <c r="Z13" s="4"/>
      <c r="AA13" s="2"/>
    </row>
    <row r="14" spans="1:31" x14ac:dyDescent="0.4">
      <c r="A14" s="47">
        <v>13</v>
      </c>
      <c r="B14" s="48">
        <v>363</v>
      </c>
      <c r="C14" s="10">
        <f t="shared" si="1"/>
        <v>448.5</v>
      </c>
      <c r="D14" s="10">
        <f t="shared" si="2"/>
        <v>489.52777777777771</v>
      </c>
      <c r="E14" s="30">
        <f t="shared" si="0"/>
        <v>489.68302450146859</v>
      </c>
      <c r="F14" s="2"/>
      <c r="G14" s="2"/>
      <c r="H14" s="2"/>
      <c r="I14" s="2"/>
      <c r="J14" s="2"/>
      <c r="K14" s="2"/>
      <c r="L14" s="70">
        <f>$B14-C14</f>
        <v>-85.5</v>
      </c>
      <c r="M14" s="70">
        <f>$B14-D14</f>
        <v>-126.52777777777771</v>
      </c>
      <c r="N14" s="70">
        <f>$B14-E14</f>
        <v>-126.68302450146859</v>
      </c>
      <c r="O14" s="2"/>
      <c r="P14" s="70">
        <f>ABS(L14)</f>
        <v>85.5</v>
      </c>
      <c r="Q14" s="70">
        <f t="shared" ref="Q14:R29" si="3">ABS(M14)</f>
        <v>126.52777777777771</v>
      </c>
      <c r="R14" s="70">
        <f t="shared" si="3"/>
        <v>126.68302450146859</v>
      </c>
      <c r="S14" s="2"/>
      <c r="T14" s="70">
        <f>L14^2</f>
        <v>7310.25</v>
      </c>
      <c r="U14" s="70">
        <f t="shared" ref="U14:V29" si="4">M14^2</f>
        <v>16009.2785493827</v>
      </c>
      <c r="V14" s="70">
        <f t="shared" si="4"/>
        <v>16048.588696839692</v>
      </c>
      <c r="W14" s="2"/>
      <c r="X14" s="70">
        <f>P14/$B14*100</f>
        <v>23.553719008264462</v>
      </c>
      <c r="Y14" s="70">
        <f>Q14/$B14*100</f>
        <v>34.856137128864383</v>
      </c>
      <c r="Z14" s="70">
        <f t="shared" ref="Y14:Z29" si="5">R14/$B14*100</f>
        <v>34.898904821341212</v>
      </c>
      <c r="AA14" s="2"/>
    </row>
    <row r="15" spans="1:31" x14ac:dyDescent="0.4">
      <c r="A15" s="47">
        <v>14</v>
      </c>
      <c r="B15" s="48">
        <v>588</v>
      </c>
      <c r="C15" s="10">
        <f t="shared" si="1"/>
        <v>451.875</v>
      </c>
      <c r="D15" s="10">
        <f t="shared" si="2"/>
        <v>470.52777777777771</v>
      </c>
      <c r="E15" s="30">
        <f t="shared" si="0"/>
        <v>443.95045265643847</v>
      </c>
      <c r="F15" s="2"/>
      <c r="G15" s="2"/>
      <c r="H15" s="2"/>
      <c r="I15" s="2"/>
      <c r="J15" s="2"/>
      <c r="K15" s="2"/>
      <c r="L15" s="70">
        <f t="shared" ref="L15:N38" si="6">$B15-C15</f>
        <v>136.125</v>
      </c>
      <c r="M15" s="70">
        <f t="shared" si="6"/>
        <v>117.47222222222229</v>
      </c>
      <c r="N15" s="70">
        <f t="shared" si="6"/>
        <v>144.04954734356153</v>
      </c>
      <c r="O15" s="2"/>
      <c r="P15" s="70">
        <f t="shared" ref="P15:R37" si="7">ABS(L15)</f>
        <v>136.125</v>
      </c>
      <c r="Q15" s="70">
        <f t="shared" si="3"/>
        <v>117.47222222222229</v>
      </c>
      <c r="R15" s="70">
        <f t="shared" si="3"/>
        <v>144.04954734356153</v>
      </c>
      <c r="S15" s="2"/>
      <c r="T15" s="70">
        <f t="shared" ref="T15:V37" si="8">L15^2</f>
        <v>18530.015625</v>
      </c>
      <c r="U15" s="70">
        <f t="shared" si="4"/>
        <v>13799.722993827176</v>
      </c>
      <c r="V15" s="70">
        <f t="shared" si="4"/>
        <v>20750.272089884973</v>
      </c>
      <c r="W15" s="2"/>
      <c r="X15" s="70">
        <f t="shared" ref="X15:Z37" si="9">P15/$B15*100</f>
        <v>23.15051020408163</v>
      </c>
      <c r="Y15" s="70">
        <f t="shared" si="5"/>
        <v>19.978269085411952</v>
      </c>
      <c r="Z15" s="70">
        <f t="shared" si="5"/>
        <v>24.498222337340394</v>
      </c>
      <c r="AA15" s="2"/>
    </row>
    <row r="16" spans="1:31" x14ac:dyDescent="0.4">
      <c r="A16" s="47">
        <v>15</v>
      </c>
      <c r="B16" s="48">
        <v>438</v>
      </c>
      <c r="C16" s="10">
        <f t="shared" si="1"/>
        <v>499.625</v>
      </c>
      <c r="D16" s="10">
        <f t="shared" si="2"/>
        <v>500.77777777777771</v>
      </c>
      <c r="E16" s="30">
        <f t="shared" si="0"/>
        <v>495.95233924746424</v>
      </c>
      <c r="F16" s="2"/>
      <c r="G16" s="2"/>
      <c r="H16" s="2"/>
      <c r="I16" s="2"/>
      <c r="J16" s="2"/>
      <c r="K16" s="2"/>
      <c r="L16" s="70">
        <f t="shared" si="6"/>
        <v>-61.625</v>
      </c>
      <c r="M16" s="70">
        <f t="shared" si="6"/>
        <v>-62.777777777777715</v>
      </c>
      <c r="N16" s="70">
        <f t="shared" si="6"/>
        <v>-57.952339247464238</v>
      </c>
      <c r="O16" s="2"/>
      <c r="P16" s="70">
        <f t="shared" si="7"/>
        <v>61.625</v>
      </c>
      <c r="Q16" s="70">
        <f t="shared" si="3"/>
        <v>62.777777777777715</v>
      </c>
      <c r="R16" s="70">
        <f t="shared" si="3"/>
        <v>57.952339247464238</v>
      </c>
      <c r="S16" s="2"/>
      <c r="T16" s="70">
        <f t="shared" si="8"/>
        <v>3797.640625</v>
      </c>
      <c r="U16" s="70">
        <f t="shared" si="4"/>
        <v>3941.0493827160412</v>
      </c>
      <c r="V16" s="70">
        <f t="shared" si="4"/>
        <v>3358.473624253184</v>
      </c>
      <c r="W16" s="2"/>
      <c r="X16" s="70">
        <f t="shared" si="9"/>
        <v>14.069634703196346</v>
      </c>
      <c r="Y16" s="70">
        <f t="shared" si="5"/>
        <v>14.332825976661578</v>
      </c>
      <c r="Z16" s="70">
        <f t="shared" si="5"/>
        <v>13.231127682069459</v>
      </c>
      <c r="AA16" s="2"/>
    </row>
    <row r="17" spans="1:27" x14ac:dyDescent="0.4">
      <c r="A17" s="47">
        <v>16</v>
      </c>
      <c r="B17" s="48">
        <v>419</v>
      </c>
      <c r="C17" s="10">
        <f t="shared" si="1"/>
        <v>501</v>
      </c>
      <c r="D17" s="10">
        <f t="shared" si="2"/>
        <v>487.08333333333326</v>
      </c>
      <c r="E17" s="30">
        <f t="shared" si="0"/>
        <v>475.03154477912966</v>
      </c>
      <c r="F17" s="2"/>
      <c r="G17" s="2"/>
      <c r="H17" s="2"/>
      <c r="I17" s="2"/>
      <c r="J17" s="2"/>
      <c r="K17" s="2"/>
      <c r="L17" s="70">
        <f t="shared" si="6"/>
        <v>-82</v>
      </c>
      <c r="M17" s="70">
        <f t="shared" si="6"/>
        <v>-68.083333333333258</v>
      </c>
      <c r="N17" s="70">
        <f t="shared" si="6"/>
        <v>-56.031544779129661</v>
      </c>
      <c r="O17" s="2"/>
      <c r="P17" s="70">
        <f t="shared" si="7"/>
        <v>82</v>
      </c>
      <c r="Q17" s="70">
        <f t="shared" si="3"/>
        <v>68.083333333333258</v>
      </c>
      <c r="R17" s="70">
        <f t="shared" si="3"/>
        <v>56.031544779129661</v>
      </c>
      <c r="S17" s="2"/>
      <c r="T17" s="70">
        <f t="shared" si="8"/>
        <v>6724</v>
      </c>
      <c r="U17" s="70">
        <f t="shared" si="4"/>
        <v>4635.3402777777674</v>
      </c>
      <c r="V17" s="70">
        <f t="shared" si="4"/>
        <v>3139.5340103356125</v>
      </c>
      <c r="W17" s="2"/>
      <c r="X17" s="70">
        <f t="shared" si="9"/>
        <v>19.570405727923628</v>
      </c>
      <c r="Y17" s="70">
        <f t="shared" si="5"/>
        <v>16.249005568814621</v>
      </c>
      <c r="Z17" s="70">
        <f t="shared" si="5"/>
        <v>13.37268371816937</v>
      </c>
      <c r="AA17" s="2"/>
    </row>
    <row r="18" spans="1:27" x14ac:dyDescent="0.4">
      <c r="A18" s="47">
        <v>17</v>
      </c>
      <c r="B18" s="48">
        <v>747</v>
      </c>
      <c r="C18" s="10">
        <f t="shared" si="1"/>
        <v>493.125</v>
      </c>
      <c r="D18" s="10">
        <f t="shared" si="2"/>
        <v>468.86111111111109</v>
      </c>
      <c r="E18" s="30">
        <f t="shared" si="0"/>
        <v>454.80415711386388</v>
      </c>
      <c r="I18" s="2"/>
      <c r="L18" s="70">
        <f t="shared" si="6"/>
        <v>253.875</v>
      </c>
      <c r="M18" s="70">
        <f t="shared" si="6"/>
        <v>278.13888888888891</v>
      </c>
      <c r="N18" s="70">
        <f t="shared" si="6"/>
        <v>292.19584288613612</v>
      </c>
      <c r="O18" s="2"/>
      <c r="P18" s="70">
        <f t="shared" si="7"/>
        <v>253.875</v>
      </c>
      <c r="Q18" s="70">
        <f t="shared" si="3"/>
        <v>278.13888888888891</v>
      </c>
      <c r="R18" s="70">
        <f t="shared" si="3"/>
        <v>292.19584288613612</v>
      </c>
      <c r="S18" s="2"/>
      <c r="T18" s="70">
        <f t="shared" si="8"/>
        <v>64452.515625</v>
      </c>
      <c r="U18" s="70">
        <f t="shared" si="4"/>
        <v>77361.241512345689</v>
      </c>
      <c r="V18" s="70">
        <f t="shared" si="4"/>
        <v>85378.41059993954</v>
      </c>
      <c r="X18" s="70">
        <f t="shared" si="9"/>
        <v>33.985943775100402</v>
      </c>
      <c r="Y18" s="70">
        <f t="shared" si="5"/>
        <v>37.234121671872678</v>
      </c>
      <c r="Z18" s="70">
        <f t="shared" si="5"/>
        <v>39.115909355573777</v>
      </c>
    </row>
    <row r="19" spans="1:27" x14ac:dyDescent="0.4">
      <c r="A19" s="47">
        <v>18</v>
      </c>
      <c r="B19" s="48">
        <v>566</v>
      </c>
      <c r="C19" s="10">
        <f t="shared" si="1"/>
        <v>517.25</v>
      </c>
      <c r="D19" s="10">
        <f t="shared" si="2"/>
        <v>525.27777777777783</v>
      </c>
      <c r="E19" s="30">
        <f t="shared" si="0"/>
        <v>560.28685639575906</v>
      </c>
      <c r="I19" s="2"/>
      <c r="J19" s="5"/>
      <c r="L19" s="70">
        <f t="shared" si="6"/>
        <v>48.75</v>
      </c>
      <c r="M19" s="70">
        <f t="shared" si="6"/>
        <v>40.722222222222172</v>
      </c>
      <c r="N19" s="70">
        <f t="shared" si="6"/>
        <v>5.7131436042409405</v>
      </c>
      <c r="O19" s="2"/>
      <c r="P19" s="70">
        <f t="shared" si="7"/>
        <v>48.75</v>
      </c>
      <c r="Q19" s="70">
        <f t="shared" si="3"/>
        <v>40.722222222222172</v>
      </c>
      <c r="R19" s="70">
        <f t="shared" si="3"/>
        <v>5.7131436042409405</v>
      </c>
      <c r="S19" s="2"/>
      <c r="T19" s="70">
        <f t="shared" si="8"/>
        <v>2376.5625</v>
      </c>
      <c r="U19" s="70">
        <f t="shared" si="4"/>
        <v>1658.2993827160453</v>
      </c>
      <c r="V19" s="70">
        <f t="shared" si="4"/>
        <v>32.640009842679163</v>
      </c>
      <c r="X19" s="70">
        <f t="shared" si="9"/>
        <v>8.6130742049469973</v>
      </c>
      <c r="Y19" s="70">
        <f t="shared" si="5"/>
        <v>7.1947389085198186</v>
      </c>
      <c r="Z19" s="70">
        <f t="shared" si="5"/>
        <v>1.0093893293711909</v>
      </c>
    </row>
    <row r="20" spans="1:27" x14ac:dyDescent="0.4">
      <c r="A20" s="47">
        <v>19</v>
      </c>
      <c r="B20" s="48">
        <v>801</v>
      </c>
      <c r="C20" s="10">
        <f t="shared" si="1"/>
        <v>501.875</v>
      </c>
      <c r="D20" s="10">
        <f t="shared" si="2"/>
        <v>536.11111111111109</v>
      </c>
      <c r="E20" s="30">
        <f t="shared" si="0"/>
        <v>562.34930123689003</v>
      </c>
      <c r="I20" s="2"/>
      <c r="J20" s="6"/>
      <c r="L20" s="70">
        <f t="shared" si="6"/>
        <v>299.125</v>
      </c>
      <c r="M20" s="70">
        <f t="shared" si="6"/>
        <v>264.88888888888891</v>
      </c>
      <c r="N20" s="70">
        <f t="shared" si="6"/>
        <v>238.65069876310997</v>
      </c>
      <c r="O20" s="2"/>
      <c r="P20" s="70">
        <f t="shared" si="7"/>
        <v>299.125</v>
      </c>
      <c r="Q20" s="70">
        <f t="shared" si="3"/>
        <v>264.88888888888891</v>
      </c>
      <c r="R20" s="70">
        <f t="shared" si="3"/>
        <v>238.65069876310997</v>
      </c>
      <c r="S20" s="2"/>
      <c r="T20" s="70">
        <f t="shared" si="8"/>
        <v>89475.765625</v>
      </c>
      <c r="U20" s="70">
        <f t="shared" si="4"/>
        <v>70166.123456790141</v>
      </c>
      <c r="V20" s="70">
        <f t="shared" si="4"/>
        <v>56954.156020120659</v>
      </c>
      <c r="X20" s="70">
        <f t="shared" si="9"/>
        <v>37.343945068664169</v>
      </c>
      <c r="Y20" s="70">
        <f t="shared" si="5"/>
        <v>33.069773893743935</v>
      </c>
      <c r="Z20" s="70">
        <f t="shared" si="5"/>
        <v>29.79409472698002</v>
      </c>
    </row>
    <row r="21" spans="1:27" x14ac:dyDescent="0.4">
      <c r="A21" s="47">
        <v>20</v>
      </c>
      <c r="B21" s="48">
        <v>589</v>
      </c>
      <c r="C21" s="10">
        <f t="shared" si="1"/>
        <v>553.25</v>
      </c>
      <c r="D21" s="10">
        <f t="shared" si="2"/>
        <v>602.58333333333326</v>
      </c>
      <c r="E21" s="30">
        <f t="shared" si="0"/>
        <v>648.50220349037272</v>
      </c>
      <c r="L21" s="70">
        <f t="shared" si="6"/>
        <v>35.75</v>
      </c>
      <c r="M21" s="70">
        <f t="shared" si="6"/>
        <v>-13.583333333333258</v>
      </c>
      <c r="N21" s="70">
        <f t="shared" si="6"/>
        <v>-59.502203490372722</v>
      </c>
      <c r="O21" s="2"/>
      <c r="P21" s="70">
        <f t="shared" si="7"/>
        <v>35.75</v>
      </c>
      <c r="Q21" s="70">
        <f t="shared" si="3"/>
        <v>13.583333333333258</v>
      </c>
      <c r="R21" s="70">
        <f t="shared" si="3"/>
        <v>59.502203490372722</v>
      </c>
      <c r="S21" s="2"/>
      <c r="T21" s="70">
        <f t="shared" si="8"/>
        <v>1278.0625</v>
      </c>
      <c r="U21" s="70">
        <f t="shared" si="4"/>
        <v>184.50694444444238</v>
      </c>
      <c r="V21" s="70">
        <f t="shared" si="4"/>
        <v>3540.5122202097236</v>
      </c>
      <c r="X21" s="70">
        <f t="shared" si="9"/>
        <v>6.0696095076400676</v>
      </c>
      <c r="Y21" s="70">
        <f t="shared" si="5"/>
        <v>2.3061686474250012</v>
      </c>
      <c r="Z21" s="70">
        <f t="shared" si="5"/>
        <v>10.102241679180429</v>
      </c>
    </row>
    <row r="22" spans="1:27" x14ac:dyDescent="0.4">
      <c r="A22" s="47">
        <v>21</v>
      </c>
      <c r="B22" s="48">
        <v>786</v>
      </c>
      <c r="C22" s="10">
        <f t="shared" si="1"/>
        <v>563.875</v>
      </c>
      <c r="D22" s="10">
        <f t="shared" si="2"/>
        <v>610.52777777777771</v>
      </c>
      <c r="E22" s="30">
        <f t="shared" si="0"/>
        <v>627.02190803034819</v>
      </c>
      <c r="L22" s="70">
        <f t="shared" si="6"/>
        <v>222.125</v>
      </c>
      <c r="M22" s="70">
        <f t="shared" si="6"/>
        <v>175.47222222222229</v>
      </c>
      <c r="N22" s="70">
        <f t="shared" si="6"/>
        <v>158.97809196965181</v>
      </c>
      <c r="O22" s="2"/>
      <c r="P22" s="70">
        <f t="shared" si="7"/>
        <v>222.125</v>
      </c>
      <c r="Q22" s="70">
        <f t="shared" si="3"/>
        <v>175.47222222222229</v>
      </c>
      <c r="R22" s="70">
        <f t="shared" si="3"/>
        <v>158.97809196965181</v>
      </c>
      <c r="S22" s="2"/>
      <c r="T22" s="70">
        <f t="shared" si="8"/>
        <v>49339.515625</v>
      </c>
      <c r="U22" s="70">
        <f t="shared" si="4"/>
        <v>30790.500771604962</v>
      </c>
      <c r="V22" s="70">
        <f t="shared" si="4"/>
        <v>25274.03372631107</v>
      </c>
      <c r="X22" s="70">
        <f t="shared" si="9"/>
        <v>28.260178117048344</v>
      </c>
      <c r="Y22" s="70">
        <f t="shared" si="5"/>
        <v>22.324710206389604</v>
      </c>
      <c r="Z22" s="70">
        <f t="shared" si="5"/>
        <v>20.226220352373005</v>
      </c>
    </row>
    <row r="23" spans="1:27" x14ac:dyDescent="0.4">
      <c r="A23" s="47">
        <v>22</v>
      </c>
      <c r="B23" s="48">
        <v>538</v>
      </c>
      <c r="C23" s="10">
        <f t="shared" si="1"/>
        <v>616.75</v>
      </c>
      <c r="D23" s="10">
        <f t="shared" si="2"/>
        <v>659.88888888888891</v>
      </c>
      <c r="E23" s="30">
        <f t="shared" si="0"/>
        <v>684.4129992313924</v>
      </c>
      <c r="L23" s="70">
        <f t="shared" si="6"/>
        <v>-78.75</v>
      </c>
      <c r="M23" s="70">
        <f t="shared" si="6"/>
        <v>-121.88888888888891</v>
      </c>
      <c r="N23" s="70">
        <f t="shared" si="6"/>
        <v>-146.4129992313924</v>
      </c>
      <c r="O23" s="2"/>
      <c r="P23" s="70">
        <f t="shared" si="7"/>
        <v>78.75</v>
      </c>
      <c r="Q23" s="70">
        <f t="shared" si="3"/>
        <v>121.88888888888891</v>
      </c>
      <c r="R23" s="70">
        <f t="shared" si="3"/>
        <v>146.4129992313924</v>
      </c>
      <c r="S23" s="2"/>
      <c r="T23" s="70">
        <f t="shared" si="8"/>
        <v>6201.5625</v>
      </c>
      <c r="U23" s="70">
        <f t="shared" si="4"/>
        <v>14856.901234567908</v>
      </c>
      <c r="V23" s="70">
        <f t="shared" si="4"/>
        <v>21436.766343931711</v>
      </c>
      <c r="X23" s="70">
        <f t="shared" si="9"/>
        <v>14.637546468401489</v>
      </c>
      <c r="Y23" s="70">
        <f t="shared" si="5"/>
        <v>22.655927302767456</v>
      </c>
      <c r="Z23" s="70">
        <f t="shared" si="5"/>
        <v>27.214312124794127</v>
      </c>
    </row>
    <row r="24" spans="1:27" x14ac:dyDescent="0.4">
      <c r="A24" s="47">
        <v>23</v>
      </c>
      <c r="B24" s="48">
        <v>621</v>
      </c>
      <c r="C24" s="10">
        <f t="shared" si="1"/>
        <v>610.5</v>
      </c>
      <c r="D24" s="10">
        <f t="shared" si="2"/>
        <v>642.38888888888891</v>
      </c>
      <c r="E24" s="30">
        <f t="shared" si="0"/>
        <v>631.55790650885979</v>
      </c>
      <c r="L24" s="70">
        <f t="shared" si="6"/>
        <v>10.5</v>
      </c>
      <c r="M24" s="70">
        <f t="shared" si="6"/>
        <v>-21.388888888888914</v>
      </c>
      <c r="N24" s="70">
        <f t="shared" si="6"/>
        <v>-10.557906508859787</v>
      </c>
      <c r="O24" s="2"/>
      <c r="P24" s="70">
        <f t="shared" si="7"/>
        <v>10.5</v>
      </c>
      <c r="Q24" s="70">
        <f t="shared" si="3"/>
        <v>21.388888888888914</v>
      </c>
      <c r="R24" s="70">
        <f t="shared" si="3"/>
        <v>10.557906508859787</v>
      </c>
      <c r="S24" s="2"/>
      <c r="T24" s="70">
        <f t="shared" si="8"/>
        <v>110.25</v>
      </c>
      <c r="U24" s="70">
        <f t="shared" si="4"/>
        <v>457.48456790123566</v>
      </c>
      <c r="V24" s="70">
        <f t="shared" si="4"/>
        <v>111.46938984982386</v>
      </c>
      <c r="X24" s="70">
        <f t="shared" si="9"/>
        <v>1.6908212560386473</v>
      </c>
      <c r="Y24" s="70">
        <f t="shared" si="5"/>
        <v>3.4442655215602116</v>
      </c>
      <c r="Z24" s="70">
        <f t="shared" si="5"/>
        <v>1.7001459756618016</v>
      </c>
    </row>
    <row r="25" spans="1:27" x14ac:dyDescent="0.4">
      <c r="A25" s="47">
        <v>24</v>
      </c>
      <c r="B25" s="48">
        <v>823</v>
      </c>
      <c r="C25" s="10">
        <f t="shared" si="1"/>
        <v>633.375</v>
      </c>
      <c r="D25" s="10">
        <f t="shared" si="2"/>
        <v>644.72222222222217</v>
      </c>
      <c r="E25" s="30">
        <f t="shared" si="0"/>
        <v>627.74650225916139</v>
      </c>
      <c r="L25" s="70">
        <f t="shared" si="6"/>
        <v>189.625</v>
      </c>
      <c r="M25" s="70">
        <f t="shared" si="6"/>
        <v>178.27777777777783</v>
      </c>
      <c r="N25" s="70">
        <f t="shared" si="6"/>
        <v>195.25349774083861</v>
      </c>
      <c r="O25" s="2"/>
      <c r="P25" s="70">
        <f t="shared" si="7"/>
        <v>189.625</v>
      </c>
      <c r="Q25" s="70">
        <f t="shared" si="3"/>
        <v>178.27777777777783</v>
      </c>
      <c r="R25" s="70">
        <f t="shared" si="3"/>
        <v>195.25349774083861</v>
      </c>
      <c r="S25" s="2"/>
      <c r="T25" s="70">
        <f t="shared" si="8"/>
        <v>35957.640625</v>
      </c>
      <c r="U25" s="70">
        <f t="shared" si="4"/>
        <v>31782.966049382732</v>
      </c>
      <c r="V25" s="70">
        <f t="shared" si="4"/>
        <v>38123.92838003167</v>
      </c>
      <c r="X25" s="70">
        <f t="shared" si="9"/>
        <v>23.040704738760631</v>
      </c>
      <c r="Y25" s="70">
        <f t="shared" si="5"/>
        <v>21.66194140677738</v>
      </c>
      <c r="Z25" s="70">
        <f t="shared" si="5"/>
        <v>23.724604828777473</v>
      </c>
    </row>
    <row r="26" spans="1:27" x14ac:dyDescent="0.4">
      <c r="A26" s="47">
        <v>25</v>
      </c>
      <c r="B26" s="48">
        <v>1001</v>
      </c>
      <c r="C26" s="10">
        <f t="shared" si="1"/>
        <v>683.875</v>
      </c>
      <c r="D26" s="10">
        <f t="shared" si="2"/>
        <v>686.86111111111109</v>
      </c>
      <c r="E26" s="30">
        <f t="shared" si="0"/>
        <v>698.23301494360408</v>
      </c>
      <c r="L26" s="70">
        <f t="shared" si="6"/>
        <v>317.125</v>
      </c>
      <c r="M26" s="70">
        <f t="shared" si="6"/>
        <v>314.13888888888891</v>
      </c>
      <c r="N26" s="70">
        <f t="shared" si="6"/>
        <v>302.76698505639592</v>
      </c>
      <c r="O26" s="2"/>
      <c r="P26" s="70">
        <f t="shared" si="7"/>
        <v>317.125</v>
      </c>
      <c r="Q26" s="70">
        <f t="shared" si="3"/>
        <v>314.13888888888891</v>
      </c>
      <c r="R26" s="70">
        <f t="shared" si="3"/>
        <v>302.76698505639592</v>
      </c>
      <c r="S26" s="2"/>
      <c r="T26" s="70">
        <f t="shared" si="8"/>
        <v>100568.265625</v>
      </c>
      <c r="U26" s="70">
        <f t="shared" si="4"/>
        <v>98683.241512345689</v>
      </c>
      <c r="V26" s="70">
        <f t="shared" si="4"/>
        <v>91667.847240139876</v>
      </c>
      <c r="X26" s="70">
        <f t="shared" si="9"/>
        <v>31.680819180819181</v>
      </c>
      <c r="Y26" s="70">
        <f t="shared" si="5"/>
        <v>31.382506382506385</v>
      </c>
      <c r="Z26" s="70">
        <f t="shared" si="5"/>
        <v>30.246452053586005</v>
      </c>
    </row>
    <row r="27" spans="1:27" x14ac:dyDescent="0.4">
      <c r="A27" s="47">
        <v>26</v>
      </c>
      <c r="B27" s="48">
        <v>819</v>
      </c>
      <c r="C27" s="10">
        <f t="shared" si="1"/>
        <v>715.625</v>
      </c>
      <c r="D27" s="10">
        <f t="shared" si="2"/>
        <v>757.33333333333337</v>
      </c>
      <c r="E27" s="30">
        <f t="shared" si="0"/>
        <v>807.531896548963</v>
      </c>
      <c r="L27" s="70">
        <f t="shared" si="6"/>
        <v>103.375</v>
      </c>
      <c r="M27" s="70">
        <f t="shared" si="6"/>
        <v>61.666666666666629</v>
      </c>
      <c r="N27" s="70">
        <f t="shared" si="6"/>
        <v>11.468103451036995</v>
      </c>
      <c r="O27" s="2"/>
      <c r="P27" s="70">
        <f t="shared" si="7"/>
        <v>103.375</v>
      </c>
      <c r="Q27" s="70">
        <f t="shared" si="3"/>
        <v>61.666666666666629</v>
      </c>
      <c r="R27" s="70">
        <f t="shared" si="3"/>
        <v>11.468103451036995</v>
      </c>
      <c r="S27" s="2"/>
      <c r="T27" s="70">
        <f t="shared" si="8"/>
        <v>10686.390625</v>
      </c>
      <c r="U27" s="70">
        <f t="shared" si="4"/>
        <v>3802.7777777777733</v>
      </c>
      <c r="V27" s="70">
        <f t="shared" si="4"/>
        <v>131.51739676368663</v>
      </c>
      <c r="X27" s="70">
        <f t="shared" si="9"/>
        <v>12.622100122100122</v>
      </c>
      <c r="Y27" s="70">
        <f t="shared" si="5"/>
        <v>7.5295075295075247</v>
      </c>
      <c r="Z27" s="70">
        <f t="shared" si="5"/>
        <v>1.4002568316284487</v>
      </c>
    </row>
    <row r="28" spans="1:27" x14ac:dyDescent="0.4">
      <c r="A28" s="47">
        <v>27</v>
      </c>
      <c r="B28" s="48">
        <v>690</v>
      </c>
      <c r="C28" s="10">
        <f t="shared" si="1"/>
        <v>747.25</v>
      </c>
      <c r="D28" s="10">
        <f t="shared" si="2"/>
        <v>780.30555555555554</v>
      </c>
      <c r="E28" s="30">
        <f t="shared" si="0"/>
        <v>811.67188189478736</v>
      </c>
      <c r="L28" s="70">
        <f t="shared" si="6"/>
        <v>-57.25</v>
      </c>
      <c r="M28" s="70">
        <f t="shared" si="6"/>
        <v>-90.305555555555543</v>
      </c>
      <c r="N28" s="70">
        <f t="shared" si="6"/>
        <v>-121.67188189478736</v>
      </c>
      <c r="O28" s="2"/>
      <c r="P28" s="70">
        <f t="shared" si="7"/>
        <v>57.25</v>
      </c>
      <c r="Q28" s="70">
        <f t="shared" si="3"/>
        <v>90.305555555555543</v>
      </c>
      <c r="R28" s="70">
        <f t="shared" si="3"/>
        <v>121.67188189478736</v>
      </c>
      <c r="S28" s="2"/>
      <c r="T28" s="70">
        <f t="shared" si="8"/>
        <v>3277.5625</v>
      </c>
      <c r="U28" s="70">
        <f t="shared" si="4"/>
        <v>8155.0933641975289</v>
      </c>
      <c r="V28" s="70">
        <f t="shared" si="4"/>
        <v>14804.046843819084</v>
      </c>
      <c r="X28" s="70">
        <f t="shared" si="9"/>
        <v>8.2971014492753632</v>
      </c>
      <c r="Y28" s="70">
        <f t="shared" si="5"/>
        <v>13.087761674718196</v>
      </c>
      <c r="Z28" s="70">
        <f t="shared" si="5"/>
        <v>17.633606071708314</v>
      </c>
    </row>
    <row r="29" spans="1:27" x14ac:dyDescent="0.4">
      <c r="A29" s="47">
        <v>28</v>
      </c>
      <c r="B29" s="48">
        <v>872</v>
      </c>
      <c r="C29" s="10">
        <f t="shared" si="1"/>
        <v>733.375</v>
      </c>
      <c r="D29" s="10">
        <f t="shared" si="2"/>
        <v>767.58333333333326</v>
      </c>
      <c r="E29" s="30">
        <f t="shared" si="0"/>
        <v>767.74833253076918</v>
      </c>
      <c r="L29" s="70">
        <f t="shared" si="6"/>
        <v>138.625</v>
      </c>
      <c r="M29" s="70">
        <f t="shared" si="6"/>
        <v>104.41666666666674</v>
      </c>
      <c r="N29" s="70">
        <f t="shared" si="6"/>
        <v>104.25166746923082</v>
      </c>
      <c r="O29" s="2"/>
      <c r="P29" s="70">
        <f t="shared" si="7"/>
        <v>138.625</v>
      </c>
      <c r="Q29" s="70">
        <f t="shared" si="3"/>
        <v>104.41666666666674</v>
      </c>
      <c r="R29" s="70">
        <f t="shared" si="3"/>
        <v>104.25166746923082</v>
      </c>
      <c r="S29" s="2"/>
      <c r="T29" s="70">
        <f t="shared" si="8"/>
        <v>19216.890625</v>
      </c>
      <c r="U29" s="70">
        <f t="shared" si="4"/>
        <v>10902.840277777794</v>
      </c>
      <c r="V29" s="70">
        <f t="shared" si="4"/>
        <v>10868.410170115081</v>
      </c>
      <c r="X29" s="70">
        <f t="shared" si="9"/>
        <v>15.897362385321101</v>
      </c>
      <c r="Y29" s="70">
        <f t="shared" si="5"/>
        <v>11.974388379204902</v>
      </c>
      <c r="Z29" s="70">
        <f t="shared" si="5"/>
        <v>11.955466452893443</v>
      </c>
    </row>
    <row r="30" spans="1:27" x14ac:dyDescent="0.4">
      <c r="A30" s="47">
        <v>29</v>
      </c>
      <c r="B30" s="48">
        <v>825</v>
      </c>
      <c r="C30" s="10">
        <f t="shared" si="1"/>
        <v>768.75</v>
      </c>
      <c r="D30" s="10">
        <f t="shared" si="2"/>
        <v>798.38888888888891</v>
      </c>
      <c r="E30" s="30">
        <f t="shared" si="0"/>
        <v>805.38318448716154</v>
      </c>
      <c r="L30" s="70">
        <f t="shared" si="6"/>
        <v>56.25</v>
      </c>
      <c r="M30" s="70">
        <f t="shared" si="6"/>
        <v>26.611111111111086</v>
      </c>
      <c r="N30" s="70">
        <f t="shared" si="6"/>
        <v>19.616815512838457</v>
      </c>
      <c r="O30" s="2"/>
      <c r="P30" s="70">
        <f t="shared" si="7"/>
        <v>56.25</v>
      </c>
      <c r="Q30" s="70">
        <f t="shared" si="7"/>
        <v>26.611111111111086</v>
      </c>
      <c r="R30" s="70">
        <f t="shared" si="7"/>
        <v>19.616815512838457</v>
      </c>
      <c r="S30" s="2"/>
      <c r="T30" s="70">
        <f t="shared" si="8"/>
        <v>3164.0625</v>
      </c>
      <c r="U30" s="70">
        <f t="shared" si="8"/>
        <v>708.15123456789991</v>
      </c>
      <c r="V30" s="70">
        <f t="shared" si="8"/>
        <v>384.81945086473951</v>
      </c>
      <c r="X30" s="70">
        <f t="shared" si="9"/>
        <v>6.8181818181818175</v>
      </c>
      <c r="Y30" s="70">
        <f t="shared" si="9"/>
        <v>3.2255892255892227</v>
      </c>
      <c r="Z30" s="70">
        <f t="shared" si="9"/>
        <v>2.3777958197379947</v>
      </c>
    </row>
    <row r="31" spans="1:27" x14ac:dyDescent="0.4">
      <c r="A31" s="47">
        <v>30</v>
      </c>
      <c r="B31" s="48">
        <v>644</v>
      </c>
      <c r="C31" s="10">
        <f t="shared" si="1"/>
        <v>773.625</v>
      </c>
      <c r="D31" s="10">
        <f t="shared" si="2"/>
        <v>810.88888888888891</v>
      </c>
      <c r="E31" s="30">
        <f t="shared" si="0"/>
        <v>812.46485488729627</v>
      </c>
      <c r="L31" s="70">
        <f t="shared" si="6"/>
        <v>-129.625</v>
      </c>
      <c r="M31" s="70">
        <f t="shared" si="6"/>
        <v>-166.88888888888891</v>
      </c>
      <c r="N31" s="70">
        <f t="shared" si="6"/>
        <v>-168.46485488729627</v>
      </c>
      <c r="O31" s="2"/>
      <c r="P31" s="70">
        <f t="shared" si="7"/>
        <v>129.625</v>
      </c>
      <c r="Q31" s="70">
        <f t="shared" si="7"/>
        <v>166.88888888888891</v>
      </c>
      <c r="R31" s="70">
        <f t="shared" si="7"/>
        <v>168.46485488729627</v>
      </c>
      <c r="S31" s="2"/>
      <c r="T31" s="70">
        <f t="shared" si="8"/>
        <v>16802.640625</v>
      </c>
      <c r="U31" s="70">
        <f t="shared" si="8"/>
        <v>27851.901234567911</v>
      </c>
      <c r="V31" s="70">
        <f t="shared" si="8"/>
        <v>28380.407332197788</v>
      </c>
      <c r="X31" s="70">
        <f t="shared" si="9"/>
        <v>20.128105590062113</v>
      </c>
      <c r="Y31" s="70">
        <f t="shared" si="9"/>
        <v>25.914423740510699</v>
      </c>
      <c r="Z31" s="70">
        <f t="shared" si="9"/>
        <v>26.159138957654697</v>
      </c>
    </row>
    <row r="32" spans="1:27" x14ac:dyDescent="0.4">
      <c r="A32" s="47">
        <v>31</v>
      </c>
      <c r="B32" s="48">
        <v>867</v>
      </c>
      <c r="C32" s="10">
        <f t="shared" si="1"/>
        <v>786.875</v>
      </c>
      <c r="D32" s="10">
        <f t="shared" si="2"/>
        <v>782.08333333333326</v>
      </c>
      <c r="E32" s="30">
        <f t="shared" si="0"/>
        <v>751.64904227298234</v>
      </c>
      <c r="L32" s="70">
        <f t="shared" si="6"/>
        <v>80.125</v>
      </c>
      <c r="M32" s="70">
        <f t="shared" si="6"/>
        <v>84.916666666666742</v>
      </c>
      <c r="N32" s="70">
        <f t="shared" si="6"/>
        <v>115.35095772701766</v>
      </c>
      <c r="O32" s="2"/>
      <c r="P32" s="70">
        <f t="shared" si="7"/>
        <v>80.125</v>
      </c>
      <c r="Q32" s="70">
        <f t="shared" si="7"/>
        <v>84.916666666666742</v>
      </c>
      <c r="R32" s="70">
        <f t="shared" si="7"/>
        <v>115.35095772701766</v>
      </c>
      <c r="S32" s="2"/>
      <c r="T32" s="70">
        <f t="shared" si="8"/>
        <v>6420.015625</v>
      </c>
      <c r="U32" s="70">
        <f t="shared" si="8"/>
        <v>7210.840277777791</v>
      </c>
      <c r="V32" s="70">
        <f t="shared" si="8"/>
        <v>13305.843448540214</v>
      </c>
      <c r="X32" s="70">
        <f t="shared" si="9"/>
        <v>9.2416378316032297</v>
      </c>
      <c r="Y32" s="70">
        <f t="shared" si="9"/>
        <v>9.7943098808150797</v>
      </c>
      <c r="Z32" s="70">
        <f t="shared" si="9"/>
        <v>13.304608734373433</v>
      </c>
    </row>
    <row r="33" spans="1:26" x14ac:dyDescent="0.4">
      <c r="A33" s="47">
        <v>32</v>
      </c>
      <c r="B33" s="48">
        <v>803</v>
      </c>
      <c r="C33" s="10">
        <f t="shared" si="1"/>
        <v>817.625</v>
      </c>
      <c r="D33" s="10">
        <f t="shared" si="2"/>
        <v>799.8888888888888</v>
      </c>
      <c r="E33" s="30">
        <f t="shared" si="0"/>
        <v>793.29073801243567</v>
      </c>
      <c r="L33" s="70">
        <f t="shared" si="6"/>
        <v>-14.625</v>
      </c>
      <c r="M33" s="70">
        <f t="shared" si="6"/>
        <v>3.1111111111111995</v>
      </c>
      <c r="N33" s="70">
        <f t="shared" si="6"/>
        <v>9.7092619875643322</v>
      </c>
      <c r="O33" s="2"/>
      <c r="P33" s="70">
        <f t="shared" si="7"/>
        <v>14.625</v>
      </c>
      <c r="Q33" s="70">
        <f t="shared" si="7"/>
        <v>3.1111111111111995</v>
      </c>
      <c r="R33" s="70">
        <f t="shared" si="7"/>
        <v>9.7092619875643322</v>
      </c>
      <c r="S33" s="2"/>
      <c r="T33" s="70">
        <f t="shared" si="8"/>
        <v>213.890625</v>
      </c>
      <c r="U33" s="70">
        <f t="shared" si="8"/>
        <v>9.6790123456795634</v>
      </c>
      <c r="V33" s="70">
        <f t="shared" si="8"/>
        <v>94.269768343161687</v>
      </c>
      <c r="X33" s="70">
        <f t="shared" si="9"/>
        <v>1.8212951432129514</v>
      </c>
      <c r="Y33" s="70">
        <f t="shared" si="9"/>
        <v>0.38743600387437105</v>
      </c>
      <c r="Z33" s="70">
        <f t="shared" si="9"/>
        <v>1.2091235351885843</v>
      </c>
    </row>
    <row r="34" spans="1:26" x14ac:dyDescent="0.4">
      <c r="A34" s="47">
        <v>33</v>
      </c>
      <c r="B34" s="48">
        <v>776</v>
      </c>
      <c r="C34" s="10">
        <f t="shared" si="1"/>
        <v>815.125</v>
      </c>
      <c r="D34" s="10">
        <f t="shared" si="2"/>
        <v>796.63888888888891</v>
      </c>
      <c r="E34" s="30">
        <f t="shared" si="0"/>
        <v>796.79578158994639</v>
      </c>
      <c r="L34" s="70">
        <f t="shared" si="6"/>
        <v>-39.125</v>
      </c>
      <c r="M34" s="70">
        <f t="shared" si="6"/>
        <v>-20.638888888888914</v>
      </c>
      <c r="N34" s="70">
        <f t="shared" si="6"/>
        <v>-20.795781589946387</v>
      </c>
      <c r="O34" s="2"/>
      <c r="P34" s="70">
        <f t="shared" si="7"/>
        <v>39.125</v>
      </c>
      <c r="Q34" s="70">
        <f t="shared" si="7"/>
        <v>20.638888888888914</v>
      </c>
      <c r="R34" s="70">
        <f t="shared" si="7"/>
        <v>20.795781589946387</v>
      </c>
      <c r="S34" s="2"/>
      <c r="T34" s="70">
        <f t="shared" si="8"/>
        <v>1530.765625</v>
      </c>
      <c r="U34" s="70">
        <f t="shared" si="8"/>
        <v>425.96373456790229</v>
      </c>
      <c r="V34" s="70">
        <f t="shared" si="8"/>
        <v>432.46453193675308</v>
      </c>
      <c r="X34" s="70">
        <f t="shared" si="9"/>
        <v>5.0418814432989691</v>
      </c>
      <c r="Y34" s="70">
        <f t="shared" si="9"/>
        <v>2.6596506300114582</v>
      </c>
      <c r="Z34" s="70">
        <f t="shared" si="9"/>
        <v>2.6798687615910293</v>
      </c>
    </row>
    <row r="35" spans="1:26" x14ac:dyDescent="0.4">
      <c r="A35" s="47">
        <v>34</v>
      </c>
      <c r="B35" s="48">
        <v>826</v>
      </c>
      <c r="C35" s="10">
        <f t="shared" si="1"/>
        <v>787</v>
      </c>
      <c r="D35" s="10">
        <f t="shared" si="2"/>
        <v>787.94444444444446</v>
      </c>
      <c r="E35" s="30">
        <f t="shared" si="0"/>
        <v>789.28850443597571</v>
      </c>
      <c r="L35" s="70">
        <f t="shared" si="6"/>
        <v>39</v>
      </c>
      <c r="M35" s="70">
        <f t="shared" si="6"/>
        <v>38.055555555555543</v>
      </c>
      <c r="N35" s="70">
        <f t="shared" si="6"/>
        <v>36.71149556402429</v>
      </c>
      <c r="O35" s="2"/>
      <c r="P35" s="70">
        <f t="shared" si="7"/>
        <v>39</v>
      </c>
      <c r="Q35" s="70">
        <f t="shared" si="7"/>
        <v>38.055555555555543</v>
      </c>
      <c r="R35" s="70">
        <f t="shared" si="7"/>
        <v>36.71149556402429</v>
      </c>
      <c r="S35" s="2"/>
      <c r="T35" s="70">
        <f t="shared" si="8"/>
        <v>1521</v>
      </c>
      <c r="U35" s="70">
        <f t="shared" si="8"/>
        <v>1448.2253086419744</v>
      </c>
      <c r="V35" s="70">
        <f t="shared" si="8"/>
        <v>1347.733906547375</v>
      </c>
      <c r="X35" s="70">
        <f t="shared" si="9"/>
        <v>4.7215496368038741</v>
      </c>
      <c r="Y35" s="70">
        <f t="shared" si="9"/>
        <v>4.6072101156846905</v>
      </c>
      <c r="Z35" s="70">
        <f t="shared" si="9"/>
        <v>4.4444909883806645</v>
      </c>
    </row>
    <row r="36" spans="1:26" x14ac:dyDescent="0.4">
      <c r="A36" s="47">
        <v>35</v>
      </c>
      <c r="B36" s="48">
        <v>748</v>
      </c>
      <c r="C36" s="10">
        <f t="shared" si="1"/>
        <v>787.875</v>
      </c>
      <c r="D36" s="10">
        <f t="shared" si="2"/>
        <v>796.61111111111109</v>
      </c>
      <c r="E36" s="30">
        <f t="shared" si="0"/>
        <v>802.5413543345885</v>
      </c>
      <c r="L36" s="70">
        <f t="shared" si="6"/>
        <v>-39.875</v>
      </c>
      <c r="M36" s="70">
        <f t="shared" si="6"/>
        <v>-48.611111111111086</v>
      </c>
      <c r="N36" s="70">
        <f t="shared" si="6"/>
        <v>-54.541354334588505</v>
      </c>
      <c r="O36" s="2"/>
      <c r="P36" s="70">
        <f t="shared" si="7"/>
        <v>39.875</v>
      </c>
      <c r="Q36" s="70">
        <f t="shared" si="7"/>
        <v>48.611111111111086</v>
      </c>
      <c r="R36" s="70">
        <f t="shared" si="7"/>
        <v>54.541354334588505</v>
      </c>
      <c r="S36" s="2"/>
      <c r="T36" s="70">
        <f t="shared" si="8"/>
        <v>1590.015625</v>
      </c>
      <c r="U36" s="70">
        <f>M36^2+AB36</f>
        <v>2363.0401234567876</v>
      </c>
      <c r="V36" s="70">
        <f t="shared" si="8"/>
        <v>2974.7593326511364</v>
      </c>
      <c r="X36" s="70">
        <f t="shared" si="9"/>
        <v>5.3308823529411766</v>
      </c>
      <c r="Y36" s="70">
        <f t="shared" si="9"/>
        <v>6.4988116458704654</v>
      </c>
      <c r="Z36" s="70">
        <f t="shared" si="9"/>
        <v>7.2916249110412448</v>
      </c>
    </row>
    <row r="37" spans="1:26" x14ac:dyDescent="0.4">
      <c r="A37" s="47">
        <v>36</v>
      </c>
      <c r="B37" s="48">
        <v>737</v>
      </c>
      <c r="C37" s="10">
        <f t="shared" si="1"/>
        <v>795.125</v>
      </c>
      <c r="D37" s="10">
        <f t="shared" si="2"/>
        <v>787.74999999999989</v>
      </c>
      <c r="E37" s="30">
        <f t="shared" si="0"/>
        <v>782.851925419802</v>
      </c>
      <c r="L37" s="70">
        <f>$B37-C37</f>
        <v>-58.125</v>
      </c>
      <c r="M37" s="70">
        <f t="shared" si="6"/>
        <v>-50.749999999999886</v>
      </c>
      <c r="N37" s="70">
        <f t="shared" si="6"/>
        <v>-45.851925419802001</v>
      </c>
      <c r="O37" s="2"/>
      <c r="P37" s="70">
        <f>ABS(L37)</f>
        <v>58.125</v>
      </c>
      <c r="Q37" s="70">
        <f t="shared" si="7"/>
        <v>50.749999999999886</v>
      </c>
      <c r="R37" s="70">
        <f t="shared" si="7"/>
        <v>45.851925419802001</v>
      </c>
      <c r="S37" s="2"/>
      <c r="T37" s="70">
        <f t="shared" si="8"/>
        <v>3378.515625</v>
      </c>
      <c r="U37" s="70">
        <f t="shared" si="8"/>
        <v>2575.5624999999886</v>
      </c>
      <c r="V37" s="70">
        <f t="shared" si="8"/>
        <v>2102.3990647030851</v>
      </c>
      <c r="X37" s="70">
        <f t="shared" si="9"/>
        <v>7.8867028493894171</v>
      </c>
      <c r="Y37" s="70">
        <f t="shared" si="9"/>
        <v>6.8860244233378403</v>
      </c>
      <c r="Z37" s="70">
        <f>R37/$B37*100</f>
        <v>6.2214281437994572</v>
      </c>
    </row>
    <row r="38" spans="1:26" x14ac:dyDescent="0.4">
      <c r="A38" s="47">
        <v>37</v>
      </c>
      <c r="B38" s="48">
        <v>792</v>
      </c>
      <c r="C38" s="10">
        <f t="shared" si="1"/>
        <v>778.25</v>
      </c>
      <c r="D38" s="10">
        <f t="shared" si="2"/>
        <v>774.83333333333326</v>
      </c>
      <c r="E38" s="30">
        <f t="shared" si="0"/>
        <v>766.29938034325346</v>
      </c>
      <c r="L38" s="70">
        <f t="shared" ref="L38:N40" si="10">$B38-C38</f>
        <v>13.75</v>
      </c>
      <c r="M38" s="70">
        <f t="shared" si="6"/>
        <v>17.166666666666742</v>
      </c>
      <c r="N38" s="70">
        <f t="shared" si="6"/>
        <v>25.700619656746539</v>
      </c>
      <c r="P38" s="70">
        <f t="shared" ref="P38:R40" si="11">ABS(L38)</f>
        <v>13.75</v>
      </c>
      <c r="Q38" s="70">
        <f t="shared" si="11"/>
        <v>17.166666666666742</v>
      </c>
      <c r="R38" s="70">
        <f t="shared" si="11"/>
        <v>25.700619656746539</v>
      </c>
      <c r="T38" s="70">
        <f t="shared" ref="T38:V40" si="12">L38^2</f>
        <v>189.0625</v>
      </c>
      <c r="U38" s="70">
        <f t="shared" si="12"/>
        <v>294.69444444444707</v>
      </c>
      <c r="V38" s="70">
        <f t="shared" si="12"/>
        <v>660.52185074074657</v>
      </c>
      <c r="X38" s="70">
        <f t="shared" ref="X38:Z40" si="13">P38/$B38*100</f>
        <v>1.7361111111111112</v>
      </c>
      <c r="Y38" s="70">
        <f t="shared" si="13"/>
        <v>2.1675084175084272</v>
      </c>
      <c r="Z38" s="70">
        <f t="shared" si="13"/>
        <v>3.2450277344376941</v>
      </c>
    </row>
    <row r="39" spans="1:26" x14ac:dyDescent="0.4">
      <c r="A39" s="47">
        <v>38</v>
      </c>
      <c r="B39" s="48">
        <v>1049</v>
      </c>
      <c r="C39" s="10">
        <f t="shared" si="1"/>
        <v>774.125</v>
      </c>
      <c r="D39" s="10">
        <f t="shared" si="2"/>
        <v>777.88888888888891</v>
      </c>
      <c r="E39" s="30">
        <f t="shared" si="0"/>
        <v>775.57730403933897</v>
      </c>
      <c r="L39" s="70">
        <f t="shared" si="10"/>
        <v>274.875</v>
      </c>
      <c r="M39" s="70">
        <f t="shared" si="10"/>
        <v>271.11111111111109</v>
      </c>
      <c r="N39" s="70">
        <f t="shared" si="10"/>
        <v>273.42269596066103</v>
      </c>
      <c r="P39" s="70">
        <f t="shared" si="11"/>
        <v>274.875</v>
      </c>
      <c r="Q39" s="70">
        <f t="shared" si="11"/>
        <v>271.11111111111109</v>
      </c>
      <c r="R39" s="70">
        <f t="shared" si="11"/>
        <v>273.42269596066103</v>
      </c>
      <c r="T39" s="70">
        <f t="shared" si="12"/>
        <v>75556.265625</v>
      </c>
      <c r="U39" s="70">
        <f t="shared" si="12"/>
        <v>73501.234567901221</v>
      </c>
      <c r="V39" s="70">
        <f t="shared" si="12"/>
        <v>74759.970666396082</v>
      </c>
      <c r="X39" s="70">
        <f t="shared" si="13"/>
        <v>26.203527168732126</v>
      </c>
      <c r="Y39" s="70">
        <f t="shared" si="13"/>
        <v>25.844719839000103</v>
      </c>
      <c r="Z39" s="70">
        <f t="shared" si="13"/>
        <v>26.065080644486276</v>
      </c>
    </row>
    <row r="40" spans="1:26" ht="15" thickBot="1" x14ac:dyDescent="0.45">
      <c r="A40" s="47">
        <v>39</v>
      </c>
      <c r="B40" s="48">
        <v>824</v>
      </c>
      <c r="C40" s="10">
        <f>AVERAGE(B32:B39)</f>
        <v>824.75</v>
      </c>
      <c r="D40" s="10">
        <f t="shared" si="2"/>
        <v>838.97222222222217</v>
      </c>
      <c r="E40" s="30">
        <f t="shared" si="0"/>
        <v>874.28289728113759</v>
      </c>
      <c r="L40" s="71">
        <f t="shared" si="10"/>
        <v>-0.75</v>
      </c>
      <c r="M40" s="71">
        <f t="shared" si="10"/>
        <v>-14.972222222222172</v>
      </c>
      <c r="N40" s="71">
        <f t="shared" si="10"/>
        <v>-50.282897281137593</v>
      </c>
      <c r="P40" s="71">
        <f t="shared" si="11"/>
        <v>0.75</v>
      </c>
      <c r="Q40" s="71">
        <f t="shared" si="11"/>
        <v>14.972222222222172</v>
      </c>
      <c r="R40" s="71">
        <f t="shared" si="11"/>
        <v>50.282897281137593</v>
      </c>
      <c r="T40" s="71">
        <f t="shared" si="12"/>
        <v>0.5625</v>
      </c>
      <c r="U40" s="71">
        <f t="shared" si="12"/>
        <v>224.16743827160343</v>
      </c>
      <c r="V40" s="71">
        <f t="shared" si="12"/>
        <v>2528.3697589854346</v>
      </c>
      <c r="X40" s="71">
        <f t="shared" si="13"/>
        <v>9.1019417475728157E-2</v>
      </c>
      <c r="Y40" s="71">
        <f t="shared" si="13"/>
        <v>1.8170172599784189</v>
      </c>
      <c r="Z40" s="71">
        <f t="shared" si="13"/>
        <v>6.102293359361358</v>
      </c>
    </row>
    <row r="41" spans="1:26" x14ac:dyDescent="0.4">
      <c r="A41" s="47">
        <v>40</v>
      </c>
      <c r="B41" s="48"/>
      <c r="C41" s="22">
        <f>_xll.StatMean(B33:B40)</f>
        <v>819.375</v>
      </c>
      <c r="D41" s="10">
        <f>SUMPRODUCT($H$2:$H$9, B33:B40)</f>
        <v>838.80555555555543</v>
      </c>
      <c r="E41" s="30">
        <f>$J$2*B40+(1-$J$2)*E40</f>
        <v>856.13077136264701</v>
      </c>
    </row>
    <row r="42" spans="1:26" x14ac:dyDescent="0.4">
      <c r="A42" s="47">
        <v>41</v>
      </c>
      <c r="B42" s="48"/>
      <c r="C42" s="22">
        <f>_xll.StatMean(B34:B40,C41)</f>
        <v>821.421875</v>
      </c>
      <c r="D42" s="23"/>
      <c r="E42" s="31"/>
    </row>
    <row r="43" spans="1:26" x14ac:dyDescent="0.4">
      <c r="A43" s="47">
        <v>42</v>
      </c>
      <c r="B43" s="48"/>
      <c r="C43" s="22">
        <f>_xll.StatMean(B35:B40,C41:C42)</f>
        <v>827.099609375</v>
      </c>
      <c r="D43" s="23"/>
      <c r="E43" s="31"/>
    </row>
    <row r="44" spans="1:26" x14ac:dyDescent="0.4">
      <c r="A44" s="49">
        <v>43</v>
      </c>
      <c r="B44" s="50"/>
      <c r="C44" s="32">
        <f>_xll.StatMean(B36:B40,C41:C43)</f>
        <v>827.237060546875</v>
      </c>
      <c r="D44" s="33"/>
      <c r="E44" s="34"/>
    </row>
    <row r="45" spans="1:26" x14ac:dyDescent="0.4">
      <c r="A45" s="35" t="s">
        <v>98</v>
      </c>
      <c r="B45" s="41">
        <f>SUM(B2:B40)</f>
        <v>24378</v>
      </c>
      <c r="C45" s="41">
        <f>SUM(C2:C44)</f>
        <v>22817.258544921875</v>
      </c>
      <c r="D45" s="41">
        <f>SUM(D2:D41)</f>
        <v>20929.722222222223</v>
      </c>
      <c r="E45" s="36">
        <f>SUM(E2:E41)</f>
        <v>23588.339160939806</v>
      </c>
    </row>
    <row r="46" spans="1:26" x14ac:dyDescent="0.4">
      <c r="A46" s="37" t="s">
        <v>99</v>
      </c>
      <c r="B46" s="42">
        <f>AVERAGE(B2:B40)</f>
        <v>625.07692307692309</v>
      </c>
      <c r="C46" s="44">
        <f>AVERAGE(C10:C44)</f>
        <v>651.92167271205358</v>
      </c>
      <c r="D46" s="44">
        <f>AVERAGE(D10:D41)</f>
        <v>654.05381944444446</v>
      </c>
      <c r="E46" s="38">
        <f>AVERAGE(E2:E41)</f>
        <v>589.7084790234951</v>
      </c>
    </row>
    <row r="47" spans="1:26" x14ac:dyDescent="0.4">
      <c r="A47" s="39" t="s">
        <v>100</v>
      </c>
      <c r="B47" s="43">
        <f>B46*52</f>
        <v>32504</v>
      </c>
      <c r="C47" s="43">
        <f>C46*52</f>
        <v>33899.926981026787</v>
      </c>
      <c r="D47" s="43">
        <f>D46*52</f>
        <v>34010.798611111109</v>
      </c>
      <c r="E47" s="40">
        <f>E46*52</f>
        <v>30664.840909221744</v>
      </c>
    </row>
  </sheetData>
  <mergeCells count="1"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318A-4677-4800-A863-1DD7E0BC55C8}">
  <dimension ref="A1:E22"/>
  <sheetViews>
    <sheetView showGridLines="0" workbookViewId="0">
      <selection activeCell="D9" sqref="D9"/>
    </sheetView>
  </sheetViews>
  <sheetFormatPr defaultColWidth="12.69140625" defaultRowHeight="14.6" x14ac:dyDescent="0.4"/>
  <cols>
    <col min="1" max="1" width="16.84375" bestFit="1" customWidth="1"/>
    <col min="2" max="5" width="12.69140625" customWidth="1"/>
  </cols>
  <sheetData>
    <row r="1" spans="1:5" s="18" customFormat="1" ht="18.45" x14ac:dyDescent="0.5">
      <c r="A1" s="21" t="s">
        <v>33</v>
      </c>
      <c r="B1" s="19"/>
    </row>
    <row r="2" spans="1:5" s="18" customFormat="1" ht="10.75" x14ac:dyDescent="0.3">
      <c r="A2" s="20" t="s">
        <v>34</v>
      </c>
      <c r="B2" s="19" t="s">
        <v>35</v>
      </c>
    </row>
    <row r="3" spans="1:5" s="18" customFormat="1" ht="10.75" x14ac:dyDescent="0.3">
      <c r="A3" s="20" t="s">
        <v>36</v>
      </c>
      <c r="B3" s="19" t="s">
        <v>37</v>
      </c>
    </row>
    <row r="4" spans="1:5" s="18" customFormat="1" ht="10.75" x14ac:dyDescent="0.3">
      <c r="A4" s="20" t="s">
        <v>38</v>
      </c>
      <c r="B4" s="19" t="s">
        <v>39</v>
      </c>
    </row>
    <row r="5" spans="1:5" s="15" customFormat="1" ht="10.75" x14ac:dyDescent="0.3">
      <c r="A5" s="17" t="s">
        <v>40</v>
      </c>
      <c r="B5" s="16" t="s">
        <v>41</v>
      </c>
    </row>
    <row r="7" spans="1:5" ht="15" customHeight="1" x14ac:dyDescent="0.4">
      <c r="A7" s="14"/>
      <c r="B7" s="11" t="s">
        <v>42</v>
      </c>
      <c r="C7" s="11" t="s">
        <v>43</v>
      </c>
      <c r="D7" s="11" t="s">
        <v>44</v>
      </c>
      <c r="E7" s="11" t="s">
        <v>45</v>
      </c>
    </row>
    <row r="8" spans="1:5" ht="15" customHeight="1" thickBot="1" x14ac:dyDescent="0.45">
      <c r="A8" s="13" t="s">
        <v>35</v>
      </c>
      <c r="B8" s="27" t="s">
        <v>46</v>
      </c>
      <c r="C8" s="27" t="s">
        <v>46</v>
      </c>
      <c r="D8" s="27" t="s">
        <v>46</v>
      </c>
      <c r="E8" s="27" t="s">
        <v>46</v>
      </c>
    </row>
    <row r="9" spans="1:5" ht="15" customHeight="1" thickTop="1" x14ac:dyDescent="0.4">
      <c r="A9" s="11" t="s">
        <v>47</v>
      </c>
      <c r="B9" s="24">
        <f>_xll.StatMean([0]!ST_demand)</f>
        <v>625.07692307692309</v>
      </c>
      <c r="C9" s="24">
        <f>_xll.StatMean([0]!ST_MA)</f>
        <v>651.92167271205358</v>
      </c>
      <c r="D9" s="24" t="e">
        <f ca="1">_xll.StatMean([0]!ST_WMA)</f>
        <v>#NAME?</v>
      </c>
      <c r="E9" s="24" t="e">
        <f ca="1">_xll.StatMean([0]!ST_ES)</f>
        <v>#NAME?</v>
      </c>
    </row>
    <row r="10" spans="1:5" ht="15" customHeight="1" x14ac:dyDescent="0.4">
      <c r="A10" s="11" t="s">
        <v>48</v>
      </c>
      <c r="B10" s="24">
        <f>_xll.StatStdDev([0]!ST_demand)</f>
        <v>217.63010441613571</v>
      </c>
      <c r="C10" s="24">
        <f>_xll.StatStdDev([0]!ST_MA)</f>
        <v>159.06998969101261</v>
      </c>
      <c r="D10" s="24" t="e">
        <f ca="1">_xll.StatStdDev([0]!ST_WMA)</f>
        <v>#NAME?</v>
      </c>
      <c r="E10" s="24" t="e">
        <f ca="1">_xll.StatStdDev([0]!ST_ES)</f>
        <v>#NAME?</v>
      </c>
    </row>
    <row r="11" spans="1:5" ht="15" customHeight="1" x14ac:dyDescent="0.4">
      <c r="A11" s="11" t="s">
        <v>49</v>
      </c>
      <c r="B11" s="24">
        <f>_xll.StatMin([0]!ST_demand)</f>
        <v>206</v>
      </c>
      <c r="C11" s="24">
        <f>_xll.StatMin([0]!ST_MA)</f>
        <v>336.125</v>
      </c>
      <c r="D11" s="24" t="e">
        <f ca="1">_xll.StatMin([0]!ST_WMA)</f>
        <v>#NAME?</v>
      </c>
      <c r="E11" s="24" t="e">
        <f ca="1">_xll.StatMin([0]!ST_ES)</f>
        <v>#NAME?</v>
      </c>
    </row>
    <row r="12" spans="1:5" ht="15" customHeight="1" x14ac:dyDescent="0.4">
      <c r="A12" s="12" t="s">
        <v>50</v>
      </c>
      <c r="B12" s="26">
        <f>_xll.StatMax([0]!ST_demand)</f>
        <v>1049</v>
      </c>
      <c r="C12" s="26">
        <f>_xll.StatMax([0]!ST_MA)</f>
        <v>827.237060546875</v>
      </c>
      <c r="D12" s="26" t="e">
        <f ca="1">_xll.StatMax([0]!ST_WMA)</f>
        <v>#NAME?</v>
      </c>
      <c r="E12" s="26" t="e">
        <f ca="1">_xll.StatMax([0]!ST_ES)</f>
        <v>#NAME?</v>
      </c>
    </row>
    <row r="13" spans="1:5" ht="15" customHeight="1" x14ac:dyDescent="0.4">
      <c r="A13" s="25">
        <v>0.01</v>
      </c>
      <c r="B13" s="24">
        <f>_xll.StatPercentile([0]!ST_demand, 0.01)</f>
        <v>206</v>
      </c>
      <c r="C13" s="24">
        <f>_xll.StatPercentile([0]!ST_MA, 0.01)</f>
        <v>336.125</v>
      </c>
      <c r="D13" s="24" t="e">
        <f ca="1">_xll.StatPercentile([0]!ST_WMA, 0.01)</f>
        <v>#NAME?</v>
      </c>
      <c r="E13" s="24" t="e">
        <f ca="1">_xll.StatPercentile([0]!ST_ES, 0.01)</f>
        <v>#NAME?</v>
      </c>
    </row>
    <row r="14" spans="1:5" ht="15" customHeight="1" x14ac:dyDescent="0.4">
      <c r="A14" s="25">
        <v>2.5000000000000001E-2</v>
      </c>
      <c r="B14" s="24">
        <f>_xll.StatPercentile([0]!ST_demand, 0.025)</f>
        <v>206</v>
      </c>
      <c r="C14" s="24">
        <f>_xll.StatPercentile([0]!ST_MA, 0.025)</f>
        <v>336.125</v>
      </c>
      <c r="D14" s="24" t="e">
        <f ca="1">_xll.StatPercentile([0]!ST_WMA, 0.025)</f>
        <v>#NAME?</v>
      </c>
      <c r="E14" s="24" t="e">
        <f ca="1">_xll.StatPercentile([0]!ST_ES, 0.025)</f>
        <v>#NAME?</v>
      </c>
    </row>
    <row r="15" spans="1:5" ht="15" customHeight="1" x14ac:dyDescent="0.4">
      <c r="A15" s="25">
        <v>0.05</v>
      </c>
      <c r="B15" s="24">
        <f>_xll.StatPercentile([0]!ST_demand, 0.05)</f>
        <v>234</v>
      </c>
      <c r="C15" s="24">
        <f>_xll.StatPercentile([0]!ST_MA, 0.05)</f>
        <v>372.625</v>
      </c>
      <c r="D15" s="24" t="e">
        <f ca="1">_xll.StatPercentile([0]!ST_WMA, 0.05)</f>
        <v>#NAME?</v>
      </c>
      <c r="E15" s="24" t="e">
        <f ca="1">_xll.StatPercentile([0]!ST_ES, 0.05)</f>
        <v>#NAME?</v>
      </c>
    </row>
    <row r="16" spans="1:5" ht="15" customHeight="1" x14ac:dyDescent="0.4">
      <c r="A16" s="25">
        <v>0.1</v>
      </c>
      <c r="B16" s="24">
        <f>_xll.StatPercentile([0]!ST_demand, 0.1)</f>
        <v>323</v>
      </c>
      <c r="C16" s="24">
        <f>_xll.StatPercentile([0]!ST_MA, 0.1)</f>
        <v>418.375</v>
      </c>
      <c r="D16" s="24" t="e">
        <f ca="1">_xll.StatPercentile([0]!ST_WMA, 0.1)</f>
        <v>#NAME?</v>
      </c>
      <c r="E16" s="24" t="e">
        <f ca="1">_xll.StatPercentile([0]!ST_ES, 0.1)</f>
        <v>#NAME?</v>
      </c>
    </row>
    <row r="17" spans="1:5" ht="15" customHeight="1" x14ac:dyDescent="0.4">
      <c r="A17" s="25">
        <v>0.2</v>
      </c>
      <c r="B17" s="24">
        <f>_xll.StatPercentile([0]!ST_demand, 0.2)</f>
        <v>419</v>
      </c>
      <c r="C17" s="24">
        <f>_xll.StatPercentile([0]!ST_MA, 0.2)</f>
        <v>493.125</v>
      </c>
      <c r="D17" s="24" t="e">
        <f ca="1">_xll.StatPercentile([0]!ST_WMA, 0.2)</f>
        <v>#NAME?</v>
      </c>
      <c r="E17" s="24" t="e">
        <f ca="1">_xll.StatPercentile([0]!ST_ES, 0.2)</f>
        <v>#NAME?</v>
      </c>
    </row>
    <row r="18" spans="1:5" ht="15" customHeight="1" x14ac:dyDescent="0.4">
      <c r="A18" s="25">
        <v>0.8</v>
      </c>
      <c r="B18" s="24">
        <f>_xll.StatPercentile([0]!ST_demand, 0.8)</f>
        <v>823</v>
      </c>
      <c r="C18" s="24">
        <f>_xll.StatPercentile([0]!ST_MA, 0.8)</f>
        <v>795.125</v>
      </c>
      <c r="D18" s="24" t="e">
        <f ca="1">_xll.StatPercentile([0]!ST_WMA, 0.8)</f>
        <v>#NAME?</v>
      </c>
      <c r="E18" s="24" t="e">
        <f ca="1">_xll.StatPercentile([0]!ST_ES, 0.8)</f>
        <v>#NAME?</v>
      </c>
    </row>
    <row r="19" spans="1:5" ht="15" customHeight="1" x14ac:dyDescent="0.4">
      <c r="A19" s="25">
        <v>0.9</v>
      </c>
      <c r="B19" s="24">
        <f>_xll.StatPercentile([0]!ST_demand, 0.9)</f>
        <v>867</v>
      </c>
      <c r="C19" s="24">
        <f>_xll.StatPercentile([0]!ST_MA, 0.9)</f>
        <v>821.421875</v>
      </c>
      <c r="D19" s="24" t="e">
        <f ca="1">_xll.StatPercentile([0]!ST_WMA, 0.9)</f>
        <v>#NAME?</v>
      </c>
      <c r="E19" s="24" t="e">
        <f ca="1">_xll.StatPercentile([0]!ST_ES, 0.9)</f>
        <v>#NAME?</v>
      </c>
    </row>
    <row r="20" spans="1:5" ht="15" customHeight="1" x14ac:dyDescent="0.4">
      <c r="A20" s="25">
        <v>0.95</v>
      </c>
      <c r="B20" s="24">
        <f>_xll.StatPercentile([0]!ST_demand, 0.95)</f>
        <v>1001</v>
      </c>
      <c r="C20" s="24">
        <f>_xll.StatPercentile([0]!ST_MA, 0.95)</f>
        <v>827.099609375</v>
      </c>
      <c r="D20" s="24" t="e">
        <f ca="1">_xll.StatPercentile([0]!ST_WMA, 0.95)</f>
        <v>#NAME?</v>
      </c>
      <c r="E20" s="24" t="e">
        <f ca="1">_xll.StatPercentile([0]!ST_ES, 0.95)</f>
        <v>#NAME?</v>
      </c>
    </row>
    <row r="21" spans="1:5" ht="15" customHeight="1" x14ac:dyDescent="0.4">
      <c r="A21" s="25">
        <v>0.97499999999999998</v>
      </c>
      <c r="B21" s="24">
        <f>_xll.StatPercentile([0]!ST_demand, 0.975)</f>
        <v>1049</v>
      </c>
      <c r="C21" s="24">
        <f>_xll.StatPercentile([0]!ST_MA, 0.975)</f>
        <v>827.237060546875</v>
      </c>
      <c r="D21" s="24" t="e">
        <f ca="1">_xll.StatPercentile([0]!ST_WMA, 0.975)</f>
        <v>#NAME?</v>
      </c>
      <c r="E21" s="24" t="e">
        <f ca="1">_xll.StatPercentile([0]!ST_ES, 0.975)</f>
        <v>#NAME?</v>
      </c>
    </row>
    <row r="22" spans="1:5" ht="15" customHeight="1" x14ac:dyDescent="0.4">
      <c r="A22" s="25">
        <v>0.99</v>
      </c>
      <c r="B22" s="24">
        <f>_xll.StatPercentile([0]!ST_demand, 0.99)</f>
        <v>1049</v>
      </c>
      <c r="C22" s="24">
        <f>_xll.StatPercentile([0]!ST_MA, 0.99)</f>
        <v>827.237060546875</v>
      </c>
      <c r="D22" s="24" t="e">
        <f ca="1">_xll.StatPercentile([0]!ST_WMA, 0.99)</f>
        <v>#NAME?</v>
      </c>
      <c r="E22" s="24" t="e">
        <f ca="1">_xll.StatPercentile([0]!ST_ES, 0.99)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A474-1055-46C3-A646-928A42DA9AB8}">
  <dimension ref="B9"/>
  <sheetViews>
    <sheetView workbookViewId="0"/>
  </sheetViews>
  <sheetFormatPr defaultRowHeight="14.6" x14ac:dyDescent="0.4"/>
  <sheetData>
    <row r="9" spans="2:2" x14ac:dyDescent="0.4">
      <c r="B9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EF5F-0793-43E3-A84B-00AD30E54F37}">
  <dimension ref="A1:T26"/>
  <sheetViews>
    <sheetView workbookViewId="0"/>
  </sheetViews>
  <sheetFormatPr defaultColWidth="30.69140625" defaultRowHeight="14.6" x14ac:dyDescent="0.4"/>
  <cols>
    <col min="1" max="1" width="30.69140625" style="8"/>
    <col min="2" max="16384" width="30.69140625" style="7"/>
  </cols>
  <sheetData>
    <row r="1" spans="1:20" x14ac:dyDescent="0.4">
      <c r="A1" s="8" t="s">
        <v>51</v>
      </c>
      <c r="B1" s="7" t="s">
        <v>46</v>
      </c>
      <c r="C1" s="7" t="s">
        <v>52</v>
      </c>
      <c r="D1" s="7">
        <v>8</v>
      </c>
      <c r="E1" s="7" t="s">
        <v>53</v>
      </c>
      <c r="F1" s="7">
        <v>0</v>
      </c>
      <c r="G1" s="7" t="s">
        <v>54</v>
      </c>
      <c r="H1" s="7">
        <v>1</v>
      </c>
      <c r="I1" s="7" t="s">
        <v>55</v>
      </c>
      <c r="J1" s="7">
        <v>1</v>
      </c>
      <c r="K1" s="7" t="s">
        <v>56</v>
      </c>
      <c r="L1" s="7">
        <v>0</v>
      </c>
      <c r="M1" s="7" t="s">
        <v>57</v>
      </c>
      <c r="N1" s="7">
        <v>0</v>
      </c>
      <c r="O1" s="7" t="s">
        <v>58</v>
      </c>
      <c r="P1" s="7">
        <v>1</v>
      </c>
      <c r="Q1" s="7" t="s">
        <v>59</v>
      </c>
      <c r="R1" s="7">
        <v>0</v>
      </c>
      <c r="S1" s="7" t="s">
        <v>60</v>
      </c>
      <c r="T1" s="7">
        <v>0</v>
      </c>
    </row>
    <row r="2" spans="1:20" x14ac:dyDescent="0.4">
      <c r="A2" s="8" t="s">
        <v>61</v>
      </c>
      <c r="B2" s="7" t="s">
        <v>62</v>
      </c>
    </row>
    <row r="3" spans="1:20" x14ac:dyDescent="0.4">
      <c r="A3" s="8" t="s">
        <v>63</v>
      </c>
      <c r="B3" s="7" t="b">
        <f>IF(B10&gt;256,"TripUpST110AndEarlier",TRUE)</f>
        <v>1</v>
      </c>
    </row>
    <row r="4" spans="1:20" x14ac:dyDescent="0.4">
      <c r="A4" s="8" t="s">
        <v>64</v>
      </c>
      <c r="B4" s="7" t="s">
        <v>65</v>
      </c>
    </row>
    <row r="5" spans="1:20" x14ac:dyDescent="0.4">
      <c r="A5" s="8" t="s">
        <v>66</v>
      </c>
      <c r="B5" s="7" t="b">
        <v>0</v>
      </c>
    </row>
    <row r="6" spans="1:20" x14ac:dyDescent="0.4">
      <c r="A6" s="8" t="s">
        <v>67</v>
      </c>
      <c r="B6" s="7" t="b">
        <v>0</v>
      </c>
    </row>
    <row r="7" spans="1:20" x14ac:dyDescent="0.4">
      <c r="A7" s="8" t="s">
        <v>68</v>
      </c>
      <c r="B7" s="7">
        <f>Sheet1!$A$1:$E$44</f>
        <v>206</v>
      </c>
    </row>
    <row r="8" spans="1:20" x14ac:dyDescent="0.4">
      <c r="A8" s="8" t="s">
        <v>69</v>
      </c>
      <c r="B8" s="7">
        <v>2</v>
      </c>
    </row>
    <row r="9" spans="1:20" x14ac:dyDescent="0.4">
      <c r="A9" s="8" t="s">
        <v>70</v>
      </c>
      <c r="B9" s="7">
        <f>1</f>
        <v>1</v>
      </c>
    </row>
    <row r="10" spans="1:20" x14ac:dyDescent="0.4">
      <c r="A10" s="8" t="s">
        <v>71</v>
      </c>
      <c r="B10" s="7">
        <v>5</v>
      </c>
    </row>
    <row r="12" spans="1:20" x14ac:dyDescent="0.4">
      <c r="A12" s="8" t="s">
        <v>72</v>
      </c>
      <c r="B12" s="7" t="s">
        <v>73</v>
      </c>
      <c r="C12" s="7" t="s">
        <v>74</v>
      </c>
      <c r="D12" s="7" t="s">
        <v>75</v>
      </c>
      <c r="E12" s="7" t="b">
        <v>1</v>
      </c>
      <c r="F12" s="7">
        <v>0</v>
      </c>
      <c r="G12" s="7">
        <v>4</v>
      </c>
      <c r="H12" s="7">
        <v>1</v>
      </c>
    </row>
    <row r="13" spans="1:20" x14ac:dyDescent="0.4">
      <c r="A13" s="8" t="s">
        <v>76</v>
      </c>
      <c r="B13" s="7">
        <f>Sheet1!$A$1:$A$44</f>
        <v>12</v>
      </c>
    </row>
    <row r="14" spans="1:20" x14ac:dyDescent="0.4">
      <c r="A14" s="8" t="s">
        <v>77</v>
      </c>
    </row>
    <row r="15" spans="1:20" x14ac:dyDescent="0.4">
      <c r="A15" s="8" t="s">
        <v>78</v>
      </c>
      <c r="B15" s="7" t="s">
        <v>79</v>
      </c>
      <c r="C15" s="7" t="s">
        <v>42</v>
      </c>
      <c r="D15" s="7" t="s">
        <v>80</v>
      </c>
      <c r="E15" s="7" t="b">
        <v>1</v>
      </c>
      <c r="F15" s="7">
        <v>0</v>
      </c>
      <c r="G15" s="7">
        <v>4</v>
      </c>
      <c r="H15" s="7">
        <v>1</v>
      </c>
    </row>
    <row r="16" spans="1:20" x14ac:dyDescent="0.4">
      <c r="A16" s="8" t="s">
        <v>81</v>
      </c>
      <c r="B16" s="7">
        <f>Sheet1!$B$1:$B$44</f>
        <v>438</v>
      </c>
    </row>
    <row r="17" spans="1:8" x14ac:dyDescent="0.4">
      <c r="A17" s="8" t="s">
        <v>82</v>
      </c>
    </row>
    <row r="18" spans="1:8" x14ac:dyDescent="0.4">
      <c r="A18" s="8" t="s">
        <v>83</v>
      </c>
      <c r="B18" s="7" t="s">
        <v>84</v>
      </c>
      <c r="C18" s="7" t="s">
        <v>43</v>
      </c>
      <c r="D18" s="7" t="s">
        <v>85</v>
      </c>
      <c r="E18" s="7" t="b">
        <v>1</v>
      </c>
      <c r="F18" s="7">
        <v>0</v>
      </c>
      <c r="G18" s="7">
        <v>4</v>
      </c>
      <c r="H18" s="7">
        <v>1</v>
      </c>
    </row>
    <row r="19" spans="1:8" x14ac:dyDescent="0.4">
      <c r="A19" s="8" t="s">
        <v>86</v>
      </c>
      <c r="B19" s="7">
        <f>Sheet1!$C$1:$C$44</f>
        <v>517.25</v>
      </c>
    </row>
    <row r="20" spans="1:8" x14ac:dyDescent="0.4">
      <c r="A20" s="8" t="s">
        <v>87</v>
      </c>
    </row>
    <row r="21" spans="1:8" x14ac:dyDescent="0.4">
      <c r="A21" s="8" t="s">
        <v>88</v>
      </c>
      <c r="B21" s="7" t="s">
        <v>89</v>
      </c>
      <c r="C21" s="7" t="s">
        <v>44</v>
      </c>
      <c r="D21" s="7" t="s">
        <v>90</v>
      </c>
      <c r="E21" s="7" t="b">
        <v>1</v>
      </c>
      <c r="F21" s="7">
        <v>0</v>
      </c>
      <c r="G21" s="7">
        <v>4</v>
      </c>
      <c r="H21" s="7">
        <v>1</v>
      </c>
    </row>
    <row r="22" spans="1:8" x14ac:dyDescent="0.4">
      <c r="A22" s="8" t="s">
        <v>91</v>
      </c>
      <c r="B22" s="7">
        <f>Sheet1!$D$1:$D$44</f>
        <v>610.52777777777771</v>
      </c>
    </row>
    <row r="23" spans="1:8" x14ac:dyDescent="0.4">
      <c r="A23" s="8" t="s">
        <v>92</v>
      </c>
    </row>
    <row r="24" spans="1:8" x14ac:dyDescent="0.4">
      <c r="A24" s="8" t="s">
        <v>93</v>
      </c>
      <c r="B24" s="7" t="s">
        <v>94</v>
      </c>
      <c r="C24" s="7" t="s">
        <v>45</v>
      </c>
      <c r="D24" s="7" t="s">
        <v>95</v>
      </c>
      <c r="E24" s="7" t="b">
        <v>1</v>
      </c>
      <c r="F24" s="7">
        <v>0</v>
      </c>
      <c r="G24" s="7">
        <v>4</v>
      </c>
      <c r="H24" s="7">
        <v>1</v>
      </c>
    </row>
    <row r="25" spans="1:8" x14ac:dyDescent="0.4">
      <c r="A25" s="8" t="s">
        <v>96</v>
      </c>
      <c r="B25" s="7">
        <f>Sheet1!$E$1:$E$44</f>
        <v>627.74650225916139</v>
      </c>
    </row>
    <row r="26" spans="1:8" x14ac:dyDescent="0.4">
      <c r="A26" s="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Sheet1</vt:lpstr>
      <vt:lpstr>One Var Summary</vt:lpstr>
      <vt:lpstr>_PalUtilTempWorksheet</vt:lpstr>
      <vt:lpstr>_STDS_DG25215E86</vt:lpstr>
      <vt:lpstr>ST_demand</vt:lpstr>
      <vt:lpstr>ST_ES</vt:lpstr>
      <vt:lpstr>ST_MA</vt:lpstr>
      <vt:lpstr>ST_week</vt:lpstr>
      <vt:lpstr>ST_WMA</vt:lpstr>
      <vt:lpstr>'One Var Summary'!StatToolsHeader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 Smith</dc:creator>
  <cp:keywords/>
  <dc:description/>
  <cp:lastModifiedBy>Adharsh Sundaram Soudakar</cp:lastModifiedBy>
  <cp:revision/>
  <dcterms:created xsi:type="dcterms:W3CDTF">2023-05-09T03:47:20Z</dcterms:created>
  <dcterms:modified xsi:type="dcterms:W3CDTF">2023-05-20T15:36:19Z</dcterms:modified>
  <cp:category/>
  <cp:contentStatus/>
</cp:coreProperties>
</file>