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h Raguraman\Desktop\"/>
    </mc:Choice>
  </mc:AlternateContent>
  <xr:revisionPtr revIDLastSave="0" documentId="13_ncr:1_{DB25A015-2DBA-485F-A095-702F1AEFDA72}" xr6:coauthVersionLast="47" xr6:coauthVersionMax="47" xr10:uidLastSave="{00000000-0000-0000-0000-000000000000}"/>
  <bookViews>
    <workbookView xWindow="-108" yWindow="-108" windowWidth="23256" windowHeight="12456" activeTab="1" xr2:uid="{4A428EA1-29B5-4DFB-AC93-CDAC80E0D0EE}"/>
  </bookViews>
  <sheets>
    <sheet name="Forecast" sheetId="1" r:id="rId1"/>
    <sheet name="Solution" sheetId="4" r:id="rId2"/>
    <sheet name="forecast sheet (auto generated)" sheetId="3" r:id="rId3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</definedName>
    <definedName name="RiskNumSimulations" hidden="1">10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0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9" i="4" l="1"/>
  <c r="R28" i="4"/>
  <c r="R27" i="4"/>
  <c r="J27" i="4"/>
  <c r="J29" i="4" s="1"/>
  <c r="B27" i="4"/>
  <c r="R26" i="4"/>
  <c r="W38" i="4"/>
  <c r="W37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32" i="4"/>
  <c r="T38" i="4"/>
  <c r="V37" i="4"/>
  <c r="R22" i="4"/>
  <c r="R19" i="4"/>
  <c r="R20" i="4" s="1"/>
  <c r="R23" i="4" s="1"/>
  <c r="R24" i="4" s="1"/>
  <c r="R18" i="4"/>
  <c r="B16" i="4"/>
  <c r="J16" i="4"/>
  <c r="R16" i="4"/>
  <c r="J28" i="4"/>
  <c r="J26" i="4"/>
  <c r="N38" i="4"/>
  <c r="N37" i="4"/>
  <c r="O37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32" i="4"/>
  <c r="J22" i="4"/>
  <c r="J20" i="4"/>
  <c r="J19" i="4"/>
  <c r="J18" i="4"/>
  <c r="G38" i="4"/>
  <c r="G37" i="4"/>
  <c r="D38" i="4"/>
  <c r="F38" i="4" s="1"/>
  <c r="F37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32" i="4"/>
  <c r="B2" i="4"/>
  <c r="V38" i="4" l="1"/>
  <c r="L38" i="4"/>
  <c r="O38" i="4" s="1"/>
  <c r="J23" i="4"/>
  <c r="J24" i="4" s="1"/>
  <c r="D39" i="4"/>
  <c r="G39" i="4" s="1"/>
  <c r="T39" i="4" l="1"/>
  <c r="W39" i="4" s="1"/>
  <c r="F39" i="4"/>
  <c r="V39" i="4" l="1"/>
  <c r="L39" i="4"/>
  <c r="D40" i="4"/>
  <c r="G40" i="4" s="1"/>
  <c r="B19" i="4"/>
  <c r="B18" i="4"/>
  <c r="B20" i="4" s="1"/>
  <c r="B23" i="4" s="1"/>
  <c r="C45" i="1"/>
  <c r="C47" i="1"/>
  <c r="C46" i="1"/>
  <c r="T40" i="4" l="1"/>
  <c r="W40" i="4" s="1"/>
  <c r="O39" i="4"/>
  <c r="N39" i="4"/>
  <c r="F40" i="4"/>
  <c r="D41" i="4"/>
  <c r="B10" i="4"/>
  <c r="B11" i="4" s="1"/>
  <c r="B22" i="4" s="1"/>
  <c r="B24" i="4" s="1"/>
  <c r="B8" i="4"/>
  <c r="B13" i="4" s="1"/>
  <c r="C41" i="3"/>
  <c r="H4" i="3"/>
  <c r="C42" i="3"/>
  <c r="H5" i="3"/>
  <c r="C43" i="3"/>
  <c r="H6" i="3"/>
  <c r="C44" i="3"/>
  <c r="H7" i="3"/>
  <c r="C45" i="3"/>
  <c r="C46" i="3"/>
  <c r="C47" i="3"/>
  <c r="C48" i="3"/>
  <c r="C49" i="3"/>
  <c r="C50" i="3"/>
  <c r="H8" i="3"/>
  <c r="H2" i="3"/>
  <c r="H3" i="3"/>
  <c r="V40" i="4" l="1"/>
  <c r="L40" i="4"/>
  <c r="F41" i="4"/>
  <c r="G41" i="4"/>
  <c r="D42" i="4"/>
  <c r="G42" i="4" s="1"/>
  <c r="D50" i="3"/>
  <c r="E42" i="3"/>
  <c r="D42" i="3"/>
  <c r="E41" i="3"/>
  <c r="D41" i="3"/>
  <c r="D47" i="3"/>
  <c r="D46" i="3"/>
  <c r="D45" i="3"/>
  <c r="E50" i="3"/>
  <c r="E48" i="3"/>
  <c r="E45" i="3"/>
  <c r="E44" i="3"/>
  <c r="E43" i="3"/>
  <c r="D49" i="3"/>
  <c r="D44" i="3"/>
  <c r="E49" i="3"/>
  <c r="D48" i="3"/>
  <c r="D43" i="3"/>
  <c r="E47" i="3"/>
  <c r="E46" i="3"/>
  <c r="T41" i="4" l="1"/>
  <c r="W41" i="4" s="1"/>
  <c r="O40" i="4"/>
  <c r="N40" i="4"/>
  <c r="F42" i="4"/>
  <c r="D43" i="4" s="1"/>
  <c r="AF5" i="1"/>
  <c r="AF4" i="1"/>
  <c r="AF3" i="1"/>
  <c r="AF2" i="1"/>
  <c r="AE5" i="1"/>
  <c r="AE4" i="1"/>
  <c r="AE3" i="1"/>
  <c r="AE2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11" i="1"/>
  <c r="N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11" i="1"/>
  <c r="M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O40" i="1" s="1"/>
  <c r="S40" i="1" s="1"/>
  <c r="AA40" i="1" s="1"/>
  <c r="F2" i="1"/>
  <c r="E10" i="1"/>
  <c r="I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0" i="1"/>
  <c r="V41" i="4" l="1"/>
  <c r="L41" i="4"/>
  <c r="F43" i="4"/>
  <c r="G43" i="4"/>
  <c r="W40" i="1"/>
  <c r="O23" i="1"/>
  <c r="O22" i="1"/>
  <c r="O21" i="1"/>
  <c r="O37" i="1"/>
  <c r="O36" i="1"/>
  <c r="O20" i="1"/>
  <c r="O35" i="1"/>
  <c r="O19" i="1"/>
  <c r="O25" i="1"/>
  <c r="O18" i="1"/>
  <c r="O10" i="1"/>
  <c r="O34" i="1"/>
  <c r="O33" i="1"/>
  <c r="O17" i="1"/>
  <c r="O32" i="1"/>
  <c r="O16" i="1"/>
  <c r="O39" i="1"/>
  <c r="O31" i="1"/>
  <c r="O15" i="1"/>
  <c r="O26" i="1"/>
  <c r="O24" i="1"/>
  <c r="O38" i="1"/>
  <c r="O30" i="1"/>
  <c r="O14" i="1"/>
  <c r="O29" i="1"/>
  <c r="O13" i="1"/>
  <c r="O28" i="1"/>
  <c r="O12" i="1"/>
  <c r="O27" i="1"/>
  <c r="O11" i="1"/>
  <c r="T42" i="4" l="1"/>
  <c r="W42" i="4" s="1"/>
  <c r="O41" i="4"/>
  <c r="N41" i="4"/>
  <c r="L42" i="4"/>
  <c r="D44" i="4"/>
  <c r="S34" i="1"/>
  <c r="AA34" i="1" s="1"/>
  <c r="W34" i="1"/>
  <c r="W27" i="1"/>
  <c r="S27" i="1"/>
  <c r="AA27" i="1" s="1"/>
  <c r="W13" i="1"/>
  <c r="S13" i="1"/>
  <c r="AA13" i="1" s="1"/>
  <c r="S26" i="1"/>
  <c r="AA26" i="1" s="1"/>
  <c r="W26" i="1"/>
  <c r="W11" i="1"/>
  <c r="S11" i="1"/>
  <c r="AA11" i="1" s="1"/>
  <c r="S33" i="1"/>
  <c r="AA33" i="1" s="1"/>
  <c r="W33" i="1"/>
  <c r="S18" i="1"/>
  <c r="AA18" i="1" s="1"/>
  <c r="W18" i="1"/>
  <c r="S19" i="1"/>
  <c r="AA19" i="1" s="1"/>
  <c r="W19" i="1"/>
  <c r="S21" i="1"/>
  <c r="AA21" i="1" s="1"/>
  <c r="W21" i="1"/>
  <c r="S32" i="1"/>
  <c r="AA32" i="1" s="1"/>
  <c r="W32" i="1"/>
  <c r="W10" i="1"/>
  <c r="S10" i="1"/>
  <c r="W25" i="1"/>
  <c r="S25" i="1"/>
  <c r="AA25" i="1" s="1"/>
  <c r="S14" i="1"/>
  <c r="AA14" i="1" s="1"/>
  <c r="W14" i="1"/>
  <c r="S38" i="1"/>
  <c r="AA38" i="1" s="1"/>
  <c r="W38" i="1"/>
  <c r="S24" i="1"/>
  <c r="AA24" i="1" s="1"/>
  <c r="W24" i="1"/>
  <c r="S37" i="1"/>
  <c r="AA37" i="1" s="1"/>
  <c r="W37" i="1"/>
  <c r="S22" i="1"/>
  <c r="AA22" i="1" s="1"/>
  <c r="W22" i="1"/>
  <c r="W12" i="1"/>
  <c r="S12" i="1"/>
  <c r="AA12" i="1" s="1"/>
  <c r="W29" i="1"/>
  <c r="S29" i="1"/>
  <c r="AA29" i="1" s="1"/>
  <c r="S30" i="1"/>
  <c r="AA30" i="1" s="1"/>
  <c r="W30" i="1"/>
  <c r="S20" i="1"/>
  <c r="AA20" i="1" s="1"/>
  <c r="W20" i="1"/>
  <c r="S36" i="1"/>
  <c r="AA36" i="1" s="1"/>
  <c r="W36" i="1"/>
  <c r="W23" i="1"/>
  <c r="S23" i="1"/>
  <c r="AA23" i="1" s="1"/>
  <c r="S17" i="1"/>
  <c r="AA17" i="1" s="1"/>
  <c r="W17" i="1"/>
  <c r="W28" i="1"/>
  <c r="S28" i="1"/>
  <c r="AA28" i="1" s="1"/>
  <c r="S35" i="1"/>
  <c r="AA35" i="1" s="1"/>
  <c r="W35" i="1"/>
  <c r="S15" i="1"/>
  <c r="AA15" i="1" s="1"/>
  <c r="W15" i="1"/>
  <c r="S31" i="1"/>
  <c r="AA31" i="1" s="1"/>
  <c r="W31" i="1"/>
  <c r="W39" i="1"/>
  <c r="S39" i="1"/>
  <c r="AA39" i="1" s="1"/>
  <c r="S16" i="1"/>
  <c r="AA16" i="1" s="1"/>
  <c r="W16" i="1"/>
  <c r="V42" i="4" l="1"/>
  <c r="O42" i="4"/>
  <c r="N42" i="4"/>
  <c r="L43" i="4" s="1"/>
  <c r="G44" i="4"/>
  <c r="F44" i="4"/>
  <c r="AG3" i="1"/>
  <c r="AG4" i="1" s="1"/>
  <c r="AG2" i="1"/>
  <c r="AA10" i="1"/>
  <c r="AG5" i="1" s="1"/>
  <c r="T43" i="4" l="1"/>
  <c r="W43" i="4" s="1"/>
  <c r="O43" i="4"/>
  <c r="L44" i="4" s="1"/>
  <c r="N43" i="4"/>
  <c r="D45" i="4"/>
  <c r="V43" i="4" l="1"/>
  <c r="O44" i="4"/>
  <c r="N44" i="4"/>
  <c r="G45" i="4"/>
  <c r="F45" i="4"/>
  <c r="D46" i="4" s="1"/>
  <c r="T44" i="4" l="1"/>
  <c r="W44" i="4" s="1"/>
  <c r="L45" i="4"/>
  <c r="G46" i="4"/>
  <c r="D47" i="4" s="1"/>
  <c r="F46" i="4"/>
  <c r="V44" i="4" l="1"/>
  <c r="T45" i="4" s="1"/>
  <c r="W45" i="4" s="1"/>
  <c r="O45" i="4"/>
  <c r="N45" i="4"/>
  <c r="G47" i="4"/>
  <c r="D48" i="4" s="1"/>
  <c r="F47" i="4"/>
  <c r="V45" i="4" l="1"/>
  <c r="L46" i="4"/>
  <c r="G48" i="4"/>
  <c r="D49" i="4" s="1"/>
  <c r="G49" i="4" s="1"/>
  <c r="F48" i="4"/>
  <c r="T46" i="4" l="1"/>
  <c r="W46" i="4" s="1"/>
  <c r="O46" i="4"/>
  <c r="N46" i="4"/>
  <c r="L47" i="4" s="1"/>
  <c r="F49" i="4"/>
  <c r="D50" i="4" s="1"/>
  <c r="V46" i="4" l="1"/>
  <c r="T47" i="4"/>
  <c r="W47" i="4" s="1"/>
  <c r="O47" i="4"/>
  <c r="N47" i="4"/>
  <c r="L48" i="4"/>
  <c r="G50" i="4"/>
  <c r="D51" i="4" s="1"/>
  <c r="F50" i="4"/>
  <c r="V47" i="4" l="1"/>
  <c r="O48" i="4"/>
  <c r="L49" i="4" s="1"/>
  <c r="N48" i="4"/>
  <c r="G51" i="4"/>
  <c r="D52" i="4" s="1"/>
  <c r="G52" i="4" s="1"/>
  <c r="F51" i="4"/>
  <c r="T48" i="4" l="1"/>
  <c r="W48" i="4" s="1"/>
  <c r="O49" i="4"/>
  <c r="N49" i="4"/>
  <c r="F52" i="4"/>
  <c r="V48" i="4" l="1"/>
  <c r="L50" i="4"/>
  <c r="D53" i="4"/>
  <c r="G53" i="4" s="1"/>
  <c r="T49" i="4" l="1"/>
  <c r="W49" i="4" s="1"/>
  <c r="O50" i="4"/>
  <c r="L51" i="4" s="1"/>
  <c r="N50" i="4"/>
  <c r="F53" i="4"/>
  <c r="V49" i="4" l="1"/>
  <c r="T50" i="4" s="1"/>
  <c r="W50" i="4" s="1"/>
  <c r="O51" i="4"/>
  <c r="N51" i="4"/>
  <c r="L52" i="4"/>
  <c r="D54" i="4"/>
  <c r="G54" i="4" s="1"/>
  <c r="V50" i="4" l="1"/>
  <c r="O52" i="4"/>
  <c r="N52" i="4"/>
  <c r="L53" i="4"/>
  <c r="F54" i="4"/>
  <c r="T51" i="4" l="1"/>
  <c r="W51" i="4" s="1"/>
  <c r="O53" i="4"/>
  <c r="N53" i="4"/>
  <c r="D55" i="4"/>
  <c r="G55" i="4" s="1"/>
  <c r="V51" i="4" l="1"/>
  <c r="L54" i="4"/>
  <c r="F55" i="4"/>
  <c r="T52" i="4" l="1"/>
  <c r="W52" i="4" s="1"/>
  <c r="O54" i="4"/>
  <c r="N54" i="4"/>
  <c r="L55" i="4" s="1"/>
  <c r="D56" i="4"/>
  <c r="V52" i="4" l="1"/>
  <c r="O55" i="4"/>
  <c r="L56" i="4" s="1"/>
  <c r="N55" i="4"/>
  <c r="F56" i="4"/>
  <c r="G56" i="4"/>
  <c r="D57" i="4"/>
  <c r="G57" i="4" s="1"/>
  <c r="T53" i="4" l="1"/>
  <c r="W53" i="4" s="1"/>
  <c r="O56" i="4"/>
  <c r="N56" i="4"/>
  <c r="F57" i="4"/>
  <c r="D58" i="4" s="1"/>
  <c r="G58" i="4" s="1"/>
  <c r="F58" i="4"/>
  <c r="V53" i="4" l="1"/>
  <c r="L57" i="4"/>
  <c r="D59" i="4"/>
  <c r="G59" i="4" s="1"/>
  <c r="T54" i="4" l="1"/>
  <c r="W54" i="4" s="1"/>
  <c r="V54" i="4"/>
  <c r="O57" i="4"/>
  <c r="N57" i="4"/>
  <c r="L58" i="4" s="1"/>
  <c r="F59" i="4"/>
  <c r="T55" i="4" l="1"/>
  <c r="W55" i="4" s="1"/>
  <c r="O58" i="4"/>
  <c r="N58" i="4"/>
  <c r="L59" i="4"/>
  <c r="D60" i="4"/>
  <c r="G60" i="4" s="1"/>
  <c r="V55" i="4" l="1"/>
  <c r="O59" i="4"/>
  <c r="N59" i="4"/>
  <c r="L60" i="4"/>
  <c r="F60" i="4"/>
  <c r="T56" i="4" l="1"/>
  <c r="W56" i="4" s="1"/>
  <c r="O60" i="4"/>
  <c r="N60" i="4"/>
  <c r="L61" i="4" s="1"/>
  <c r="D61" i="4"/>
  <c r="G61" i="4" s="1"/>
  <c r="V56" i="4" l="1"/>
  <c r="T57" i="4" s="1"/>
  <c r="W57" i="4" s="1"/>
  <c r="O61" i="4"/>
  <c r="N61" i="4"/>
  <c r="F61" i="4"/>
  <c r="V57" i="4" l="1"/>
  <c r="L62" i="4"/>
  <c r="D62" i="4"/>
  <c r="G62" i="4" s="1"/>
  <c r="T58" i="4" l="1"/>
  <c r="W58" i="4" s="1"/>
  <c r="O62" i="4"/>
  <c r="N62" i="4"/>
  <c r="L63" i="4"/>
  <c r="F62" i="4"/>
  <c r="V58" i="4" l="1"/>
  <c r="T59" i="4"/>
  <c r="W59" i="4" s="1"/>
  <c r="O63" i="4"/>
  <c r="N63" i="4"/>
  <c r="L64" i="4"/>
  <c r="D63" i="4"/>
  <c r="G63" i="4" s="1"/>
  <c r="V59" i="4" l="1"/>
  <c r="O64" i="4"/>
  <c r="N64" i="4"/>
  <c r="F63" i="4"/>
  <c r="T60" i="4" l="1"/>
  <c r="W60" i="4" s="1"/>
  <c r="L65" i="4"/>
  <c r="D64" i="4"/>
  <c r="G64" i="4" s="1"/>
  <c r="F64" i="4"/>
  <c r="D65" i="4" s="1"/>
  <c r="G65" i="4" s="1"/>
  <c r="V60" i="4" l="1"/>
  <c r="T61" i="4" s="1"/>
  <c r="W61" i="4" s="1"/>
  <c r="O65" i="4"/>
  <c r="N65" i="4"/>
  <c r="F65" i="4"/>
  <c r="V61" i="4" l="1"/>
  <c r="L66" i="4"/>
  <c r="D66" i="4"/>
  <c r="G66" i="4" s="1"/>
  <c r="T62" i="4" l="1"/>
  <c r="W62" i="4" s="1"/>
  <c r="O66" i="4"/>
  <c r="N66" i="4"/>
  <c r="L67" i="4"/>
  <c r="F66" i="4"/>
  <c r="V62" i="4" l="1"/>
  <c r="O67" i="4"/>
  <c r="N67" i="4"/>
  <c r="L68" i="4" s="1"/>
  <c r="D67" i="4"/>
  <c r="G67" i="4" s="1"/>
  <c r="T63" i="4" l="1"/>
  <c r="W63" i="4" s="1"/>
  <c r="O68" i="4"/>
  <c r="N68" i="4"/>
  <c r="L69" i="4" s="1"/>
  <c r="F67" i="4"/>
  <c r="V63" i="4" l="1"/>
  <c r="O69" i="4"/>
  <c r="N69" i="4"/>
  <c r="L70" i="4"/>
  <c r="D68" i="4"/>
  <c r="G68" i="4" s="1"/>
  <c r="T64" i="4" l="1"/>
  <c r="W64" i="4" s="1"/>
  <c r="O70" i="4"/>
  <c r="N70" i="4"/>
  <c r="F68" i="4"/>
  <c r="V64" i="4" l="1"/>
  <c r="L71" i="4"/>
  <c r="D69" i="4"/>
  <c r="G69" i="4" s="1"/>
  <c r="T65" i="4" l="1"/>
  <c r="W65" i="4" s="1"/>
  <c r="O71" i="4"/>
  <c r="N71" i="4"/>
  <c r="F69" i="4"/>
  <c r="V65" i="4" l="1"/>
  <c r="D70" i="4"/>
  <c r="G70" i="4" s="1"/>
  <c r="T66" i="4" l="1"/>
  <c r="W66" i="4" s="1"/>
  <c r="F70" i="4"/>
  <c r="D71" i="4" s="1"/>
  <c r="V66" i="4" l="1"/>
  <c r="T67" i="4"/>
  <c r="W67" i="4" s="1"/>
  <c r="G71" i="4"/>
  <c r="F71" i="4"/>
  <c r="V67" i="4" l="1"/>
  <c r="B26" i="4"/>
  <c r="B28" i="4"/>
  <c r="T68" i="4" l="1"/>
  <c r="B29" i="4"/>
  <c r="V68" i="4" l="1"/>
  <c r="W68" i="4"/>
  <c r="T69" i="4" s="1"/>
  <c r="V69" i="4" l="1"/>
  <c r="W69" i="4"/>
  <c r="T70" i="4"/>
  <c r="W70" i="4" s="1"/>
  <c r="V70" i="4" l="1"/>
  <c r="T71" i="4" s="1"/>
  <c r="W71" i="4" l="1"/>
  <c r="V71" i="4"/>
</calcChain>
</file>

<file path=xl/sharedStrings.xml><?xml version="1.0" encoding="utf-8"?>
<sst xmlns="http://schemas.openxmlformats.org/spreadsheetml/2006/main" count="117" uniqueCount="70">
  <si>
    <t>Period</t>
  </si>
  <si>
    <t>Week</t>
  </si>
  <si>
    <t>Demand (t)</t>
  </si>
  <si>
    <t>8 - point moving average</t>
  </si>
  <si>
    <t>Weighted Moving Average</t>
  </si>
  <si>
    <t>Weights</t>
  </si>
  <si>
    <t>Total</t>
  </si>
  <si>
    <t>alpha</t>
  </si>
  <si>
    <t>Exponential Smoothing</t>
  </si>
  <si>
    <t>Error MA</t>
  </si>
  <si>
    <t>Error WAM</t>
  </si>
  <si>
    <t>Error SES</t>
  </si>
  <si>
    <t>Absolute Error MA</t>
  </si>
  <si>
    <t>Absolute Error WAM</t>
  </si>
  <si>
    <t>Squared Error MA</t>
  </si>
  <si>
    <t>Squared Error WAM</t>
  </si>
  <si>
    <t>Squared Error SES</t>
  </si>
  <si>
    <t>Absolute Error SES</t>
  </si>
  <si>
    <t>Absolute Percentage MA</t>
  </si>
  <si>
    <t>Absolute Percentage WAM</t>
  </si>
  <si>
    <t>Absolute Percentage SES</t>
  </si>
  <si>
    <t>Moving Average</t>
  </si>
  <si>
    <t>MAE</t>
  </si>
  <si>
    <t>MSE</t>
  </si>
  <si>
    <t>RMSE</t>
  </si>
  <si>
    <t>MAPE</t>
  </si>
  <si>
    <t>Forecast(Demand (t))</t>
  </si>
  <si>
    <t>Lower Confidence Bound(Demand (t))</t>
  </si>
  <si>
    <t>Upper Confidence Bound(Demand (t))</t>
  </si>
  <si>
    <t>Statistic</t>
  </si>
  <si>
    <t>Value</t>
  </si>
  <si>
    <t>Alpha</t>
  </si>
  <si>
    <t>Beta</t>
  </si>
  <si>
    <t>Gamma</t>
  </si>
  <si>
    <t>MASE</t>
  </si>
  <si>
    <t>SMAPE</t>
  </si>
  <si>
    <t>Unit Cost</t>
  </si>
  <si>
    <t>Shortage Cost</t>
  </si>
  <si>
    <t>Holding Cost</t>
  </si>
  <si>
    <t>Annual Demand</t>
  </si>
  <si>
    <t>Days per year</t>
  </si>
  <si>
    <t xml:space="preserve">lead time </t>
  </si>
  <si>
    <t>Demand per day</t>
  </si>
  <si>
    <t xml:space="preserve">reorder point </t>
  </si>
  <si>
    <t>Unit Holding Cost (Ch)</t>
  </si>
  <si>
    <t>Unit Ordering Cost (Co)</t>
  </si>
  <si>
    <t>EOQ</t>
  </si>
  <si>
    <t>reorder at expected demand</t>
  </si>
  <si>
    <t>reorder for level of service</t>
  </si>
  <si>
    <t>p stock out</t>
  </si>
  <si>
    <t>p no stock out</t>
  </si>
  <si>
    <t>safety stock</t>
  </si>
  <si>
    <t>reorder for uncertainty</t>
  </si>
  <si>
    <t>Mean</t>
  </si>
  <si>
    <t>Std Dev</t>
  </si>
  <si>
    <t>Median</t>
  </si>
  <si>
    <t>mean</t>
  </si>
  <si>
    <t>Standard Deviation</t>
  </si>
  <si>
    <t>For 95% CSL</t>
  </si>
  <si>
    <t>Annual Ordering Cost</t>
  </si>
  <si>
    <t>Shortage cost</t>
  </si>
  <si>
    <t>Total Annual Cost</t>
  </si>
  <si>
    <t>Annual Holding Cost</t>
  </si>
  <si>
    <t>Opening Stock</t>
  </si>
  <si>
    <t xml:space="preserve">Forecasted Demand </t>
  </si>
  <si>
    <t>Ending Stock</t>
  </si>
  <si>
    <t>Order</t>
  </si>
  <si>
    <t>-</t>
  </si>
  <si>
    <t>For 99% CSL</t>
  </si>
  <si>
    <t>For 99.9% CSL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</si>
</sst>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-&quot;$&quot;* #,##0.00_-;\-&quot;$&quot;* #,##0.00_-;_-&quot;$&quot;* &quot;-&quot;??_-;_-@_-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ashed">
        <color rgb="FF000000"/>
      </top>
      <bottom/>
      <diagonal/>
    </border>
    <border>
      <left style="dashed">
        <color indexed="64"/>
      </left>
      <right style="dashed">
        <color indexed="64"/>
      </right>
      <top style="dashed">
        <color rgb="FF000000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/>
    <xf numFmtId="14" fontId="0" fillId="3" borderId="4" xfId="0" applyNumberFormat="1" applyFill="1" applyBorder="1"/>
    <xf numFmtId="164" fontId="0" fillId="3" borderId="4" xfId="0" applyNumberFormat="1" applyFill="1" applyBorder="1"/>
    <xf numFmtId="0" fontId="0" fillId="3" borderId="5" xfId="0" applyFill="1" applyBorder="1"/>
    <xf numFmtId="14" fontId="0" fillId="3" borderId="6" xfId="0" applyNumberFormat="1" applyFill="1" applyBorder="1"/>
    <xf numFmtId="164" fontId="0" fillId="3" borderId="6" xfId="0" applyNumberFormat="1" applyFill="1" applyBorder="1"/>
    <xf numFmtId="0" fontId="0" fillId="3" borderId="7" xfId="0" applyFill="1" applyBorder="1"/>
    <xf numFmtId="14" fontId="0" fillId="3" borderId="8" xfId="0" applyNumberFormat="1" applyFill="1" applyBorder="1"/>
    <xf numFmtId="164" fontId="0" fillId="3" borderId="8" xfId="0" applyNumberFormat="1" applyFill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5" xfId="1" applyNumberFormat="1" applyFont="1" applyBorder="1"/>
    <xf numFmtId="166" fontId="0" fillId="0" borderId="16" xfId="1" applyNumberFormat="1" applyFont="1" applyBorder="1"/>
    <xf numFmtId="166" fontId="0" fillId="0" borderId="17" xfId="1" applyNumberFormat="1" applyFont="1" applyBorder="1"/>
    <xf numFmtId="0" fontId="1" fillId="2" borderId="0" xfId="0" applyFont="1" applyFill="1" applyAlignment="1">
      <alignment horizontal="center" wrapText="1"/>
    </xf>
    <xf numFmtId="14" fontId="0" fillId="0" borderId="0" xfId="0" applyNumberFormat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4" fontId="0" fillId="0" borderId="0" xfId="0" applyNumberFormat="1"/>
    <xf numFmtId="0" fontId="4" fillId="0" borderId="0" xfId="0" applyFont="1"/>
    <xf numFmtId="0" fontId="3" fillId="0" borderId="11" xfId="0" applyFont="1" applyBorder="1"/>
    <xf numFmtId="0" fontId="0" fillId="5" borderId="12" xfId="0" applyFill="1" applyBorder="1"/>
    <xf numFmtId="0" fontId="0" fillId="0" borderId="13" xfId="0" applyBorder="1"/>
    <xf numFmtId="0" fontId="3" fillId="0" borderId="9" xfId="0" applyFont="1" applyBorder="1"/>
    <xf numFmtId="0" fontId="3" fillId="0" borderId="0" xfId="0" applyFont="1"/>
    <xf numFmtId="0" fontId="0" fillId="4" borderId="12" xfId="0" applyFill="1" applyBorder="1"/>
    <xf numFmtId="9" fontId="0" fillId="4" borderId="12" xfId="0" applyNumberFormat="1" applyFill="1" applyBorder="1"/>
    <xf numFmtId="1" fontId="0" fillId="4" borderId="12" xfId="0" applyNumberFormat="1" applyFill="1" applyBorder="1"/>
    <xf numFmtId="2" fontId="0" fillId="4" borderId="12" xfId="0" applyNumberFormat="1" applyFill="1" applyBorder="1"/>
    <xf numFmtId="0" fontId="0" fillId="5" borderId="10" xfId="0" applyFill="1" applyBorder="1"/>
    <xf numFmtId="2" fontId="0" fillId="5" borderId="12" xfId="2" applyNumberFormat="1" applyFont="1" applyFill="1" applyBorder="1"/>
    <xf numFmtId="2" fontId="0" fillId="5" borderId="12" xfId="0" applyNumberFormat="1" applyFill="1" applyBorder="1"/>
    <xf numFmtId="2" fontId="0" fillId="5" borderId="14" xfId="0" applyNumberFormat="1" applyFill="1" applyBorder="1"/>
    <xf numFmtId="0" fontId="3" fillId="0" borderId="13" xfId="0" applyFont="1" applyBorder="1"/>
    <xf numFmtId="0" fontId="0" fillId="5" borderId="14" xfId="0" applyFill="1" applyBorder="1"/>
    <xf numFmtId="10" fontId="0" fillId="4" borderId="12" xfId="0" applyNumberFormat="1" applyFill="1" applyBorder="1"/>
    <xf numFmtId="2" fontId="0" fillId="4" borderId="10" xfId="0" applyNumberFormat="1" applyFill="1" applyBorder="1"/>
    <xf numFmtId="0" fontId="0" fillId="0" borderId="9" xfId="0" applyBorder="1"/>
    <xf numFmtId="0" fontId="1" fillId="2" borderId="18" xfId="0" applyFont="1" applyFill="1" applyBorder="1" applyAlignment="1">
      <alignment horizontal="center"/>
    </xf>
    <xf numFmtId="165" fontId="0" fillId="0" borderId="0" xfId="0" applyNumberFormat="1" applyAlignment="1">
      <alignment horizontal="right"/>
    </xf>
    <xf numFmtId="164" fontId="0" fillId="0" borderId="19" xfId="0" applyNumberFormat="1" applyBorder="1"/>
    <xf numFmtId="165" fontId="0" fillId="0" borderId="19" xfId="0" applyNumberFormat="1" applyBorder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0" fontId="0" fillId="3" borderId="19" xfId="0" applyFill="1" applyBorder="1"/>
    <xf numFmtId="14" fontId="0" fillId="3" borderId="19" xfId="0" applyNumberFormat="1" applyFill="1" applyBorder="1"/>
    <xf numFmtId="164" fontId="0" fillId="3" borderId="19" xfId="0" applyNumberFormat="1" applyFill="1" applyBorder="1"/>
    <xf numFmtId="44" fontId="0" fillId="5" borderId="10" xfId="4" applyFont="1" applyFill="1" applyBorder="1"/>
    <xf numFmtId="44" fontId="0" fillId="5" borderId="12" xfId="4" applyFont="1" applyFill="1" applyBorder="1"/>
    <xf numFmtId="44" fontId="4" fillId="5" borderId="14" xfId="0" applyNumberFormat="1" applyFont="1" applyFill="1" applyBorder="1"/>
    <xf numFmtId="0" fontId="0" fillId="3" borderId="11" xfId="0" applyFill="1" applyBorder="1"/>
    <xf numFmtId="0" fontId="0" fillId="3" borderId="13" xfId="0" applyFill="1" applyBorder="1"/>
    <xf numFmtId="168" fontId="0" fillId="4" borderId="12" xfId="0" applyNumberFormat="1" applyFill="1" applyBorder="1"/>
    <xf numFmtId="168" fontId="0" fillId="4" borderId="10" xfId="0" applyNumberForma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</cellXfs>
  <cellStyles count="5">
    <cellStyle name="Comma" xfId="1" builtinId="3"/>
    <cellStyle name="Currency" xfId="4" builtinId="4"/>
    <cellStyle name="Currency 2" xfId="3" xr:uid="{ADF7A60F-DD1C-41AF-9C81-6A2FE01613F9}"/>
    <cellStyle name="Normal" xfId="0" builtinId="0"/>
    <cellStyle name="Percent" xfId="2" builtinId="5"/>
  </cellStyles>
  <dxfs count="5">
    <dxf>
      <numFmt numFmtId="4" formatCode="#,##0.00"/>
    </dxf>
    <dxf>
      <numFmt numFmtId="164" formatCode="#,##0.0"/>
    </dxf>
    <dxf>
      <numFmt numFmtId="164" formatCode="#,##0.0"/>
    </dxf>
    <dxf>
      <numFmt numFmtId="164" formatCode="#,##0.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 (auto generated)'!$B$1</c:f>
              <c:strCache>
                <c:ptCount val="1"/>
                <c:pt idx="0">
                  <c:v>Demand 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 (auto generated)'!$B$2:$B$50</c:f>
              <c:numCache>
                <c:formatCode>#,##0.0</c:formatCode>
                <c:ptCount val="49"/>
                <c:pt idx="0">
                  <c:v>300.322</c:v>
                </c:pt>
                <c:pt idx="1">
                  <c:v>271.99199999999996</c:v>
                </c:pt>
                <c:pt idx="2">
                  <c:v>442.43499999999995</c:v>
                </c:pt>
                <c:pt idx="3">
                  <c:v>266.86099999999993</c:v>
                </c:pt>
                <c:pt idx="4">
                  <c:v>345.49199999999996</c:v>
                </c:pt>
                <c:pt idx="5">
                  <c:v>210</c:v>
                </c:pt>
                <c:pt idx="6">
                  <c:v>389.303</c:v>
                </c:pt>
                <c:pt idx="7">
                  <c:v>399.76599999999996</c:v>
                </c:pt>
                <c:pt idx="8">
                  <c:v>492.44599999999997</c:v>
                </c:pt>
                <c:pt idx="9">
                  <c:v>740</c:v>
                </c:pt>
                <c:pt idx="10">
                  <c:v>442.8245</c:v>
                </c:pt>
                <c:pt idx="11">
                  <c:v>561.22949999999992</c:v>
                </c:pt>
                <c:pt idx="12">
                  <c:v>465.17099999999999</c:v>
                </c:pt>
                <c:pt idx="13">
                  <c:v>631.76249999999993</c:v>
                </c:pt>
                <c:pt idx="14">
                  <c:v>422.72049999999996</c:v>
                </c:pt>
                <c:pt idx="15">
                  <c:v>433.69350000000003</c:v>
                </c:pt>
                <c:pt idx="16">
                  <c:v>599.79399999999998</c:v>
                </c:pt>
                <c:pt idx="17">
                  <c:v>655.98860000000002</c:v>
                </c:pt>
                <c:pt idx="18">
                  <c:v>722.21949999999993</c:v>
                </c:pt>
                <c:pt idx="19">
                  <c:v>619.43150000000003</c:v>
                </c:pt>
                <c:pt idx="20">
                  <c:v>763.351</c:v>
                </c:pt>
                <c:pt idx="21">
                  <c:v>621.17999999999995</c:v>
                </c:pt>
                <c:pt idx="22">
                  <c:v>738.29699999999991</c:v>
                </c:pt>
                <c:pt idx="23">
                  <c:v>851.45799999999997</c:v>
                </c:pt>
                <c:pt idx="24">
                  <c:v>901.44500000000005</c:v>
                </c:pt>
                <c:pt idx="25">
                  <c:v>899.22500000000002</c:v>
                </c:pt>
                <c:pt idx="26">
                  <c:v>608.88599999999997</c:v>
                </c:pt>
                <c:pt idx="27">
                  <c:v>720.44100000000003</c:v>
                </c:pt>
                <c:pt idx="28">
                  <c:v>757.4670000000001</c:v>
                </c:pt>
                <c:pt idx="29">
                  <c:v>776.27</c:v>
                </c:pt>
                <c:pt idx="30">
                  <c:v>912.07999999999993</c:v>
                </c:pt>
                <c:pt idx="31">
                  <c:v>736.30000000000007</c:v>
                </c:pt>
                <c:pt idx="32">
                  <c:v>849.06000000000006</c:v>
                </c:pt>
                <c:pt idx="33">
                  <c:v>843.55700000000002</c:v>
                </c:pt>
                <c:pt idx="34">
                  <c:v>726.99000000000012</c:v>
                </c:pt>
                <c:pt idx="35">
                  <c:v>820.97399999999993</c:v>
                </c:pt>
                <c:pt idx="36">
                  <c:v>767.37100000000009</c:v>
                </c:pt>
                <c:pt idx="37">
                  <c:v>886.46800000000007</c:v>
                </c:pt>
                <c:pt idx="38">
                  <c:v>902.46799999999996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0-4ACF-9258-A440502B30E3}"/>
            </c:ext>
          </c:extLst>
        </c:ser>
        <c:ser>
          <c:idx val="1"/>
          <c:order val="1"/>
          <c:tx>
            <c:strRef>
              <c:f>'forecast sheet (auto generated)'!$C$1</c:f>
              <c:strCache>
                <c:ptCount val="1"/>
                <c:pt idx="0">
                  <c:v>Forecast(Demand (t))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(auto generated)'!$A$2:$A$50</c:f>
              <c:numCache>
                <c:formatCode>m/d/yyyy</c:formatCode>
                <c:ptCount val="49"/>
                <c:pt idx="0">
                  <c:v>44774</c:v>
                </c:pt>
                <c:pt idx="1">
                  <c:v>44781</c:v>
                </c:pt>
                <c:pt idx="2">
                  <c:v>44788</c:v>
                </c:pt>
                <c:pt idx="3">
                  <c:v>44795</c:v>
                </c:pt>
                <c:pt idx="4">
                  <c:v>44802</c:v>
                </c:pt>
                <c:pt idx="5">
                  <c:v>44809</c:v>
                </c:pt>
                <c:pt idx="6">
                  <c:v>44816</c:v>
                </c:pt>
                <c:pt idx="7">
                  <c:v>44823</c:v>
                </c:pt>
                <c:pt idx="8">
                  <c:v>44830</c:v>
                </c:pt>
                <c:pt idx="9">
                  <c:v>44837</c:v>
                </c:pt>
                <c:pt idx="10">
                  <c:v>44844</c:v>
                </c:pt>
                <c:pt idx="11">
                  <c:v>44851</c:v>
                </c:pt>
                <c:pt idx="12">
                  <c:v>44858</c:v>
                </c:pt>
                <c:pt idx="13">
                  <c:v>44865</c:v>
                </c:pt>
                <c:pt idx="14">
                  <c:v>44872</c:v>
                </c:pt>
                <c:pt idx="15">
                  <c:v>44879</c:v>
                </c:pt>
                <c:pt idx="16">
                  <c:v>44886</c:v>
                </c:pt>
                <c:pt idx="17">
                  <c:v>44893</c:v>
                </c:pt>
                <c:pt idx="18">
                  <c:v>44900</c:v>
                </c:pt>
                <c:pt idx="19">
                  <c:v>44907</c:v>
                </c:pt>
                <c:pt idx="20">
                  <c:v>44914</c:v>
                </c:pt>
                <c:pt idx="21">
                  <c:v>44921</c:v>
                </c:pt>
                <c:pt idx="22">
                  <c:v>44928</c:v>
                </c:pt>
                <c:pt idx="23">
                  <c:v>44935</c:v>
                </c:pt>
                <c:pt idx="24">
                  <c:v>44942</c:v>
                </c:pt>
                <c:pt idx="25">
                  <c:v>44949</c:v>
                </c:pt>
                <c:pt idx="26">
                  <c:v>44956</c:v>
                </c:pt>
                <c:pt idx="27">
                  <c:v>44963</c:v>
                </c:pt>
                <c:pt idx="28">
                  <c:v>44970</c:v>
                </c:pt>
                <c:pt idx="29">
                  <c:v>44977</c:v>
                </c:pt>
                <c:pt idx="30">
                  <c:v>44984</c:v>
                </c:pt>
                <c:pt idx="31">
                  <c:v>44991</c:v>
                </c:pt>
                <c:pt idx="32">
                  <c:v>44998</c:v>
                </c:pt>
                <c:pt idx="33">
                  <c:v>45005</c:v>
                </c:pt>
                <c:pt idx="34">
                  <c:v>45012</c:v>
                </c:pt>
                <c:pt idx="35">
                  <c:v>45019</c:v>
                </c:pt>
                <c:pt idx="36">
                  <c:v>45026</c:v>
                </c:pt>
                <c:pt idx="37">
                  <c:v>45033</c:v>
                </c:pt>
                <c:pt idx="38">
                  <c:v>45040</c:v>
                </c:pt>
                <c:pt idx="39">
                  <c:v>45047</c:v>
                </c:pt>
                <c:pt idx="40">
                  <c:v>45054</c:v>
                </c:pt>
                <c:pt idx="41">
                  <c:v>45061</c:v>
                </c:pt>
                <c:pt idx="42">
                  <c:v>45068</c:v>
                </c:pt>
                <c:pt idx="43">
                  <c:v>45075</c:v>
                </c:pt>
                <c:pt idx="44">
                  <c:v>45082</c:v>
                </c:pt>
                <c:pt idx="45">
                  <c:v>45089</c:v>
                </c:pt>
                <c:pt idx="46">
                  <c:v>45096</c:v>
                </c:pt>
                <c:pt idx="47">
                  <c:v>45103</c:v>
                </c:pt>
                <c:pt idx="48">
                  <c:v>45110</c:v>
                </c:pt>
              </c:numCache>
            </c:numRef>
          </c:cat>
          <c:val>
            <c:numRef>
              <c:f>'forecast sheet (auto generated)'!$C$2:$C$50</c:f>
              <c:numCache>
                <c:formatCode>General</c:formatCode>
                <c:ptCount val="49"/>
                <c:pt idx="38" formatCode="#,##0.0">
                  <c:v>902.46799999999996</c:v>
                </c:pt>
                <c:pt idx="39" formatCode="#,##0.0">
                  <c:v>936.10783124836473</c:v>
                </c:pt>
                <c:pt idx="40" formatCode="#,##0.0">
                  <c:v>952.72424816468038</c:v>
                </c:pt>
                <c:pt idx="41" formatCode="#,##0.0">
                  <c:v>969.34066508099613</c:v>
                </c:pt>
                <c:pt idx="42" formatCode="#,##0.0">
                  <c:v>985.95708199731189</c:v>
                </c:pt>
                <c:pt idx="43" formatCode="#,##0.0">
                  <c:v>1002.5734989136275</c:v>
                </c:pt>
                <c:pt idx="44" formatCode="#,##0.0">
                  <c:v>1019.1899158299433</c:v>
                </c:pt>
                <c:pt idx="45" formatCode="#,##0.0">
                  <c:v>1035.8063327462589</c:v>
                </c:pt>
                <c:pt idx="46" formatCode="#,##0.0">
                  <c:v>1052.4227496625747</c:v>
                </c:pt>
                <c:pt idx="47" formatCode="#,##0.0">
                  <c:v>1069.0391665788904</c:v>
                </c:pt>
                <c:pt idx="48" formatCode="#,##0.0">
                  <c:v>1085.6555834952062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0-4ACF-9258-A440502B30E3}"/>
            </c:ext>
          </c:extLst>
        </c:ser>
        <c:ser>
          <c:idx val="2"/>
          <c:order val="2"/>
          <c:tx>
            <c:strRef>
              <c:f>'forecast sheet (auto generated)'!$D$1</c:f>
              <c:strCache>
                <c:ptCount val="1"/>
                <c:pt idx="0">
                  <c:v>Lower Confidence Bound(Demand (t))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(auto generated)'!$A$2:$A$50</c:f>
              <c:numCache>
                <c:formatCode>m/d/yyyy</c:formatCode>
                <c:ptCount val="49"/>
                <c:pt idx="0">
                  <c:v>44774</c:v>
                </c:pt>
                <c:pt idx="1">
                  <c:v>44781</c:v>
                </c:pt>
                <c:pt idx="2">
                  <c:v>44788</c:v>
                </c:pt>
                <c:pt idx="3">
                  <c:v>44795</c:v>
                </c:pt>
                <c:pt idx="4">
                  <c:v>44802</c:v>
                </c:pt>
                <c:pt idx="5">
                  <c:v>44809</c:v>
                </c:pt>
                <c:pt idx="6">
                  <c:v>44816</c:v>
                </c:pt>
                <c:pt idx="7">
                  <c:v>44823</c:v>
                </c:pt>
                <c:pt idx="8">
                  <c:v>44830</c:v>
                </c:pt>
                <c:pt idx="9">
                  <c:v>44837</c:v>
                </c:pt>
                <c:pt idx="10">
                  <c:v>44844</c:v>
                </c:pt>
                <c:pt idx="11">
                  <c:v>44851</c:v>
                </c:pt>
                <c:pt idx="12">
                  <c:v>44858</c:v>
                </c:pt>
                <c:pt idx="13">
                  <c:v>44865</c:v>
                </c:pt>
                <c:pt idx="14">
                  <c:v>44872</c:v>
                </c:pt>
                <c:pt idx="15">
                  <c:v>44879</c:v>
                </c:pt>
                <c:pt idx="16">
                  <c:v>44886</c:v>
                </c:pt>
                <c:pt idx="17">
                  <c:v>44893</c:v>
                </c:pt>
                <c:pt idx="18">
                  <c:v>44900</c:v>
                </c:pt>
                <c:pt idx="19">
                  <c:v>44907</c:v>
                </c:pt>
                <c:pt idx="20">
                  <c:v>44914</c:v>
                </c:pt>
                <c:pt idx="21">
                  <c:v>44921</c:v>
                </c:pt>
                <c:pt idx="22">
                  <c:v>44928</c:v>
                </c:pt>
                <c:pt idx="23">
                  <c:v>44935</c:v>
                </c:pt>
                <c:pt idx="24">
                  <c:v>44942</c:v>
                </c:pt>
                <c:pt idx="25">
                  <c:v>44949</c:v>
                </c:pt>
                <c:pt idx="26">
                  <c:v>44956</c:v>
                </c:pt>
                <c:pt idx="27">
                  <c:v>44963</c:v>
                </c:pt>
                <c:pt idx="28">
                  <c:v>44970</c:v>
                </c:pt>
                <c:pt idx="29">
                  <c:v>44977</c:v>
                </c:pt>
                <c:pt idx="30">
                  <c:v>44984</c:v>
                </c:pt>
                <c:pt idx="31">
                  <c:v>44991</c:v>
                </c:pt>
                <c:pt idx="32">
                  <c:v>44998</c:v>
                </c:pt>
                <c:pt idx="33">
                  <c:v>45005</c:v>
                </c:pt>
                <c:pt idx="34">
                  <c:v>45012</c:v>
                </c:pt>
                <c:pt idx="35">
                  <c:v>45019</c:v>
                </c:pt>
                <c:pt idx="36">
                  <c:v>45026</c:v>
                </c:pt>
                <c:pt idx="37">
                  <c:v>45033</c:v>
                </c:pt>
                <c:pt idx="38">
                  <c:v>45040</c:v>
                </c:pt>
                <c:pt idx="39">
                  <c:v>45047</c:v>
                </c:pt>
                <c:pt idx="40">
                  <c:v>45054</c:v>
                </c:pt>
                <c:pt idx="41">
                  <c:v>45061</c:v>
                </c:pt>
                <c:pt idx="42">
                  <c:v>45068</c:v>
                </c:pt>
                <c:pt idx="43">
                  <c:v>45075</c:v>
                </c:pt>
                <c:pt idx="44">
                  <c:v>45082</c:v>
                </c:pt>
                <c:pt idx="45">
                  <c:v>45089</c:v>
                </c:pt>
                <c:pt idx="46">
                  <c:v>45096</c:v>
                </c:pt>
                <c:pt idx="47">
                  <c:v>45103</c:v>
                </c:pt>
                <c:pt idx="48">
                  <c:v>45110</c:v>
                </c:pt>
              </c:numCache>
            </c:numRef>
          </c:cat>
          <c:val>
            <c:numRef>
              <c:f>'forecast sheet (auto generated)'!$D$2:$D$50</c:f>
              <c:numCache>
                <c:formatCode>General</c:formatCode>
                <c:ptCount val="49"/>
                <c:pt idx="38" formatCode="#,##0.0">
                  <c:v>902.46799999999996</c:v>
                </c:pt>
                <c:pt idx="39" formatCode="#,##0.0">
                  <c:v>729.15767414528159</c:v>
                </c:pt>
                <c:pt idx="40" formatCode="#,##0.0">
                  <c:v>745.77315978798561</c:v>
                </c:pt>
                <c:pt idx="41" formatCode="#,##0.0">
                  <c:v>762.387921117117</c:v>
                </c:pt>
                <c:pt idx="42" formatCode="#,##0.0">
                  <c:v>779.00175120497147</c:v>
                </c:pt>
                <c:pt idx="43" formatCode="#,##0.0">
                  <c:v>795.61444314510607</c:v>
                </c:pt>
                <c:pt idx="44" formatCode="#,##0.0">
                  <c:v>812.22579006268211</c:v>
                </c:pt>
                <c:pt idx="45" formatCode="#,##0.0">
                  <c:v>828.83558512687114</c:v>
                </c:pt>
                <c:pt idx="46" formatCode="#,##0.0">
                  <c:v>845.44362156532475</c:v>
                </c:pt>
                <c:pt idx="47" formatCode="#,##0.0">
                  <c:v>862.0496926806984</c:v>
                </c:pt>
                <c:pt idx="48" formatCode="#,##0.0">
                  <c:v>878.65359186922967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0-4ACF-9258-A440502B30E3}"/>
            </c:ext>
          </c:extLst>
        </c:ser>
        <c:ser>
          <c:idx val="3"/>
          <c:order val="3"/>
          <c:tx>
            <c:strRef>
              <c:f>'forecast sheet (auto generated)'!$E$1</c:f>
              <c:strCache>
                <c:ptCount val="1"/>
                <c:pt idx="0">
                  <c:v>Upper Confidence Bound(Demand (t))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(auto generated)'!$A$2:$A$50</c:f>
              <c:numCache>
                <c:formatCode>m/d/yyyy</c:formatCode>
                <c:ptCount val="49"/>
                <c:pt idx="0">
                  <c:v>44774</c:v>
                </c:pt>
                <c:pt idx="1">
                  <c:v>44781</c:v>
                </c:pt>
                <c:pt idx="2">
                  <c:v>44788</c:v>
                </c:pt>
                <c:pt idx="3">
                  <c:v>44795</c:v>
                </c:pt>
                <c:pt idx="4">
                  <c:v>44802</c:v>
                </c:pt>
                <c:pt idx="5">
                  <c:v>44809</c:v>
                </c:pt>
                <c:pt idx="6">
                  <c:v>44816</c:v>
                </c:pt>
                <c:pt idx="7">
                  <c:v>44823</c:v>
                </c:pt>
                <c:pt idx="8">
                  <c:v>44830</c:v>
                </c:pt>
                <c:pt idx="9">
                  <c:v>44837</c:v>
                </c:pt>
                <c:pt idx="10">
                  <c:v>44844</c:v>
                </c:pt>
                <c:pt idx="11">
                  <c:v>44851</c:v>
                </c:pt>
                <c:pt idx="12">
                  <c:v>44858</c:v>
                </c:pt>
                <c:pt idx="13">
                  <c:v>44865</c:v>
                </c:pt>
                <c:pt idx="14">
                  <c:v>44872</c:v>
                </c:pt>
                <c:pt idx="15">
                  <c:v>44879</c:v>
                </c:pt>
                <c:pt idx="16">
                  <c:v>44886</c:v>
                </c:pt>
                <c:pt idx="17">
                  <c:v>44893</c:v>
                </c:pt>
                <c:pt idx="18">
                  <c:v>44900</c:v>
                </c:pt>
                <c:pt idx="19">
                  <c:v>44907</c:v>
                </c:pt>
                <c:pt idx="20">
                  <c:v>44914</c:v>
                </c:pt>
                <c:pt idx="21">
                  <c:v>44921</c:v>
                </c:pt>
                <c:pt idx="22">
                  <c:v>44928</c:v>
                </c:pt>
                <c:pt idx="23">
                  <c:v>44935</c:v>
                </c:pt>
                <c:pt idx="24">
                  <c:v>44942</c:v>
                </c:pt>
                <c:pt idx="25">
                  <c:v>44949</c:v>
                </c:pt>
                <c:pt idx="26">
                  <c:v>44956</c:v>
                </c:pt>
                <c:pt idx="27">
                  <c:v>44963</c:v>
                </c:pt>
                <c:pt idx="28">
                  <c:v>44970</c:v>
                </c:pt>
                <c:pt idx="29">
                  <c:v>44977</c:v>
                </c:pt>
                <c:pt idx="30">
                  <c:v>44984</c:v>
                </c:pt>
                <c:pt idx="31">
                  <c:v>44991</c:v>
                </c:pt>
                <c:pt idx="32">
                  <c:v>44998</c:v>
                </c:pt>
                <c:pt idx="33">
                  <c:v>45005</c:v>
                </c:pt>
                <c:pt idx="34">
                  <c:v>45012</c:v>
                </c:pt>
                <c:pt idx="35">
                  <c:v>45019</c:v>
                </c:pt>
                <c:pt idx="36">
                  <c:v>45026</c:v>
                </c:pt>
                <c:pt idx="37">
                  <c:v>45033</c:v>
                </c:pt>
                <c:pt idx="38">
                  <c:v>45040</c:v>
                </c:pt>
                <c:pt idx="39">
                  <c:v>45047</c:v>
                </c:pt>
                <c:pt idx="40">
                  <c:v>45054</c:v>
                </c:pt>
                <c:pt idx="41">
                  <c:v>45061</c:v>
                </c:pt>
                <c:pt idx="42">
                  <c:v>45068</c:v>
                </c:pt>
                <c:pt idx="43">
                  <c:v>45075</c:v>
                </c:pt>
                <c:pt idx="44">
                  <c:v>45082</c:v>
                </c:pt>
                <c:pt idx="45">
                  <c:v>45089</c:v>
                </c:pt>
                <c:pt idx="46">
                  <c:v>45096</c:v>
                </c:pt>
                <c:pt idx="47">
                  <c:v>45103</c:v>
                </c:pt>
                <c:pt idx="48">
                  <c:v>45110</c:v>
                </c:pt>
              </c:numCache>
            </c:numRef>
          </c:cat>
          <c:val>
            <c:numRef>
              <c:f>'forecast sheet (auto generated)'!$E$2:$E$50</c:f>
              <c:numCache>
                <c:formatCode>General</c:formatCode>
                <c:ptCount val="49"/>
                <c:pt idx="38" formatCode="#,##0.0">
                  <c:v>902.46799999999996</c:v>
                </c:pt>
                <c:pt idx="39" formatCode="#,##0.0">
                  <c:v>1143.0579883514479</c:v>
                </c:pt>
                <c:pt idx="40" formatCode="#,##0.0">
                  <c:v>1159.6753365413751</c:v>
                </c:pt>
                <c:pt idx="41" formatCode="#,##0.0">
                  <c:v>1176.2934090448753</c:v>
                </c:pt>
                <c:pt idx="42" formatCode="#,##0.0">
                  <c:v>1192.9124127896523</c:v>
                </c:pt>
                <c:pt idx="43" formatCode="#,##0.0">
                  <c:v>1209.5325546821489</c:v>
                </c:pt>
                <c:pt idx="44" formatCode="#,##0.0">
                  <c:v>1226.1540415972045</c:v>
                </c:pt>
                <c:pt idx="45" formatCode="#,##0.0">
                  <c:v>1242.7770803656467</c:v>
                </c:pt>
                <c:pt idx="46" formatCode="#,##0.0">
                  <c:v>1259.4018777598246</c:v>
                </c:pt>
                <c:pt idx="47" formatCode="#,##0.0">
                  <c:v>1276.0286404770825</c:v>
                </c:pt>
                <c:pt idx="48" formatCode="#,##0.0">
                  <c:v>1292.6575751211826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00-4ACF-9258-A440502B3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7696"/>
        <c:axId val="27979136"/>
      </c:lineChart>
      <c:catAx>
        <c:axId val="279776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9136"/>
        <c:crosses val="autoZero"/>
        <c:auto val="1"/>
        <c:lblAlgn val="ctr"/>
        <c:lblOffset val="100"/>
        <c:noMultiLvlLbl val="0"/>
      </c:catAx>
      <c:valAx>
        <c:axId val="279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 (auto generated)'!$B$1</c:f>
              <c:strCache>
                <c:ptCount val="1"/>
                <c:pt idx="0">
                  <c:v>Demand 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 (auto generated)'!$B$2:$B$50</c:f>
              <c:numCache>
                <c:formatCode>#,##0.0</c:formatCode>
                <c:ptCount val="49"/>
                <c:pt idx="0">
                  <c:v>300.322</c:v>
                </c:pt>
                <c:pt idx="1">
                  <c:v>271.99199999999996</c:v>
                </c:pt>
                <c:pt idx="2">
                  <c:v>442.43499999999995</c:v>
                </c:pt>
                <c:pt idx="3">
                  <c:v>266.86099999999993</c:v>
                </c:pt>
                <c:pt idx="4">
                  <c:v>345.49199999999996</c:v>
                </c:pt>
                <c:pt idx="5">
                  <c:v>210</c:v>
                </c:pt>
                <c:pt idx="6">
                  <c:v>389.303</c:v>
                </c:pt>
                <c:pt idx="7">
                  <c:v>399.76599999999996</c:v>
                </c:pt>
                <c:pt idx="8">
                  <c:v>492.44599999999997</c:v>
                </c:pt>
                <c:pt idx="9">
                  <c:v>740</c:v>
                </c:pt>
                <c:pt idx="10">
                  <c:v>442.8245</c:v>
                </c:pt>
                <c:pt idx="11">
                  <c:v>561.22949999999992</c:v>
                </c:pt>
                <c:pt idx="12">
                  <c:v>465.17099999999999</c:v>
                </c:pt>
                <c:pt idx="13">
                  <c:v>631.76249999999993</c:v>
                </c:pt>
                <c:pt idx="14">
                  <c:v>422.72049999999996</c:v>
                </c:pt>
                <c:pt idx="15">
                  <c:v>433.69350000000003</c:v>
                </c:pt>
                <c:pt idx="16">
                  <c:v>599.79399999999998</c:v>
                </c:pt>
                <c:pt idx="17">
                  <c:v>655.98860000000002</c:v>
                </c:pt>
                <c:pt idx="18">
                  <c:v>722.21949999999993</c:v>
                </c:pt>
                <c:pt idx="19">
                  <c:v>619.43150000000003</c:v>
                </c:pt>
                <c:pt idx="20">
                  <c:v>763.351</c:v>
                </c:pt>
                <c:pt idx="21">
                  <c:v>621.17999999999995</c:v>
                </c:pt>
                <c:pt idx="22">
                  <c:v>738.29699999999991</c:v>
                </c:pt>
                <c:pt idx="23">
                  <c:v>851.45799999999997</c:v>
                </c:pt>
                <c:pt idx="24">
                  <c:v>901.44500000000005</c:v>
                </c:pt>
                <c:pt idx="25">
                  <c:v>899.22500000000002</c:v>
                </c:pt>
                <c:pt idx="26">
                  <c:v>608.88599999999997</c:v>
                </c:pt>
                <c:pt idx="27">
                  <c:v>720.44100000000003</c:v>
                </c:pt>
                <c:pt idx="28">
                  <c:v>757.4670000000001</c:v>
                </c:pt>
                <c:pt idx="29">
                  <c:v>776.27</c:v>
                </c:pt>
                <c:pt idx="30">
                  <c:v>912.07999999999993</c:v>
                </c:pt>
                <c:pt idx="31">
                  <c:v>736.30000000000007</c:v>
                </c:pt>
                <c:pt idx="32">
                  <c:v>849.06000000000006</c:v>
                </c:pt>
                <c:pt idx="33">
                  <c:v>843.55700000000002</c:v>
                </c:pt>
                <c:pt idx="34">
                  <c:v>726.99000000000012</c:v>
                </c:pt>
                <c:pt idx="35">
                  <c:v>820.97399999999993</c:v>
                </c:pt>
                <c:pt idx="36">
                  <c:v>767.37100000000009</c:v>
                </c:pt>
                <c:pt idx="37">
                  <c:v>886.46800000000007</c:v>
                </c:pt>
                <c:pt idx="38">
                  <c:v>902.46799999999996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1-49AE-AE38-D03672D77060}"/>
            </c:ext>
          </c:extLst>
        </c:ser>
        <c:ser>
          <c:idx val="1"/>
          <c:order val="1"/>
          <c:tx>
            <c:strRef>
              <c:f>'forecast sheet (auto generated)'!$C$1</c:f>
              <c:strCache>
                <c:ptCount val="1"/>
                <c:pt idx="0">
                  <c:v>Forecast(Demand (t))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(auto generated)'!$A$2:$A$50</c:f>
              <c:numCache>
                <c:formatCode>m/d/yyyy</c:formatCode>
                <c:ptCount val="49"/>
                <c:pt idx="0">
                  <c:v>44774</c:v>
                </c:pt>
                <c:pt idx="1">
                  <c:v>44781</c:v>
                </c:pt>
                <c:pt idx="2">
                  <c:v>44788</c:v>
                </c:pt>
                <c:pt idx="3">
                  <c:v>44795</c:v>
                </c:pt>
                <c:pt idx="4">
                  <c:v>44802</c:v>
                </c:pt>
                <c:pt idx="5">
                  <c:v>44809</c:v>
                </c:pt>
                <c:pt idx="6">
                  <c:v>44816</c:v>
                </c:pt>
                <c:pt idx="7">
                  <c:v>44823</c:v>
                </c:pt>
                <c:pt idx="8">
                  <c:v>44830</c:v>
                </c:pt>
                <c:pt idx="9">
                  <c:v>44837</c:v>
                </c:pt>
                <c:pt idx="10">
                  <c:v>44844</c:v>
                </c:pt>
                <c:pt idx="11">
                  <c:v>44851</c:v>
                </c:pt>
                <c:pt idx="12">
                  <c:v>44858</c:v>
                </c:pt>
                <c:pt idx="13">
                  <c:v>44865</c:v>
                </c:pt>
                <c:pt idx="14">
                  <c:v>44872</c:v>
                </c:pt>
                <c:pt idx="15">
                  <c:v>44879</c:v>
                </c:pt>
                <c:pt idx="16">
                  <c:v>44886</c:v>
                </c:pt>
                <c:pt idx="17">
                  <c:v>44893</c:v>
                </c:pt>
                <c:pt idx="18">
                  <c:v>44900</c:v>
                </c:pt>
                <c:pt idx="19">
                  <c:v>44907</c:v>
                </c:pt>
                <c:pt idx="20">
                  <c:v>44914</c:v>
                </c:pt>
                <c:pt idx="21">
                  <c:v>44921</c:v>
                </c:pt>
                <c:pt idx="22">
                  <c:v>44928</c:v>
                </c:pt>
                <c:pt idx="23">
                  <c:v>44935</c:v>
                </c:pt>
                <c:pt idx="24">
                  <c:v>44942</c:v>
                </c:pt>
                <c:pt idx="25">
                  <c:v>44949</c:v>
                </c:pt>
                <c:pt idx="26">
                  <c:v>44956</c:v>
                </c:pt>
                <c:pt idx="27">
                  <c:v>44963</c:v>
                </c:pt>
                <c:pt idx="28">
                  <c:v>44970</c:v>
                </c:pt>
                <c:pt idx="29">
                  <c:v>44977</c:v>
                </c:pt>
                <c:pt idx="30">
                  <c:v>44984</c:v>
                </c:pt>
                <c:pt idx="31">
                  <c:v>44991</c:v>
                </c:pt>
                <c:pt idx="32">
                  <c:v>44998</c:v>
                </c:pt>
                <c:pt idx="33">
                  <c:v>45005</c:v>
                </c:pt>
                <c:pt idx="34">
                  <c:v>45012</c:v>
                </c:pt>
                <c:pt idx="35">
                  <c:v>45019</c:v>
                </c:pt>
                <c:pt idx="36">
                  <c:v>45026</c:v>
                </c:pt>
                <c:pt idx="37">
                  <c:v>45033</c:v>
                </c:pt>
                <c:pt idx="38">
                  <c:v>45040</c:v>
                </c:pt>
                <c:pt idx="39">
                  <c:v>45047</c:v>
                </c:pt>
                <c:pt idx="40">
                  <c:v>45054</c:v>
                </c:pt>
                <c:pt idx="41">
                  <c:v>45061</c:v>
                </c:pt>
                <c:pt idx="42">
                  <c:v>45068</c:v>
                </c:pt>
                <c:pt idx="43">
                  <c:v>45075</c:v>
                </c:pt>
                <c:pt idx="44">
                  <c:v>45082</c:v>
                </c:pt>
                <c:pt idx="45">
                  <c:v>45089</c:v>
                </c:pt>
                <c:pt idx="46">
                  <c:v>45096</c:v>
                </c:pt>
                <c:pt idx="47">
                  <c:v>45103</c:v>
                </c:pt>
                <c:pt idx="48">
                  <c:v>45110</c:v>
                </c:pt>
              </c:numCache>
            </c:numRef>
          </c:cat>
          <c:val>
            <c:numRef>
              <c:f>'forecast sheet (auto generated)'!$C$2:$C$50</c:f>
              <c:numCache>
                <c:formatCode>General</c:formatCode>
                <c:ptCount val="49"/>
                <c:pt idx="38" formatCode="#,##0.0">
                  <c:v>902.46799999999996</c:v>
                </c:pt>
                <c:pt idx="39" formatCode="#,##0.0">
                  <c:v>936.10783124836473</c:v>
                </c:pt>
                <c:pt idx="40" formatCode="#,##0.0">
                  <c:v>952.72424816468038</c:v>
                </c:pt>
                <c:pt idx="41" formatCode="#,##0.0">
                  <c:v>969.34066508099613</c:v>
                </c:pt>
                <c:pt idx="42" formatCode="#,##0.0">
                  <c:v>985.95708199731189</c:v>
                </c:pt>
                <c:pt idx="43" formatCode="#,##0.0">
                  <c:v>1002.5734989136275</c:v>
                </c:pt>
                <c:pt idx="44" formatCode="#,##0.0">
                  <c:v>1019.1899158299433</c:v>
                </c:pt>
                <c:pt idx="45" formatCode="#,##0.0">
                  <c:v>1035.8063327462589</c:v>
                </c:pt>
                <c:pt idx="46" formatCode="#,##0.0">
                  <c:v>1052.4227496625747</c:v>
                </c:pt>
                <c:pt idx="47" formatCode="#,##0.0">
                  <c:v>1069.0391665788904</c:v>
                </c:pt>
                <c:pt idx="48" formatCode="#,##0.0">
                  <c:v>1085.6555834952062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1-49AE-AE38-D03672D77060}"/>
            </c:ext>
          </c:extLst>
        </c:ser>
        <c:ser>
          <c:idx val="2"/>
          <c:order val="2"/>
          <c:tx>
            <c:strRef>
              <c:f>'forecast sheet (auto generated)'!$D$1</c:f>
              <c:strCache>
                <c:ptCount val="1"/>
                <c:pt idx="0">
                  <c:v>Lower Confidence Bound(Demand (t))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(auto generated)'!$A$2:$A$50</c:f>
              <c:numCache>
                <c:formatCode>m/d/yyyy</c:formatCode>
                <c:ptCount val="49"/>
                <c:pt idx="0">
                  <c:v>44774</c:v>
                </c:pt>
                <c:pt idx="1">
                  <c:v>44781</c:v>
                </c:pt>
                <c:pt idx="2">
                  <c:v>44788</c:v>
                </c:pt>
                <c:pt idx="3">
                  <c:v>44795</c:v>
                </c:pt>
                <c:pt idx="4">
                  <c:v>44802</c:v>
                </c:pt>
                <c:pt idx="5">
                  <c:v>44809</c:v>
                </c:pt>
                <c:pt idx="6">
                  <c:v>44816</c:v>
                </c:pt>
                <c:pt idx="7">
                  <c:v>44823</c:v>
                </c:pt>
                <c:pt idx="8">
                  <c:v>44830</c:v>
                </c:pt>
                <c:pt idx="9">
                  <c:v>44837</c:v>
                </c:pt>
                <c:pt idx="10">
                  <c:v>44844</c:v>
                </c:pt>
                <c:pt idx="11">
                  <c:v>44851</c:v>
                </c:pt>
                <c:pt idx="12">
                  <c:v>44858</c:v>
                </c:pt>
                <c:pt idx="13">
                  <c:v>44865</c:v>
                </c:pt>
                <c:pt idx="14">
                  <c:v>44872</c:v>
                </c:pt>
                <c:pt idx="15">
                  <c:v>44879</c:v>
                </c:pt>
                <c:pt idx="16">
                  <c:v>44886</c:v>
                </c:pt>
                <c:pt idx="17">
                  <c:v>44893</c:v>
                </c:pt>
                <c:pt idx="18">
                  <c:v>44900</c:v>
                </c:pt>
                <c:pt idx="19">
                  <c:v>44907</c:v>
                </c:pt>
                <c:pt idx="20">
                  <c:v>44914</c:v>
                </c:pt>
                <c:pt idx="21">
                  <c:v>44921</c:v>
                </c:pt>
                <c:pt idx="22">
                  <c:v>44928</c:v>
                </c:pt>
                <c:pt idx="23">
                  <c:v>44935</c:v>
                </c:pt>
                <c:pt idx="24">
                  <c:v>44942</c:v>
                </c:pt>
                <c:pt idx="25">
                  <c:v>44949</c:v>
                </c:pt>
                <c:pt idx="26">
                  <c:v>44956</c:v>
                </c:pt>
                <c:pt idx="27">
                  <c:v>44963</c:v>
                </c:pt>
                <c:pt idx="28">
                  <c:v>44970</c:v>
                </c:pt>
                <c:pt idx="29">
                  <c:v>44977</c:v>
                </c:pt>
                <c:pt idx="30">
                  <c:v>44984</c:v>
                </c:pt>
                <c:pt idx="31">
                  <c:v>44991</c:v>
                </c:pt>
                <c:pt idx="32">
                  <c:v>44998</c:v>
                </c:pt>
                <c:pt idx="33">
                  <c:v>45005</c:v>
                </c:pt>
                <c:pt idx="34">
                  <c:v>45012</c:v>
                </c:pt>
                <c:pt idx="35">
                  <c:v>45019</c:v>
                </c:pt>
                <c:pt idx="36">
                  <c:v>45026</c:v>
                </c:pt>
                <c:pt idx="37">
                  <c:v>45033</c:v>
                </c:pt>
                <c:pt idx="38">
                  <c:v>45040</c:v>
                </c:pt>
                <c:pt idx="39">
                  <c:v>45047</c:v>
                </c:pt>
                <c:pt idx="40">
                  <c:v>45054</c:v>
                </c:pt>
                <c:pt idx="41">
                  <c:v>45061</c:v>
                </c:pt>
                <c:pt idx="42">
                  <c:v>45068</c:v>
                </c:pt>
                <c:pt idx="43">
                  <c:v>45075</c:v>
                </c:pt>
                <c:pt idx="44">
                  <c:v>45082</c:v>
                </c:pt>
                <c:pt idx="45">
                  <c:v>45089</c:v>
                </c:pt>
                <c:pt idx="46">
                  <c:v>45096</c:v>
                </c:pt>
                <c:pt idx="47">
                  <c:v>45103</c:v>
                </c:pt>
                <c:pt idx="48">
                  <c:v>45110</c:v>
                </c:pt>
              </c:numCache>
            </c:numRef>
          </c:cat>
          <c:val>
            <c:numRef>
              <c:f>'forecast sheet (auto generated)'!$D$2:$D$50</c:f>
              <c:numCache>
                <c:formatCode>General</c:formatCode>
                <c:ptCount val="49"/>
                <c:pt idx="38" formatCode="#,##0.0">
                  <c:v>902.46799999999996</c:v>
                </c:pt>
                <c:pt idx="39" formatCode="#,##0.0">
                  <c:v>729.15767414528159</c:v>
                </c:pt>
                <c:pt idx="40" formatCode="#,##0.0">
                  <c:v>745.77315978798561</c:v>
                </c:pt>
                <c:pt idx="41" formatCode="#,##0.0">
                  <c:v>762.387921117117</c:v>
                </c:pt>
                <c:pt idx="42" formatCode="#,##0.0">
                  <c:v>779.00175120497147</c:v>
                </c:pt>
                <c:pt idx="43" formatCode="#,##0.0">
                  <c:v>795.61444314510607</c:v>
                </c:pt>
                <c:pt idx="44" formatCode="#,##0.0">
                  <c:v>812.22579006268211</c:v>
                </c:pt>
                <c:pt idx="45" formatCode="#,##0.0">
                  <c:v>828.83558512687114</c:v>
                </c:pt>
                <c:pt idx="46" formatCode="#,##0.0">
                  <c:v>845.44362156532475</c:v>
                </c:pt>
                <c:pt idx="47" formatCode="#,##0.0">
                  <c:v>862.0496926806984</c:v>
                </c:pt>
                <c:pt idx="48" formatCode="#,##0.0">
                  <c:v>878.65359186922967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1-49AE-AE38-D03672D77060}"/>
            </c:ext>
          </c:extLst>
        </c:ser>
        <c:ser>
          <c:idx val="3"/>
          <c:order val="3"/>
          <c:tx>
            <c:strRef>
              <c:f>'forecast sheet (auto generated)'!$E$1</c:f>
              <c:strCache>
                <c:ptCount val="1"/>
                <c:pt idx="0">
                  <c:v>Upper Confidence Bound(Demand (t))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(auto generated)'!$A$2:$A$50</c:f>
              <c:numCache>
                <c:formatCode>m/d/yyyy</c:formatCode>
                <c:ptCount val="49"/>
                <c:pt idx="0">
                  <c:v>44774</c:v>
                </c:pt>
                <c:pt idx="1">
                  <c:v>44781</c:v>
                </c:pt>
                <c:pt idx="2">
                  <c:v>44788</c:v>
                </c:pt>
                <c:pt idx="3">
                  <c:v>44795</c:v>
                </c:pt>
                <c:pt idx="4">
                  <c:v>44802</c:v>
                </c:pt>
                <c:pt idx="5">
                  <c:v>44809</c:v>
                </c:pt>
                <c:pt idx="6">
                  <c:v>44816</c:v>
                </c:pt>
                <c:pt idx="7">
                  <c:v>44823</c:v>
                </c:pt>
                <c:pt idx="8">
                  <c:v>44830</c:v>
                </c:pt>
                <c:pt idx="9">
                  <c:v>44837</c:v>
                </c:pt>
                <c:pt idx="10">
                  <c:v>44844</c:v>
                </c:pt>
                <c:pt idx="11">
                  <c:v>44851</c:v>
                </c:pt>
                <c:pt idx="12">
                  <c:v>44858</c:v>
                </c:pt>
                <c:pt idx="13">
                  <c:v>44865</c:v>
                </c:pt>
                <c:pt idx="14">
                  <c:v>44872</c:v>
                </c:pt>
                <c:pt idx="15">
                  <c:v>44879</c:v>
                </c:pt>
                <c:pt idx="16">
                  <c:v>44886</c:v>
                </c:pt>
                <c:pt idx="17">
                  <c:v>44893</c:v>
                </c:pt>
                <c:pt idx="18">
                  <c:v>44900</c:v>
                </c:pt>
                <c:pt idx="19">
                  <c:v>44907</c:v>
                </c:pt>
                <c:pt idx="20">
                  <c:v>44914</c:v>
                </c:pt>
                <c:pt idx="21">
                  <c:v>44921</c:v>
                </c:pt>
                <c:pt idx="22">
                  <c:v>44928</c:v>
                </c:pt>
                <c:pt idx="23">
                  <c:v>44935</c:v>
                </c:pt>
                <c:pt idx="24">
                  <c:v>44942</c:v>
                </c:pt>
                <c:pt idx="25">
                  <c:v>44949</c:v>
                </c:pt>
                <c:pt idx="26">
                  <c:v>44956</c:v>
                </c:pt>
                <c:pt idx="27">
                  <c:v>44963</c:v>
                </c:pt>
                <c:pt idx="28">
                  <c:v>44970</c:v>
                </c:pt>
                <c:pt idx="29">
                  <c:v>44977</c:v>
                </c:pt>
                <c:pt idx="30">
                  <c:v>44984</c:v>
                </c:pt>
                <c:pt idx="31">
                  <c:v>44991</c:v>
                </c:pt>
                <c:pt idx="32">
                  <c:v>44998</c:v>
                </c:pt>
                <c:pt idx="33">
                  <c:v>45005</c:v>
                </c:pt>
                <c:pt idx="34">
                  <c:v>45012</c:v>
                </c:pt>
                <c:pt idx="35">
                  <c:v>45019</c:v>
                </c:pt>
                <c:pt idx="36">
                  <c:v>45026</c:v>
                </c:pt>
                <c:pt idx="37">
                  <c:v>45033</c:v>
                </c:pt>
                <c:pt idx="38">
                  <c:v>45040</c:v>
                </c:pt>
                <c:pt idx="39">
                  <c:v>45047</c:v>
                </c:pt>
                <c:pt idx="40">
                  <c:v>45054</c:v>
                </c:pt>
                <c:pt idx="41">
                  <c:v>45061</c:v>
                </c:pt>
                <c:pt idx="42">
                  <c:v>45068</c:v>
                </c:pt>
                <c:pt idx="43">
                  <c:v>45075</c:v>
                </c:pt>
                <c:pt idx="44">
                  <c:v>45082</c:v>
                </c:pt>
                <c:pt idx="45">
                  <c:v>45089</c:v>
                </c:pt>
                <c:pt idx="46">
                  <c:v>45096</c:v>
                </c:pt>
                <c:pt idx="47">
                  <c:v>45103</c:v>
                </c:pt>
                <c:pt idx="48">
                  <c:v>45110</c:v>
                </c:pt>
              </c:numCache>
            </c:numRef>
          </c:cat>
          <c:val>
            <c:numRef>
              <c:f>'forecast sheet (auto generated)'!$E$2:$E$50</c:f>
              <c:numCache>
                <c:formatCode>General</c:formatCode>
                <c:ptCount val="49"/>
                <c:pt idx="38" formatCode="#,##0.0">
                  <c:v>902.46799999999996</c:v>
                </c:pt>
                <c:pt idx="39" formatCode="#,##0.0">
                  <c:v>1143.0579883514479</c:v>
                </c:pt>
                <c:pt idx="40" formatCode="#,##0.0">
                  <c:v>1159.6753365413751</c:v>
                </c:pt>
                <c:pt idx="41" formatCode="#,##0.0">
                  <c:v>1176.2934090448753</c:v>
                </c:pt>
                <c:pt idx="42" formatCode="#,##0.0">
                  <c:v>1192.9124127896523</c:v>
                </c:pt>
                <c:pt idx="43" formatCode="#,##0.0">
                  <c:v>1209.5325546821489</c:v>
                </c:pt>
                <c:pt idx="44" formatCode="#,##0.0">
                  <c:v>1226.1540415972045</c:v>
                </c:pt>
                <c:pt idx="45" formatCode="#,##0.0">
                  <c:v>1242.7770803656467</c:v>
                </c:pt>
                <c:pt idx="46" formatCode="#,##0.0">
                  <c:v>1259.4018777598246</c:v>
                </c:pt>
                <c:pt idx="47" formatCode="#,##0.0">
                  <c:v>1276.0286404770825</c:v>
                </c:pt>
                <c:pt idx="48" formatCode="#,##0.0">
                  <c:v>1292.6575751211826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1-49AE-AE38-D03672D77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77696"/>
        <c:axId val="27979136"/>
      </c:lineChart>
      <c:catAx>
        <c:axId val="2797769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9136"/>
        <c:crosses val="autoZero"/>
        <c:auto val="1"/>
        <c:lblAlgn val="ctr"/>
        <c:lblOffset val="100"/>
        <c:noMultiLvlLbl val="0"/>
      </c:catAx>
      <c:valAx>
        <c:axId val="279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15240</xdr:colOff>
      <xdr:row>8</xdr:row>
      <xdr:rowOff>60960</xdr:rowOff>
    </xdr:from>
    <xdr:to>
      <xdr:col>34</xdr:col>
      <xdr:colOff>251459</xdr:colOff>
      <xdr:row>24</xdr:row>
      <xdr:rowOff>167639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D2359-F0B4-40C1-8BFB-57ED5688D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152401</xdr:colOff>
      <xdr:row>13</xdr:row>
      <xdr:rowOff>102871</xdr:rowOff>
    </xdr:from>
    <xdr:to>
      <xdr:col>15</xdr:col>
      <xdr:colOff>160021</xdr:colOff>
      <xdr:row>29</xdr:row>
      <xdr:rowOff>129541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753A3-B01C-ECB1-1C8F-8F0E544BF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07036A-2DC5-4A02-BB46-DDE7FB3B3F14}" name="Table2" displayName="Table2" ref="A1:E50" totalsRowShown="0">
  <autoFilter ref="A1:E50" xr:uid="{8107036A-2DC5-4A02-BB46-DDE7FB3B3F14}"/>
  <tableColumns count="5">
    <tableColumn id="1" xr3:uid="{FEBBFF36-20AC-4E9A-BC8E-265FD4CE7452}" name="Week" dataDxfId="4"/>
    <tableColumn id="2" xr3:uid="{271D157C-0EDD-4869-BFC4-538FD5F87E73}" name="Demand (t)"/>
    <tableColumn id="3" xr3:uid="{8395749C-C605-410B-9FDD-F500470B2CD3}" name="Forecast(Demand (t))" dataDxfId="3">
      <calculatedColumnFormula>_xlfn.FORECAST.ETS(A2,$B$2:$B$40,$A$2:$A$40,1,1)</calculatedColumnFormula>
    </tableColumn>
    <tableColumn id="4" xr3:uid="{DFA96161-E106-4E94-8FFA-024F2E994274}" name="Lower Confidence Bound(Demand (t))" dataDxfId="2">
      <calculatedColumnFormula>C2-_xlfn.FORECAST.ETS.CONFINT(A2,$B$2:$B$40,$A$2:$A$40,0.95,1,1)</calculatedColumnFormula>
    </tableColumn>
    <tableColumn id="5" xr3:uid="{0722778E-85B2-480C-8E94-D1011CB75E5B}" name="Upper Confidence Bound(Demand (t))" dataDxfId="1">
      <calculatedColumnFormula>C2+_xlfn.FORECAST.ETS.CONFINT(A2,$B$2:$B$40,$A$2:$A$40,0.95,1,1)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4B0E8C-6B3D-4F2D-8206-03C40BEDA013}" name="Table3" displayName="Table3" ref="G1:H8" totalsRowShown="0">
  <autoFilter ref="G1:H8" xr:uid="{1F4B0E8C-6B3D-4F2D-8206-03C40BEDA013}"/>
  <tableColumns count="2">
    <tableColumn id="1" xr3:uid="{0C1A6CCC-8353-4728-B68C-44514962048E}" name="Statistic"/>
    <tableColumn id="2" xr3:uid="{E51076AB-C836-430F-96CA-9007DD21F4AC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0B5E-407C-4A4E-87AA-2520B4116C22}">
  <sheetPr>
    <pageSetUpPr fitToPage="1"/>
  </sheetPr>
  <dimension ref="A1:AG47"/>
  <sheetViews>
    <sheetView workbookViewId="0">
      <selection activeCell="Z11" sqref="Z11"/>
    </sheetView>
  </sheetViews>
  <sheetFormatPr defaultRowHeight="14.4" x14ac:dyDescent="0.3"/>
  <cols>
    <col min="1" max="1" width="10.109375" customWidth="1"/>
    <col min="2" max="2" width="10.6640625" customWidth="1"/>
    <col min="4" max="4" width="21.33203125" bestFit="1" customWidth="1"/>
    <col min="5" max="5" width="22.5546875" bestFit="1" customWidth="1"/>
    <col min="6" max="6" width="19.88671875" bestFit="1" customWidth="1"/>
    <col min="13" max="13" width="8.33203125" bestFit="1" customWidth="1"/>
    <col min="14" max="14" width="10.109375" bestFit="1" customWidth="1"/>
    <col min="15" max="15" width="8.33203125" bestFit="1" customWidth="1"/>
    <col min="17" max="17" width="16" bestFit="1" customWidth="1"/>
    <col min="18" max="19" width="17.88671875" bestFit="1" customWidth="1"/>
    <col min="21" max="21" width="15.44140625" bestFit="1" customWidth="1"/>
    <col min="22" max="22" width="17.33203125" bestFit="1" customWidth="1"/>
    <col min="23" max="23" width="17.21875" bestFit="1" customWidth="1"/>
    <col min="25" max="25" width="21.109375" bestFit="1" customWidth="1"/>
    <col min="26" max="26" width="23" bestFit="1" customWidth="1"/>
    <col min="27" max="27" width="21.109375" bestFit="1" customWidth="1"/>
    <col min="31" max="31" width="14.109375" bestFit="1" customWidth="1"/>
    <col min="32" max="32" width="22.5546875" bestFit="1" customWidth="1"/>
    <col min="33" max="33" width="19.88671875" bestFit="1" customWidth="1"/>
  </cols>
  <sheetData>
    <row r="1" spans="1:33" ht="33.6" customHeight="1" thickTop="1" thickBot="1" x14ac:dyDescent="0.35">
      <c r="A1" s="1" t="s">
        <v>0</v>
      </c>
      <c r="B1" s="2" t="s">
        <v>1</v>
      </c>
      <c r="C1" s="2" t="s">
        <v>2</v>
      </c>
      <c r="D1" s="12" t="s">
        <v>3</v>
      </c>
      <c r="E1" s="12" t="s">
        <v>4</v>
      </c>
      <c r="F1" s="12" t="s">
        <v>8</v>
      </c>
      <c r="H1" s="64" t="s">
        <v>5</v>
      </c>
      <c r="I1" s="65"/>
      <c r="K1" s="12" t="s">
        <v>7</v>
      </c>
      <c r="M1" s="12" t="s">
        <v>9</v>
      </c>
      <c r="N1" s="12" t="s">
        <v>10</v>
      </c>
      <c r="O1" s="12" t="s">
        <v>11</v>
      </c>
      <c r="Q1" s="12" t="s">
        <v>12</v>
      </c>
      <c r="R1" s="12" t="s">
        <v>13</v>
      </c>
      <c r="S1" s="12" t="s">
        <v>17</v>
      </c>
      <c r="U1" s="12" t="s">
        <v>14</v>
      </c>
      <c r="V1" s="12" t="s">
        <v>15</v>
      </c>
      <c r="W1" s="12" t="s">
        <v>16</v>
      </c>
      <c r="Y1" s="23" t="s">
        <v>18</v>
      </c>
      <c r="Z1" s="12" t="s">
        <v>19</v>
      </c>
      <c r="AA1" s="12" t="s">
        <v>20</v>
      </c>
      <c r="AD1" s="12"/>
      <c r="AE1" s="12" t="s">
        <v>21</v>
      </c>
      <c r="AF1" s="12" t="s">
        <v>4</v>
      </c>
      <c r="AG1" s="12" t="s">
        <v>8</v>
      </c>
    </row>
    <row r="2" spans="1:33" x14ac:dyDescent="0.3">
      <c r="A2" s="3">
        <v>1</v>
      </c>
      <c r="B2" s="4">
        <v>44774</v>
      </c>
      <c r="C2" s="5">
        <v>300.322</v>
      </c>
      <c r="F2" s="13">
        <f>C2</f>
        <v>300.322</v>
      </c>
      <c r="H2" s="16">
        <v>1</v>
      </c>
      <c r="I2" s="17">
        <v>0.2</v>
      </c>
      <c r="K2">
        <v>0.7</v>
      </c>
      <c r="AD2" s="12" t="s">
        <v>22</v>
      </c>
      <c r="AE2" s="20">
        <f>AVERAGE(Q10:Q40)</f>
        <v>105.59972983870964</v>
      </c>
      <c r="AF2" s="20">
        <f>AVERAGE(R10:R40)</f>
        <v>103.80420064516126</v>
      </c>
      <c r="AG2" s="20">
        <f>AVERAGE(S10:S40)</f>
        <v>103.18389522681836</v>
      </c>
    </row>
    <row r="3" spans="1:33" x14ac:dyDescent="0.3">
      <c r="A3" s="6">
        <v>2</v>
      </c>
      <c r="B3" s="7">
        <v>44781</v>
      </c>
      <c r="C3" s="8">
        <v>271.99199999999996</v>
      </c>
      <c r="F3" s="15">
        <f>$K$2*C2+(1-$K$2)*F2</f>
        <v>300.322</v>
      </c>
      <c r="H3" s="16">
        <v>2</v>
      </c>
      <c r="I3" s="17">
        <v>0.1</v>
      </c>
      <c r="AD3" s="12" t="s">
        <v>23</v>
      </c>
      <c r="AE3" s="21">
        <f>AVERAGE(U10:U40)</f>
        <v>17679.742729054542</v>
      </c>
      <c r="AF3" s="21">
        <f>AVERAGE(V10:V40)</f>
        <v>17944.669973872733</v>
      </c>
      <c r="AG3" s="21">
        <f>AVERAGE(W10:W40)</f>
        <v>14993.656989980542</v>
      </c>
    </row>
    <row r="4" spans="1:33" x14ac:dyDescent="0.3">
      <c r="A4" s="6">
        <v>3</v>
      </c>
      <c r="B4" s="7">
        <v>44788</v>
      </c>
      <c r="C4" s="8">
        <v>442.43499999999995</v>
      </c>
      <c r="F4" s="15">
        <f t="shared" ref="F4:F40" si="0">$K$2*C3+(1-$K$2)*F3</f>
        <v>280.49099999999999</v>
      </c>
      <c r="H4" s="16">
        <v>3</v>
      </c>
      <c r="I4" s="17">
        <v>0.02</v>
      </c>
      <c r="AD4" s="12" t="s">
        <v>24</v>
      </c>
      <c r="AE4" s="21">
        <f>SQRT(AE3)</f>
        <v>132.96519367509131</v>
      </c>
      <c r="AF4" s="21">
        <f>SQRT(AF3)</f>
        <v>133.95771711205268</v>
      </c>
      <c r="AG4" s="21">
        <f>SQRT(AG3)</f>
        <v>122.44858917104983</v>
      </c>
    </row>
    <row r="5" spans="1:33" ht="15" thickBot="1" x14ac:dyDescent="0.35">
      <c r="A5" s="6">
        <v>4</v>
      </c>
      <c r="B5" s="7">
        <v>44795</v>
      </c>
      <c r="C5" s="8">
        <v>266.86099999999993</v>
      </c>
      <c r="F5" s="15">
        <f t="shared" si="0"/>
        <v>393.85179999999991</v>
      </c>
      <c r="H5" s="16">
        <v>4</v>
      </c>
      <c r="I5" s="17">
        <v>0.1</v>
      </c>
      <c r="AD5" s="12" t="s">
        <v>25</v>
      </c>
      <c r="AE5" s="22">
        <f>AVERAGE(Y10:Y40)</f>
        <v>15.300906771023687</v>
      </c>
      <c r="AF5" s="22">
        <f>AVERAGE(Z10:Z40)</f>
        <v>14.866928256534212</v>
      </c>
      <c r="AG5" s="22">
        <f>AVERAGE(AA10:AA40)</f>
        <v>15.998418829142562</v>
      </c>
    </row>
    <row r="6" spans="1:33" x14ac:dyDescent="0.3">
      <c r="A6" s="6">
        <v>5</v>
      </c>
      <c r="B6" s="7">
        <v>44802</v>
      </c>
      <c r="C6" s="8">
        <v>345.49199999999996</v>
      </c>
      <c r="F6" s="15">
        <f t="shared" si="0"/>
        <v>304.95823999999993</v>
      </c>
      <c r="H6" s="16">
        <v>5</v>
      </c>
      <c r="I6" s="17">
        <v>0.2</v>
      </c>
    </row>
    <row r="7" spans="1:33" x14ac:dyDescent="0.3">
      <c r="A7" s="6">
        <v>6</v>
      </c>
      <c r="B7" s="7">
        <v>44809</v>
      </c>
      <c r="C7" s="8">
        <v>210</v>
      </c>
      <c r="F7" s="15">
        <f t="shared" si="0"/>
        <v>333.33187199999998</v>
      </c>
      <c r="H7" s="16">
        <v>6</v>
      </c>
      <c r="I7" s="17">
        <v>0.1</v>
      </c>
    </row>
    <row r="8" spans="1:33" x14ac:dyDescent="0.3">
      <c r="A8" s="6">
        <v>7</v>
      </c>
      <c r="B8" s="7">
        <v>44816</v>
      </c>
      <c r="C8" s="8">
        <v>389.303</v>
      </c>
      <c r="F8" s="15">
        <f t="shared" si="0"/>
        <v>246.99956159999999</v>
      </c>
      <c r="H8" s="16">
        <v>7</v>
      </c>
      <c r="I8" s="17">
        <v>0.2</v>
      </c>
    </row>
    <row r="9" spans="1:33" x14ac:dyDescent="0.3">
      <c r="A9" s="6">
        <v>8</v>
      </c>
      <c r="B9" s="7">
        <v>44823</v>
      </c>
      <c r="C9" s="8">
        <v>399.76599999999996</v>
      </c>
      <c r="F9" s="15">
        <f t="shared" si="0"/>
        <v>346.61196847999997</v>
      </c>
      <c r="H9" s="16">
        <v>8</v>
      </c>
      <c r="I9" s="17">
        <v>0.08</v>
      </c>
    </row>
    <row r="10" spans="1:33" x14ac:dyDescent="0.3">
      <c r="A10" s="6">
        <v>9</v>
      </c>
      <c r="B10" s="7">
        <v>44830</v>
      </c>
      <c r="C10" s="8">
        <v>492.44599999999997</v>
      </c>
      <c r="D10" s="13">
        <f>AVERAGE(C2:C9)</f>
        <v>328.27137499999998</v>
      </c>
      <c r="E10" s="15">
        <f>SUMPRODUCT($I$2:$I$9,C2:C9)</f>
        <v>322.73867999999993</v>
      </c>
      <c r="F10" s="15">
        <f t="shared" si="0"/>
        <v>383.81979054399994</v>
      </c>
      <c r="H10" s="18" t="s">
        <v>6</v>
      </c>
      <c r="I10" s="19">
        <f>SUM(I2:I9)</f>
        <v>1.0000000000000002</v>
      </c>
      <c r="M10" s="13">
        <f>C10-D10</f>
        <v>164.17462499999999</v>
      </c>
      <c r="N10" s="13">
        <f>C10-E10</f>
        <v>169.70732000000004</v>
      </c>
      <c r="O10" s="13">
        <f>C10-F10</f>
        <v>108.62620945600003</v>
      </c>
      <c r="Q10">
        <f>ABS(M10)</f>
        <v>164.17462499999999</v>
      </c>
      <c r="R10">
        <f>ABS(N10)</f>
        <v>169.70732000000004</v>
      </c>
      <c r="S10">
        <f>ABS(O10)</f>
        <v>108.62620945600003</v>
      </c>
      <c r="U10" s="13">
        <f>M10^2</f>
        <v>26953.307493890621</v>
      </c>
      <c r="V10" s="13">
        <f>N10^2</f>
        <v>28800.574461582411</v>
      </c>
      <c r="W10" s="13">
        <f>O10^2</f>
        <v>11799.653380778789</v>
      </c>
      <c r="Y10" s="14">
        <f>Q10/C10*100</f>
        <v>33.338604638884263</v>
      </c>
      <c r="Z10" s="14">
        <f>R10/C10*100</f>
        <v>34.462117673816024</v>
      </c>
      <c r="AA10" s="14">
        <f>S10/C10*100</f>
        <v>22.058501735418712</v>
      </c>
    </row>
    <row r="11" spans="1:33" x14ac:dyDescent="0.3">
      <c r="A11" s="6">
        <v>10</v>
      </c>
      <c r="B11" s="7">
        <v>44837</v>
      </c>
      <c r="C11" s="8">
        <v>740</v>
      </c>
      <c r="D11" s="13">
        <f t="shared" ref="D11:D40" si="1">AVERAGE(C3:C10)</f>
        <v>352.28687499999995</v>
      </c>
      <c r="E11" s="15">
        <f t="shared" ref="E11:E40" si="2">SUMPRODUCT($I$2:$I$9,C3:C10)</f>
        <v>338.8075</v>
      </c>
      <c r="F11" s="15">
        <f t="shared" si="0"/>
        <v>459.85813716319996</v>
      </c>
      <c r="M11" s="13">
        <f>C11-D11</f>
        <v>387.71312500000005</v>
      </c>
      <c r="N11" s="13">
        <f>C11-E11</f>
        <v>401.1925</v>
      </c>
      <c r="O11" s="13">
        <f t="shared" ref="O11:O40" si="3">C11-F11</f>
        <v>280.14186283680004</v>
      </c>
      <c r="Q11">
        <f t="shared" ref="Q11:Q40" si="4">ABS(M11)</f>
        <v>387.71312500000005</v>
      </c>
      <c r="R11">
        <f t="shared" ref="R11:R40" si="5">ABS(N11)</f>
        <v>401.1925</v>
      </c>
      <c r="S11">
        <f t="shared" ref="S11:S40" si="6">ABS(O11)</f>
        <v>280.14186283680004</v>
      </c>
      <c r="U11" s="13">
        <f t="shared" ref="U11:U40" si="7">M11^2</f>
        <v>150321.46729726566</v>
      </c>
      <c r="V11" s="13">
        <f t="shared" ref="V11:V40" si="8">N11^2</f>
        <v>160955.42205624998</v>
      </c>
      <c r="W11" s="13">
        <f t="shared" ref="W11:W40" si="9">O11^2</f>
        <v>78479.463313672488</v>
      </c>
      <c r="Y11" s="14">
        <f t="shared" ref="Y11:Y40" si="10">Q11/C11*100</f>
        <v>52.393665540540546</v>
      </c>
      <c r="Z11" s="14">
        <f t="shared" ref="Z11:Z40" si="11">R11/C11*100</f>
        <v>54.215202702702705</v>
      </c>
      <c r="AA11" s="14">
        <f t="shared" ref="AA11:AA40" si="12">S11/C11*100</f>
        <v>37.857008491459467</v>
      </c>
    </row>
    <row r="12" spans="1:33" x14ac:dyDescent="0.3">
      <c r="A12" s="6">
        <v>11</v>
      </c>
      <c r="B12" s="7">
        <v>44844</v>
      </c>
      <c r="C12" s="8">
        <v>442.8245</v>
      </c>
      <c r="D12" s="13">
        <f t="shared" si="1"/>
        <v>410.78787499999999</v>
      </c>
      <c r="E12" s="15">
        <f t="shared" si="2"/>
        <v>418.60933999999997</v>
      </c>
      <c r="F12" s="15">
        <f t="shared" si="0"/>
        <v>655.95744114896002</v>
      </c>
      <c r="M12" s="13">
        <f t="shared" ref="M12:M40" si="13">C12-D12</f>
        <v>32.036625000000015</v>
      </c>
      <c r="N12" s="13">
        <f t="shared" ref="N12:N40" si="14">C12-E12</f>
        <v>24.215160000000026</v>
      </c>
      <c r="O12" s="13">
        <f t="shared" si="3"/>
        <v>-213.13294114896001</v>
      </c>
      <c r="Q12">
        <f t="shared" si="4"/>
        <v>32.036625000000015</v>
      </c>
      <c r="R12">
        <f t="shared" si="5"/>
        <v>24.215160000000026</v>
      </c>
      <c r="S12">
        <f t="shared" si="6"/>
        <v>213.13294114896001</v>
      </c>
      <c r="U12" s="13">
        <f t="shared" si="7"/>
        <v>1026.3453413906259</v>
      </c>
      <c r="V12" s="13">
        <f t="shared" si="8"/>
        <v>586.3739738256013</v>
      </c>
      <c r="W12" s="13">
        <f t="shared" si="9"/>
        <v>45425.650602806054</v>
      </c>
      <c r="Y12" s="14">
        <f t="shared" si="10"/>
        <v>7.2346098736632722</v>
      </c>
      <c r="Z12" s="14">
        <f t="shared" si="11"/>
        <v>5.4683424245948515</v>
      </c>
      <c r="AA12" s="14">
        <f t="shared" si="12"/>
        <v>48.130340834565388</v>
      </c>
    </row>
    <row r="13" spans="1:33" x14ac:dyDescent="0.3">
      <c r="A13" s="6">
        <v>12</v>
      </c>
      <c r="B13" s="7">
        <v>44851</v>
      </c>
      <c r="C13" s="8">
        <v>561.22949999999992</v>
      </c>
      <c r="D13" s="13">
        <f t="shared" si="1"/>
        <v>410.83656250000001</v>
      </c>
      <c r="E13" s="15">
        <f t="shared" si="2"/>
        <v>443.67545999999993</v>
      </c>
      <c r="F13" s="15">
        <f t="shared" si="0"/>
        <v>506.76438234468799</v>
      </c>
      <c r="M13" s="13">
        <f t="shared" si="13"/>
        <v>150.3929374999999</v>
      </c>
      <c r="N13" s="13">
        <f t="shared" si="14"/>
        <v>117.55403999999999</v>
      </c>
      <c r="O13" s="13">
        <f t="shared" si="3"/>
        <v>54.465117655311929</v>
      </c>
      <c r="Q13">
        <f t="shared" si="4"/>
        <v>150.3929374999999</v>
      </c>
      <c r="R13">
        <f t="shared" si="5"/>
        <v>117.55403999999999</v>
      </c>
      <c r="S13">
        <f t="shared" si="6"/>
        <v>54.465117655311929</v>
      </c>
      <c r="U13" s="13">
        <f t="shared" si="7"/>
        <v>22618.035649878879</v>
      </c>
      <c r="V13" s="13">
        <f t="shared" si="8"/>
        <v>13818.952320321598</v>
      </c>
      <c r="W13" s="13">
        <f t="shared" si="9"/>
        <v>2966.4490412069713</v>
      </c>
      <c r="Y13" s="14">
        <f t="shared" si="10"/>
        <v>26.79704782090035</v>
      </c>
      <c r="Z13" s="14">
        <f t="shared" si="11"/>
        <v>20.945805592899163</v>
      </c>
      <c r="AA13" s="14">
        <f t="shared" si="12"/>
        <v>9.7046070556362309</v>
      </c>
    </row>
    <row r="14" spans="1:33" x14ac:dyDescent="0.3">
      <c r="A14" s="6">
        <v>13</v>
      </c>
      <c r="B14" s="7">
        <v>44858</v>
      </c>
      <c r="C14" s="8">
        <v>465.17099999999999</v>
      </c>
      <c r="D14" s="13">
        <f t="shared" si="1"/>
        <v>447.63262499999996</v>
      </c>
      <c r="E14" s="15">
        <f t="shared" si="2"/>
        <v>443.81352000000004</v>
      </c>
      <c r="F14" s="15">
        <f t="shared" si="0"/>
        <v>544.88996470340635</v>
      </c>
      <c r="M14" s="13">
        <f t="shared" si="13"/>
        <v>17.53837500000003</v>
      </c>
      <c r="N14" s="13">
        <f t="shared" si="14"/>
        <v>21.357479999999953</v>
      </c>
      <c r="O14" s="13">
        <f t="shared" si="3"/>
        <v>-79.718964703406357</v>
      </c>
      <c r="Q14">
        <f t="shared" si="4"/>
        <v>17.53837500000003</v>
      </c>
      <c r="R14">
        <f t="shared" si="5"/>
        <v>21.357479999999953</v>
      </c>
      <c r="S14">
        <f t="shared" si="6"/>
        <v>79.718964703406357</v>
      </c>
      <c r="U14" s="13">
        <f t="shared" si="7"/>
        <v>307.59459764062609</v>
      </c>
      <c r="V14" s="13">
        <f t="shared" si="8"/>
        <v>456.14195195039798</v>
      </c>
      <c r="W14" s="13">
        <f t="shared" si="9"/>
        <v>6355.1133333829484</v>
      </c>
      <c r="Y14" s="14">
        <f t="shared" si="10"/>
        <v>3.770307048375765</v>
      </c>
      <c r="Z14" s="14">
        <f t="shared" si="11"/>
        <v>4.591318031433592</v>
      </c>
      <c r="AA14" s="14">
        <f t="shared" si="12"/>
        <v>17.137561177159874</v>
      </c>
    </row>
    <row r="15" spans="1:33" x14ac:dyDescent="0.3">
      <c r="A15" s="6">
        <v>14</v>
      </c>
      <c r="B15" s="7">
        <v>44865</v>
      </c>
      <c r="C15" s="8">
        <v>631.76249999999993</v>
      </c>
      <c r="D15" s="13">
        <f t="shared" si="1"/>
        <v>462.59249999999997</v>
      </c>
      <c r="E15" s="15">
        <f t="shared" si="2"/>
        <v>479.91224999999997</v>
      </c>
      <c r="F15" s="15">
        <f t="shared" si="0"/>
        <v>489.08668941102189</v>
      </c>
      <c r="M15" s="13">
        <f t="shared" si="13"/>
        <v>169.16999999999996</v>
      </c>
      <c r="N15" s="13">
        <f t="shared" si="14"/>
        <v>151.85024999999996</v>
      </c>
      <c r="O15" s="13">
        <f t="shared" si="3"/>
        <v>142.67581058897804</v>
      </c>
      <c r="Q15">
        <f t="shared" si="4"/>
        <v>169.16999999999996</v>
      </c>
      <c r="R15">
        <f t="shared" si="5"/>
        <v>151.85024999999996</v>
      </c>
      <c r="S15">
        <f t="shared" si="6"/>
        <v>142.67581058897804</v>
      </c>
      <c r="U15" s="13">
        <f t="shared" si="7"/>
        <v>28618.488899999986</v>
      </c>
      <c r="V15" s="13">
        <f t="shared" si="8"/>
        <v>23058.498425062488</v>
      </c>
      <c r="W15" s="13">
        <f t="shared" si="9"/>
        <v>20356.386927221938</v>
      </c>
      <c r="Y15" s="14">
        <f t="shared" si="10"/>
        <v>26.777467798421078</v>
      </c>
      <c r="Z15" s="14">
        <f t="shared" si="11"/>
        <v>24.035970795987414</v>
      </c>
      <c r="AA15" s="14">
        <f t="shared" si="12"/>
        <v>22.583773267482329</v>
      </c>
    </row>
    <row r="16" spans="1:33" x14ac:dyDescent="0.3">
      <c r="A16" s="6">
        <v>15</v>
      </c>
      <c r="B16" s="7">
        <v>44872</v>
      </c>
      <c r="C16" s="8">
        <v>422.72049999999996</v>
      </c>
      <c r="D16" s="13">
        <f t="shared" si="1"/>
        <v>515.31281249999995</v>
      </c>
      <c r="E16" s="15">
        <f t="shared" si="2"/>
        <v>489.94916999999998</v>
      </c>
      <c r="F16" s="15">
        <f t="shared" si="0"/>
        <v>588.95975682330652</v>
      </c>
      <c r="M16" s="13">
        <f t="shared" si="13"/>
        <v>-92.592312499999991</v>
      </c>
      <c r="N16" s="13">
        <f t="shared" si="14"/>
        <v>-67.228670000000022</v>
      </c>
      <c r="O16" s="13">
        <f t="shared" si="3"/>
        <v>-166.23925682330656</v>
      </c>
      <c r="Q16">
        <f t="shared" si="4"/>
        <v>92.592312499999991</v>
      </c>
      <c r="R16">
        <f t="shared" si="5"/>
        <v>67.228670000000022</v>
      </c>
      <c r="S16">
        <f t="shared" si="6"/>
        <v>166.23925682330656</v>
      </c>
      <c r="U16" s="13">
        <f t="shared" si="7"/>
        <v>8573.3363340976539</v>
      </c>
      <c r="V16" s="13">
        <f t="shared" si="8"/>
        <v>4519.694069968903</v>
      </c>
      <c r="W16" s="13">
        <f t="shared" si="9"/>
        <v>27635.490509165276</v>
      </c>
      <c r="Y16" s="14">
        <f t="shared" si="10"/>
        <v>21.903908729290393</v>
      </c>
      <c r="Z16" s="14">
        <f t="shared" si="11"/>
        <v>15.903811147081825</v>
      </c>
      <c r="AA16" s="14">
        <f t="shared" si="12"/>
        <v>39.326045655062053</v>
      </c>
    </row>
    <row r="17" spans="1:27" x14ac:dyDescent="0.3">
      <c r="A17" s="6">
        <v>16</v>
      </c>
      <c r="B17" s="7">
        <v>44879</v>
      </c>
      <c r="C17" s="8">
        <v>433.69350000000003</v>
      </c>
      <c r="D17" s="13">
        <f t="shared" si="1"/>
        <v>519.49</v>
      </c>
      <c r="E17" s="15">
        <f t="shared" si="2"/>
        <v>507.21339</v>
      </c>
      <c r="F17" s="15">
        <f t="shared" si="0"/>
        <v>472.59227704699197</v>
      </c>
      <c r="M17" s="13">
        <f t="shared" si="13"/>
        <v>-85.79649999999998</v>
      </c>
      <c r="N17" s="13">
        <f t="shared" si="14"/>
        <v>-73.519889999999975</v>
      </c>
      <c r="O17" s="13">
        <f t="shared" si="3"/>
        <v>-38.898777046991938</v>
      </c>
      <c r="Q17">
        <f t="shared" si="4"/>
        <v>85.79649999999998</v>
      </c>
      <c r="R17">
        <f t="shared" si="5"/>
        <v>73.519889999999975</v>
      </c>
      <c r="S17">
        <f t="shared" si="6"/>
        <v>38.898777046991938</v>
      </c>
      <c r="U17" s="13">
        <f t="shared" si="7"/>
        <v>7361.0394122499965</v>
      </c>
      <c r="V17" s="13">
        <f t="shared" si="8"/>
        <v>5405.1742256120961</v>
      </c>
      <c r="W17" s="13">
        <f t="shared" si="9"/>
        <v>1513.1148557515869</v>
      </c>
      <c r="Y17" s="14">
        <f t="shared" si="10"/>
        <v>19.782749799109272</v>
      </c>
      <c r="Z17" s="14">
        <f t="shared" si="11"/>
        <v>16.952038709365016</v>
      </c>
      <c r="AA17" s="14">
        <f t="shared" si="12"/>
        <v>8.9691860834879797</v>
      </c>
    </row>
    <row r="18" spans="1:27" x14ac:dyDescent="0.3">
      <c r="A18" s="6">
        <v>17</v>
      </c>
      <c r="B18" s="7">
        <v>44886</v>
      </c>
      <c r="C18" s="8">
        <v>599.79399999999998</v>
      </c>
      <c r="D18" s="13">
        <f t="shared" si="1"/>
        <v>523.73093749999998</v>
      </c>
      <c r="E18" s="15">
        <f t="shared" si="2"/>
        <v>512.91867000000002</v>
      </c>
      <c r="F18" s="15">
        <f t="shared" si="0"/>
        <v>445.36313311409759</v>
      </c>
      <c r="M18" s="13">
        <f t="shared" si="13"/>
        <v>76.063062500000001</v>
      </c>
      <c r="N18" s="13">
        <f t="shared" si="14"/>
        <v>86.875329999999963</v>
      </c>
      <c r="O18" s="13">
        <f t="shared" si="3"/>
        <v>154.43086688590239</v>
      </c>
      <c r="Q18">
        <f t="shared" si="4"/>
        <v>76.063062500000001</v>
      </c>
      <c r="R18">
        <f t="shared" si="5"/>
        <v>86.875329999999963</v>
      </c>
      <c r="S18">
        <f t="shared" si="6"/>
        <v>154.43086688590239</v>
      </c>
      <c r="U18" s="13">
        <f t="shared" si="7"/>
        <v>5785.5894768789067</v>
      </c>
      <c r="V18" s="13">
        <f t="shared" si="8"/>
        <v>7547.3229626088932</v>
      </c>
      <c r="W18" s="13">
        <f t="shared" si="9"/>
        <v>23848.892647131303</v>
      </c>
      <c r="Y18" s="14">
        <f t="shared" si="10"/>
        <v>12.681531075669314</v>
      </c>
      <c r="Z18" s="14">
        <f t="shared" si="11"/>
        <v>14.484194573470219</v>
      </c>
      <c r="AA18" s="14">
        <f t="shared" si="12"/>
        <v>25.747317726736579</v>
      </c>
    </row>
    <row r="19" spans="1:27" x14ac:dyDescent="0.3">
      <c r="A19" s="6">
        <v>18</v>
      </c>
      <c r="B19" s="7">
        <v>44893</v>
      </c>
      <c r="C19" s="8">
        <v>655.98860000000002</v>
      </c>
      <c r="D19" s="13">
        <f t="shared" si="1"/>
        <v>537.14943749999998</v>
      </c>
      <c r="E19" s="15">
        <f t="shared" si="2"/>
        <v>553.37090999999998</v>
      </c>
      <c r="F19" s="15">
        <f t="shared" si="0"/>
        <v>553.46473993422933</v>
      </c>
      <c r="M19" s="13">
        <f t="shared" si="13"/>
        <v>118.83916250000004</v>
      </c>
      <c r="N19" s="13">
        <f t="shared" si="14"/>
        <v>102.61769000000004</v>
      </c>
      <c r="O19" s="13">
        <f t="shared" si="3"/>
        <v>102.52386006577069</v>
      </c>
      <c r="Q19">
        <f t="shared" si="4"/>
        <v>118.83916250000004</v>
      </c>
      <c r="R19">
        <f t="shared" si="5"/>
        <v>102.61769000000004</v>
      </c>
      <c r="S19">
        <f t="shared" si="6"/>
        <v>102.52386006577069</v>
      </c>
      <c r="U19" s="13">
        <f t="shared" si="7"/>
        <v>14122.746543701416</v>
      </c>
      <c r="V19" s="13">
        <f t="shared" si="8"/>
        <v>10530.390300936107</v>
      </c>
      <c r="W19" s="13">
        <f t="shared" si="9"/>
        <v>10511.141882785731</v>
      </c>
      <c r="Y19" s="14">
        <f t="shared" si="10"/>
        <v>18.11604081229461</v>
      </c>
      <c r="Z19" s="14">
        <f t="shared" si="11"/>
        <v>15.643212397288616</v>
      </c>
      <c r="AA19" s="14">
        <f t="shared" si="12"/>
        <v>15.628908805087571</v>
      </c>
    </row>
    <row r="20" spans="1:27" x14ac:dyDescent="0.3">
      <c r="A20" s="6">
        <v>19</v>
      </c>
      <c r="B20" s="7">
        <v>44900</v>
      </c>
      <c r="C20" s="8">
        <v>722.21949999999993</v>
      </c>
      <c r="D20" s="13">
        <f t="shared" si="1"/>
        <v>526.64801249999994</v>
      </c>
      <c r="E20" s="15">
        <f t="shared" si="2"/>
        <v>517.51885800000002</v>
      </c>
      <c r="F20" s="15">
        <f t="shared" si="0"/>
        <v>625.23144198026876</v>
      </c>
      <c r="M20" s="13">
        <f t="shared" si="13"/>
        <v>195.57148749999999</v>
      </c>
      <c r="N20" s="13">
        <f t="shared" si="14"/>
        <v>204.7006419999999</v>
      </c>
      <c r="O20" s="13">
        <f t="shared" si="3"/>
        <v>96.98805801973117</v>
      </c>
      <c r="Q20">
        <f t="shared" si="4"/>
        <v>195.57148749999999</v>
      </c>
      <c r="R20">
        <f t="shared" si="5"/>
        <v>204.7006419999999</v>
      </c>
      <c r="S20">
        <f t="shared" si="6"/>
        <v>96.98805801973117</v>
      </c>
      <c r="U20" s="13">
        <f t="shared" si="7"/>
        <v>38248.206722962655</v>
      </c>
      <c r="V20" s="13">
        <f t="shared" si="8"/>
        <v>41902.352835212121</v>
      </c>
      <c r="W20" s="13">
        <f t="shared" si="9"/>
        <v>9406.6833984387395</v>
      </c>
      <c r="Y20" s="14">
        <f t="shared" si="10"/>
        <v>27.079231106332635</v>
      </c>
      <c r="Z20" s="14">
        <f t="shared" si="11"/>
        <v>28.343272647719971</v>
      </c>
      <c r="AA20" s="14">
        <f t="shared" si="12"/>
        <v>13.42916634343592</v>
      </c>
    </row>
    <row r="21" spans="1:27" x14ac:dyDescent="0.3">
      <c r="A21" s="6">
        <v>20</v>
      </c>
      <c r="B21" s="7">
        <v>44907</v>
      </c>
      <c r="C21" s="8">
        <v>619.43150000000003</v>
      </c>
      <c r="D21" s="13">
        <f t="shared" si="1"/>
        <v>561.57238749999999</v>
      </c>
      <c r="E21" s="15">
        <f t="shared" si="2"/>
        <v>549.36367999999993</v>
      </c>
      <c r="F21" s="15">
        <f t="shared" si="0"/>
        <v>693.12308259408053</v>
      </c>
      <c r="M21" s="13">
        <f t="shared" si="13"/>
        <v>57.859112500000037</v>
      </c>
      <c r="N21" s="13">
        <f t="shared" si="14"/>
        <v>70.067820000000097</v>
      </c>
      <c r="O21" s="13">
        <f t="shared" si="3"/>
        <v>-73.691582594080501</v>
      </c>
      <c r="Q21">
        <f t="shared" si="4"/>
        <v>57.859112500000037</v>
      </c>
      <c r="R21">
        <f t="shared" si="5"/>
        <v>70.067820000000097</v>
      </c>
      <c r="S21">
        <f t="shared" si="6"/>
        <v>73.691582594080501</v>
      </c>
      <c r="U21" s="13">
        <f t="shared" si="7"/>
        <v>3347.6768992876605</v>
      </c>
      <c r="V21" s="13">
        <f t="shared" si="8"/>
        <v>4909.4993995524137</v>
      </c>
      <c r="W21" s="13">
        <f t="shared" si="9"/>
        <v>5430.4493452201887</v>
      </c>
      <c r="Y21" s="14">
        <f t="shared" si="10"/>
        <v>9.3406797200336165</v>
      </c>
      <c r="Z21" s="14">
        <f t="shared" si="11"/>
        <v>11.311633328301854</v>
      </c>
      <c r="AA21" s="14">
        <f t="shared" si="12"/>
        <v>11.896647586388568</v>
      </c>
    </row>
    <row r="22" spans="1:27" x14ac:dyDescent="0.3">
      <c r="A22" s="6">
        <v>21</v>
      </c>
      <c r="B22" s="7">
        <v>44914</v>
      </c>
      <c r="C22" s="8">
        <v>763.351</v>
      </c>
      <c r="D22" s="13">
        <f t="shared" si="1"/>
        <v>568.84763749999991</v>
      </c>
      <c r="E22" s="15">
        <f t="shared" si="2"/>
        <v>587.59028999999998</v>
      </c>
      <c r="F22" s="15">
        <f t="shared" si="0"/>
        <v>641.5389747782242</v>
      </c>
      <c r="M22" s="13">
        <f t="shared" si="13"/>
        <v>194.50336250000009</v>
      </c>
      <c r="N22" s="13">
        <f t="shared" si="14"/>
        <v>175.76071000000002</v>
      </c>
      <c r="O22" s="13">
        <f t="shared" si="3"/>
        <v>121.8120252217758</v>
      </c>
      <c r="Q22">
        <f t="shared" si="4"/>
        <v>194.50336250000009</v>
      </c>
      <c r="R22">
        <f t="shared" si="5"/>
        <v>175.76071000000002</v>
      </c>
      <c r="S22">
        <f t="shared" si="6"/>
        <v>121.8120252217758</v>
      </c>
      <c r="U22" s="13">
        <f t="shared" si="7"/>
        <v>37831.558023806443</v>
      </c>
      <c r="V22" s="13">
        <f t="shared" si="8"/>
        <v>30891.827179704105</v>
      </c>
      <c r="W22" s="13">
        <f t="shared" si="9"/>
        <v>14838.169488630543</v>
      </c>
      <c r="Y22" s="14">
        <f t="shared" si="10"/>
        <v>25.480200130739345</v>
      </c>
      <c r="Z22" s="14">
        <f t="shared" si="11"/>
        <v>23.024887633604987</v>
      </c>
      <c r="AA22" s="14">
        <f t="shared" si="12"/>
        <v>15.957537911363948</v>
      </c>
    </row>
    <row r="23" spans="1:27" x14ac:dyDescent="0.3">
      <c r="A23" s="6">
        <v>22</v>
      </c>
      <c r="B23" s="7">
        <v>44921</v>
      </c>
      <c r="C23" s="8">
        <v>621.17999999999995</v>
      </c>
      <c r="D23" s="13">
        <f t="shared" si="1"/>
        <v>606.12013750000006</v>
      </c>
      <c r="E23" s="15">
        <f t="shared" si="2"/>
        <v>625.65187000000003</v>
      </c>
      <c r="F23" s="15">
        <f t="shared" si="0"/>
        <v>726.80739243346727</v>
      </c>
      <c r="M23" s="13">
        <f t="shared" si="13"/>
        <v>15.059862499999895</v>
      </c>
      <c r="N23" s="13">
        <f t="shared" si="14"/>
        <v>-4.4718700000000808</v>
      </c>
      <c r="O23" s="13">
        <f t="shared" si="3"/>
        <v>-105.62739243346732</v>
      </c>
      <c r="Q23">
        <f t="shared" si="4"/>
        <v>15.059862499999895</v>
      </c>
      <c r="R23">
        <f t="shared" si="5"/>
        <v>4.4718700000000808</v>
      </c>
      <c r="S23">
        <f t="shared" si="6"/>
        <v>105.62739243346732</v>
      </c>
      <c r="U23" s="13">
        <f t="shared" si="7"/>
        <v>226.79945851890307</v>
      </c>
      <c r="V23" s="13">
        <f t="shared" si="8"/>
        <v>19.997621296900721</v>
      </c>
      <c r="W23" s="13">
        <f t="shared" si="9"/>
        <v>11157.146032293709</v>
      </c>
      <c r="Y23" s="14">
        <f t="shared" si="10"/>
        <v>2.4243959077883859</v>
      </c>
      <c r="Z23" s="14">
        <f t="shared" si="11"/>
        <v>0.71989922405745221</v>
      </c>
      <c r="AA23" s="14">
        <f t="shared" si="12"/>
        <v>17.004313151335737</v>
      </c>
    </row>
    <row r="24" spans="1:27" x14ac:dyDescent="0.3">
      <c r="A24" s="6">
        <v>23</v>
      </c>
      <c r="B24" s="7">
        <v>44928</v>
      </c>
      <c r="C24" s="8">
        <v>738.29699999999991</v>
      </c>
      <c r="D24" s="13">
        <f t="shared" si="1"/>
        <v>604.79732500000011</v>
      </c>
      <c r="E24" s="15">
        <f t="shared" si="2"/>
        <v>614.25983999999994</v>
      </c>
      <c r="F24" s="15">
        <f t="shared" si="0"/>
        <v>652.86821773004021</v>
      </c>
      <c r="M24" s="13">
        <f t="shared" si="13"/>
        <v>133.4996749999998</v>
      </c>
      <c r="N24" s="13">
        <f t="shared" si="14"/>
        <v>124.03715999999997</v>
      </c>
      <c r="O24" s="13">
        <f t="shared" si="3"/>
        <v>85.428782269959697</v>
      </c>
      <c r="Q24">
        <f t="shared" si="4"/>
        <v>133.4996749999998</v>
      </c>
      <c r="R24">
        <f t="shared" si="5"/>
        <v>124.03715999999997</v>
      </c>
      <c r="S24">
        <f t="shared" si="6"/>
        <v>85.428782269959697</v>
      </c>
      <c r="U24" s="13">
        <f t="shared" si="7"/>
        <v>17822.163225105571</v>
      </c>
      <c r="V24" s="13">
        <f t="shared" si="8"/>
        <v>15385.217060865592</v>
      </c>
      <c r="W24" s="13">
        <f t="shared" si="9"/>
        <v>7298.0768401281803</v>
      </c>
      <c r="Y24" s="14">
        <f t="shared" si="10"/>
        <v>18.082109909697564</v>
      </c>
      <c r="Z24" s="14">
        <f t="shared" si="11"/>
        <v>16.800442098505073</v>
      </c>
      <c r="AA24" s="14">
        <f t="shared" si="12"/>
        <v>11.571059108998101</v>
      </c>
    </row>
    <row r="25" spans="1:27" x14ac:dyDescent="0.3">
      <c r="A25" s="6">
        <v>24</v>
      </c>
      <c r="B25" s="7">
        <v>44935</v>
      </c>
      <c r="C25" s="8">
        <v>851.45799999999997</v>
      </c>
      <c r="D25" s="13">
        <f t="shared" si="1"/>
        <v>644.24438750000002</v>
      </c>
      <c r="E25" s="15">
        <f t="shared" si="2"/>
        <v>615.58098199999995</v>
      </c>
      <c r="F25" s="15">
        <f t="shared" si="0"/>
        <v>712.66836531901197</v>
      </c>
      <c r="M25" s="13">
        <f t="shared" si="13"/>
        <v>207.21361249999995</v>
      </c>
      <c r="N25" s="13">
        <f t="shared" si="14"/>
        <v>235.87701800000002</v>
      </c>
      <c r="O25" s="13">
        <f t="shared" si="3"/>
        <v>138.789634680988</v>
      </c>
      <c r="Q25">
        <f t="shared" si="4"/>
        <v>207.21361249999995</v>
      </c>
      <c r="R25">
        <f t="shared" si="5"/>
        <v>235.87701800000002</v>
      </c>
      <c r="S25">
        <f t="shared" si="6"/>
        <v>138.789634680988</v>
      </c>
      <c r="U25" s="13">
        <f t="shared" si="7"/>
        <v>42937.481205300137</v>
      </c>
      <c r="V25" s="13">
        <f t="shared" si="8"/>
        <v>55637.967620572337</v>
      </c>
      <c r="W25" s="13">
        <f t="shared" si="9"/>
        <v>19262.562694882108</v>
      </c>
      <c r="Y25" s="14">
        <f t="shared" si="10"/>
        <v>24.336328098391224</v>
      </c>
      <c r="Z25" s="14">
        <f t="shared" si="11"/>
        <v>27.702719100648537</v>
      </c>
      <c r="AA25" s="14">
        <f t="shared" si="12"/>
        <v>16.300232622277083</v>
      </c>
    </row>
    <row r="26" spans="1:27" x14ac:dyDescent="0.3">
      <c r="A26" s="6">
        <v>25</v>
      </c>
      <c r="B26" s="7">
        <v>44942</v>
      </c>
      <c r="C26" s="8">
        <v>901.44500000000005</v>
      </c>
      <c r="D26" s="13">
        <f t="shared" si="1"/>
        <v>696.46494999999993</v>
      </c>
      <c r="E26" s="15">
        <f t="shared" si="2"/>
        <v>692.50943999999993</v>
      </c>
      <c r="F26" s="15">
        <f t="shared" si="0"/>
        <v>809.82110959570355</v>
      </c>
      <c r="M26" s="13">
        <f t="shared" si="13"/>
        <v>204.98005000000012</v>
      </c>
      <c r="N26" s="13">
        <f t="shared" si="14"/>
        <v>208.93556000000012</v>
      </c>
      <c r="O26" s="13">
        <f t="shared" si="3"/>
        <v>91.623890404296503</v>
      </c>
      <c r="Q26">
        <f t="shared" si="4"/>
        <v>204.98005000000012</v>
      </c>
      <c r="R26">
        <f t="shared" si="5"/>
        <v>208.93556000000012</v>
      </c>
      <c r="S26">
        <f t="shared" si="6"/>
        <v>91.623890404296503</v>
      </c>
      <c r="U26" s="13">
        <f t="shared" si="7"/>
        <v>42016.820898002552</v>
      </c>
      <c r="V26" s="13">
        <f t="shared" si="8"/>
        <v>43654.068232513651</v>
      </c>
      <c r="W26" s="13">
        <f t="shared" si="9"/>
        <v>8394.9372928185367</v>
      </c>
      <c r="Y26" s="14">
        <f t="shared" si="10"/>
        <v>22.739052299363809</v>
      </c>
      <c r="Z26" s="14">
        <f t="shared" si="11"/>
        <v>23.177848898157972</v>
      </c>
      <c r="AA26" s="14">
        <f t="shared" si="12"/>
        <v>10.164113218698478</v>
      </c>
    </row>
    <row r="27" spans="1:27" x14ac:dyDescent="0.3">
      <c r="A27" s="6">
        <v>26</v>
      </c>
      <c r="B27" s="7">
        <v>44949</v>
      </c>
      <c r="C27" s="8">
        <v>899.22500000000002</v>
      </c>
      <c r="D27" s="13">
        <f t="shared" si="1"/>
        <v>734.17132499999991</v>
      </c>
      <c r="E27" s="15">
        <f t="shared" si="2"/>
        <v>732.61630000000002</v>
      </c>
      <c r="F27" s="15">
        <f t="shared" si="0"/>
        <v>873.95783287871109</v>
      </c>
      <c r="M27" s="13">
        <f t="shared" si="13"/>
        <v>165.05367500000011</v>
      </c>
      <c r="N27" s="13">
        <f t="shared" si="14"/>
        <v>166.6087</v>
      </c>
      <c r="O27" s="13">
        <f t="shared" si="3"/>
        <v>25.267167121288935</v>
      </c>
      <c r="Q27">
        <f t="shared" si="4"/>
        <v>165.05367500000011</v>
      </c>
      <c r="R27">
        <f t="shared" si="5"/>
        <v>166.6087</v>
      </c>
      <c r="S27">
        <f t="shared" si="6"/>
        <v>25.267167121288935</v>
      </c>
      <c r="U27" s="13">
        <f t="shared" si="7"/>
        <v>27242.715631005663</v>
      </c>
      <c r="V27" s="13">
        <f t="shared" si="8"/>
        <v>27758.45891569</v>
      </c>
      <c r="W27" s="13">
        <f t="shared" si="9"/>
        <v>638.42973433514453</v>
      </c>
      <c r="Y27" s="14">
        <f t="shared" si="10"/>
        <v>18.355103005365745</v>
      </c>
      <c r="Z27" s="14">
        <f t="shared" si="11"/>
        <v>18.528032472406792</v>
      </c>
      <c r="AA27" s="14">
        <f t="shared" si="12"/>
        <v>2.8098826346341497</v>
      </c>
    </row>
    <row r="28" spans="1:27" x14ac:dyDescent="0.3">
      <c r="A28" s="6">
        <v>27</v>
      </c>
      <c r="B28" s="7">
        <v>44956</v>
      </c>
      <c r="C28" s="8">
        <v>608.88599999999997</v>
      </c>
      <c r="D28" s="13">
        <f t="shared" si="1"/>
        <v>764.575875</v>
      </c>
      <c r="E28" s="15">
        <f t="shared" si="2"/>
        <v>768.80426999999997</v>
      </c>
      <c r="F28" s="15">
        <f t="shared" si="0"/>
        <v>891.64484986361333</v>
      </c>
      <c r="M28" s="13">
        <f t="shared" si="13"/>
        <v>-155.68987500000003</v>
      </c>
      <c r="N28" s="13">
        <f t="shared" si="14"/>
        <v>-159.91827000000001</v>
      </c>
      <c r="O28" s="13">
        <f t="shared" si="3"/>
        <v>-282.75884986361336</v>
      </c>
      <c r="Q28">
        <f t="shared" si="4"/>
        <v>155.68987500000003</v>
      </c>
      <c r="R28">
        <f t="shared" si="5"/>
        <v>159.91827000000001</v>
      </c>
      <c r="S28">
        <f t="shared" si="6"/>
        <v>282.75884986361336</v>
      </c>
      <c r="U28" s="13">
        <f t="shared" si="7"/>
        <v>24239.337177515634</v>
      </c>
      <c r="V28" s="13">
        <f t="shared" si="8"/>
        <v>25573.853079792902</v>
      </c>
      <c r="W28" s="13">
        <f t="shared" si="9"/>
        <v>79952.56717619345</v>
      </c>
      <c r="Y28" s="14">
        <f t="shared" si="10"/>
        <v>25.569626333993561</v>
      </c>
      <c r="Z28" s="14">
        <f t="shared" si="11"/>
        <v>26.264074063125122</v>
      </c>
      <c r="AA28" s="14">
        <f t="shared" si="12"/>
        <v>46.438717570056362</v>
      </c>
    </row>
    <row r="29" spans="1:27" x14ac:dyDescent="0.3">
      <c r="A29" s="6">
        <v>28</v>
      </c>
      <c r="B29" s="7">
        <v>44963</v>
      </c>
      <c r="C29" s="8">
        <v>720.44100000000003</v>
      </c>
      <c r="D29" s="13">
        <f t="shared" si="1"/>
        <v>750.40918750000014</v>
      </c>
      <c r="E29" s="15">
        <f t="shared" si="2"/>
        <v>775.46668</v>
      </c>
      <c r="F29" s="15">
        <f t="shared" si="0"/>
        <v>693.71365495908401</v>
      </c>
      <c r="M29" s="13">
        <f t="shared" si="13"/>
        <v>-29.968187500000113</v>
      </c>
      <c r="N29" s="13">
        <f t="shared" si="14"/>
        <v>-55.025679999999966</v>
      </c>
      <c r="O29" s="13">
        <f t="shared" si="3"/>
        <v>26.72734504091602</v>
      </c>
      <c r="Q29">
        <f t="shared" si="4"/>
        <v>29.968187500000113</v>
      </c>
      <c r="R29">
        <f t="shared" si="5"/>
        <v>55.025679999999966</v>
      </c>
      <c r="S29">
        <f t="shared" si="6"/>
        <v>26.72734504091602</v>
      </c>
      <c r="U29" s="13">
        <f t="shared" si="7"/>
        <v>898.092262035163</v>
      </c>
      <c r="V29" s="13">
        <f t="shared" si="8"/>
        <v>3027.8254594623963</v>
      </c>
      <c r="W29" s="13">
        <f t="shared" si="9"/>
        <v>714.35097293617821</v>
      </c>
      <c r="Y29" s="14">
        <f t="shared" si="10"/>
        <v>4.1597004473648935</v>
      </c>
      <c r="Z29" s="14">
        <f t="shared" si="11"/>
        <v>7.6377774168877064</v>
      </c>
      <c r="AA29" s="14">
        <f t="shared" si="12"/>
        <v>3.7098589670654527</v>
      </c>
    </row>
    <row r="30" spans="1:27" x14ac:dyDescent="0.3">
      <c r="A30" s="6">
        <v>29</v>
      </c>
      <c r="B30" s="7">
        <v>44970</v>
      </c>
      <c r="C30" s="8">
        <v>757.4670000000001</v>
      </c>
      <c r="D30" s="13">
        <f t="shared" si="1"/>
        <v>763.03537500000004</v>
      </c>
      <c r="E30" s="15">
        <f t="shared" si="2"/>
        <v>764.32391999999993</v>
      </c>
      <c r="F30" s="15">
        <f t="shared" si="0"/>
        <v>712.42279648772524</v>
      </c>
      <c r="M30" s="13">
        <f t="shared" si="13"/>
        <v>-5.5683749999999463</v>
      </c>
      <c r="N30" s="13">
        <f t="shared" si="14"/>
        <v>-6.8569199999998318</v>
      </c>
      <c r="O30" s="13">
        <f t="shared" si="3"/>
        <v>45.044203512274862</v>
      </c>
      <c r="Q30">
        <f t="shared" si="4"/>
        <v>5.5683749999999463</v>
      </c>
      <c r="R30">
        <f t="shared" si="5"/>
        <v>6.8569199999998318</v>
      </c>
      <c r="S30">
        <f t="shared" si="6"/>
        <v>45.044203512274862</v>
      </c>
      <c r="U30" s="13">
        <f t="shared" si="7"/>
        <v>31.006800140624403</v>
      </c>
      <c r="V30" s="13">
        <f t="shared" si="8"/>
        <v>47.017351886397691</v>
      </c>
      <c r="W30" s="13">
        <f t="shared" si="9"/>
        <v>2028.980270055235</v>
      </c>
      <c r="Y30" s="14">
        <f t="shared" si="10"/>
        <v>0.73513103541143654</v>
      </c>
      <c r="Z30" s="14">
        <f t="shared" si="11"/>
        <v>0.90524339674201393</v>
      </c>
      <c r="AA30" s="14">
        <f t="shared" si="12"/>
        <v>5.9466885702314229</v>
      </c>
    </row>
    <row r="31" spans="1:27" x14ac:dyDescent="0.3">
      <c r="A31" s="6">
        <v>30</v>
      </c>
      <c r="B31" s="7">
        <v>44977</v>
      </c>
      <c r="C31" s="8">
        <v>776.27</v>
      </c>
      <c r="D31" s="13">
        <f t="shared" si="1"/>
        <v>762.29987499999993</v>
      </c>
      <c r="E31" s="15">
        <f t="shared" si="2"/>
        <v>750.65852000000007</v>
      </c>
      <c r="F31" s="15">
        <f t="shared" si="0"/>
        <v>743.95373894631757</v>
      </c>
      <c r="M31" s="13">
        <f t="shared" si="13"/>
        <v>13.970125000000053</v>
      </c>
      <c r="N31" s="13">
        <f t="shared" si="14"/>
        <v>25.611479999999915</v>
      </c>
      <c r="O31" s="13">
        <f t="shared" si="3"/>
        <v>32.31626105368241</v>
      </c>
      <c r="Q31">
        <f t="shared" si="4"/>
        <v>13.970125000000053</v>
      </c>
      <c r="R31">
        <f t="shared" si="5"/>
        <v>25.611479999999915</v>
      </c>
      <c r="S31">
        <f t="shared" si="6"/>
        <v>32.31626105368241</v>
      </c>
      <c r="U31" s="13">
        <f t="shared" si="7"/>
        <v>195.16439251562647</v>
      </c>
      <c r="V31" s="13">
        <f t="shared" si="8"/>
        <v>655.94790779039567</v>
      </c>
      <c r="W31" s="13">
        <f t="shared" si="9"/>
        <v>1044.3407284897505</v>
      </c>
      <c r="Y31" s="14">
        <f t="shared" si="10"/>
        <v>1.7996476741340066</v>
      </c>
      <c r="Z31" s="14">
        <f t="shared" si="11"/>
        <v>3.299300501114292</v>
      </c>
      <c r="AA31" s="14">
        <f t="shared" si="12"/>
        <v>4.1630181578165342</v>
      </c>
    </row>
    <row r="32" spans="1:27" x14ac:dyDescent="0.3">
      <c r="A32" s="6">
        <v>31</v>
      </c>
      <c r="B32" s="7">
        <v>44984</v>
      </c>
      <c r="C32" s="8">
        <v>912.07999999999993</v>
      </c>
      <c r="D32" s="13">
        <f t="shared" si="1"/>
        <v>781.68612499999995</v>
      </c>
      <c r="E32" s="15">
        <f t="shared" si="2"/>
        <v>748.17290000000003</v>
      </c>
      <c r="F32" s="15">
        <f t="shared" si="0"/>
        <v>766.57512168389519</v>
      </c>
      <c r="M32" s="13">
        <f t="shared" si="13"/>
        <v>130.39387499999998</v>
      </c>
      <c r="N32" s="13">
        <f t="shared" si="14"/>
        <v>163.9070999999999</v>
      </c>
      <c r="O32" s="13">
        <f t="shared" si="3"/>
        <v>145.50487831610474</v>
      </c>
      <c r="Q32">
        <f t="shared" si="4"/>
        <v>130.39387499999998</v>
      </c>
      <c r="R32">
        <f t="shared" si="5"/>
        <v>163.9070999999999</v>
      </c>
      <c r="S32">
        <f t="shared" si="6"/>
        <v>145.50487831610474</v>
      </c>
      <c r="U32" s="13">
        <f t="shared" si="7"/>
        <v>17002.562637515621</v>
      </c>
      <c r="V32" s="13">
        <f t="shared" si="8"/>
        <v>26865.537430409968</v>
      </c>
      <c r="W32" s="13">
        <f t="shared" si="9"/>
        <v>21171.669613784445</v>
      </c>
      <c r="Y32" s="14">
        <f t="shared" si="10"/>
        <v>14.296319950004385</v>
      </c>
      <c r="Z32" s="14">
        <f t="shared" si="11"/>
        <v>17.97069336023155</v>
      </c>
      <c r="AA32" s="14">
        <f t="shared" si="12"/>
        <v>15.953082878267777</v>
      </c>
    </row>
    <row r="33" spans="1:27" x14ac:dyDescent="0.3">
      <c r="A33" s="6">
        <v>32</v>
      </c>
      <c r="B33" s="7">
        <v>44991</v>
      </c>
      <c r="C33" s="8">
        <v>736.30000000000007</v>
      </c>
      <c r="D33" s="13">
        <f t="shared" si="1"/>
        <v>803.40900000000011</v>
      </c>
      <c r="E33" s="15">
        <f t="shared" si="2"/>
        <v>787.36450000000013</v>
      </c>
      <c r="F33" s="15">
        <f t="shared" si="0"/>
        <v>868.42853650516849</v>
      </c>
      <c r="M33" s="13">
        <f t="shared" si="13"/>
        <v>-67.109000000000037</v>
      </c>
      <c r="N33" s="13">
        <f t="shared" si="14"/>
        <v>-51.064500000000066</v>
      </c>
      <c r="O33" s="13">
        <f t="shared" si="3"/>
        <v>-132.12853650516843</v>
      </c>
      <c r="Q33">
        <f t="shared" si="4"/>
        <v>67.109000000000037</v>
      </c>
      <c r="R33">
        <f t="shared" si="5"/>
        <v>51.064500000000066</v>
      </c>
      <c r="S33">
        <f t="shared" si="6"/>
        <v>132.12853650516843</v>
      </c>
      <c r="U33" s="13">
        <f t="shared" si="7"/>
        <v>4503.6178810000047</v>
      </c>
      <c r="V33" s="13">
        <f t="shared" si="8"/>
        <v>2607.5831602500066</v>
      </c>
      <c r="W33" s="13">
        <f t="shared" si="9"/>
        <v>17457.950158997624</v>
      </c>
      <c r="Y33" s="14">
        <f t="shared" si="10"/>
        <v>9.1143555615917471</v>
      </c>
      <c r="Z33" s="14">
        <f t="shared" si="11"/>
        <v>6.9352845307619262</v>
      </c>
      <c r="AA33" s="14">
        <f t="shared" si="12"/>
        <v>17.944932297320172</v>
      </c>
    </row>
    <row r="34" spans="1:27" x14ac:dyDescent="0.3">
      <c r="A34" s="6">
        <v>33</v>
      </c>
      <c r="B34" s="7">
        <v>44998</v>
      </c>
      <c r="C34" s="8">
        <v>849.06000000000006</v>
      </c>
      <c r="D34" s="13">
        <f t="shared" si="1"/>
        <v>789.01425000000006</v>
      </c>
      <c r="E34" s="15">
        <f t="shared" si="2"/>
        <v>824.87372000000005</v>
      </c>
      <c r="F34" s="15">
        <f t="shared" si="0"/>
        <v>775.93856095155047</v>
      </c>
      <c r="M34" s="13">
        <f t="shared" si="13"/>
        <v>60.045749999999998</v>
      </c>
      <c r="N34" s="13">
        <f t="shared" si="14"/>
        <v>24.186280000000011</v>
      </c>
      <c r="O34" s="13">
        <f t="shared" si="3"/>
        <v>73.121439048449588</v>
      </c>
      <c r="Q34">
        <f t="shared" si="4"/>
        <v>60.045749999999998</v>
      </c>
      <c r="R34">
        <f t="shared" si="5"/>
        <v>24.186280000000011</v>
      </c>
      <c r="S34">
        <f t="shared" si="6"/>
        <v>73.121439048449588</v>
      </c>
      <c r="U34" s="13">
        <f t="shared" si="7"/>
        <v>3605.4920930624999</v>
      </c>
      <c r="V34" s="13">
        <f t="shared" si="8"/>
        <v>584.97614023840049</v>
      </c>
      <c r="W34" s="13">
        <f t="shared" si="9"/>
        <v>5346.7448485161285</v>
      </c>
      <c r="Y34" s="14">
        <f t="shared" si="10"/>
        <v>7.0720267118931517</v>
      </c>
      <c r="Z34" s="14">
        <f t="shared" si="11"/>
        <v>2.8485949167314453</v>
      </c>
      <c r="AA34" s="14">
        <f t="shared" si="12"/>
        <v>8.612046150855015</v>
      </c>
    </row>
    <row r="35" spans="1:27" x14ac:dyDescent="0.3">
      <c r="A35" s="6">
        <v>34</v>
      </c>
      <c r="B35" s="7">
        <v>45005</v>
      </c>
      <c r="C35" s="8">
        <v>843.55700000000002</v>
      </c>
      <c r="D35" s="13">
        <f t="shared" si="1"/>
        <v>782.46612500000003</v>
      </c>
      <c r="E35" s="15">
        <f t="shared" si="2"/>
        <v>792.53592000000003</v>
      </c>
      <c r="F35" s="15">
        <f t="shared" si="0"/>
        <v>827.12356828546513</v>
      </c>
      <c r="M35" s="13">
        <f t="shared" si="13"/>
        <v>61.090874999999983</v>
      </c>
      <c r="N35" s="13">
        <f t="shared" si="14"/>
        <v>51.021079999999984</v>
      </c>
      <c r="O35" s="13">
        <f t="shared" si="3"/>
        <v>16.43343171453489</v>
      </c>
      <c r="Q35">
        <f t="shared" si="4"/>
        <v>61.090874999999983</v>
      </c>
      <c r="R35">
        <f t="shared" si="5"/>
        <v>51.021079999999984</v>
      </c>
      <c r="S35">
        <f t="shared" si="6"/>
        <v>16.43343171453489</v>
      </c>
      <c r="U35" s="13">
        <f t="shared" si="7"/>
        <v>3732.0950082656227</v>
      </c>
      <c r="V35" s="13">
        <f t="shared" si="8"/>
        <v>2603.1506043663985</v>
      </c>
      <c r="W35" s="13">
        <f t="shared" si="9"/>
        <v>270.05767791628114</v>
      </c>
      <c r="Y35" s="14">
        <f t="shared" si="10"/>
        <v>7.2420565533805048</v>
      </c>
      <c r="Z35" s="14">
        <f t="shared" si="11"/>
        <v>6.0483263134559939</v>
      </c>
      <c r="AA35" s="14">
        <f t="shared" si="12"/>
        <v>1.9481115934708491</v>
      </c>
    </row>
    <row r="36" spans="1:27" x14ac:dyDescent="0.3">
      <c r="A36" s="6">
        <v>35</v>
      </c>
      <c r="B36" s="7">
        <v>45012</v>
      </c>
      <c r="C36" s="8">
        <v>726.99000000000012</v>
      </c>
      <c r="D36" s="13">
        <f t="shared" si="1"/>
        <v>775.50762499999996</v>
      </c>
      <c r="E36" s="15">
        <f t="shared" si="2"/>
        <v>779.9402</v>
      </c>
      <c r="F36" s="15">
        <f t="shared" si="0"/>
        <v>838.6269704856395</v>
      </c>
      <c r="M36" s="13">
        <f t="shared" si="13"/>
        <v>-48.517624999999839</v>
      </c>
      <c r="N36" s="13">
        <f t="shared" si="14"/>
        <v>-52.950199999999882</v>
      </c>
      <c r="O36" s="13">
        <f t="shared" si="3"/>
        <v>-111.63697048563938</v>
      </c>
      <c r="Q36">
        <f t="shared" si="4"/>
        <v>48.517624999999839</v>
      </c>
      <c r="R36">
        <f t="shared" si="5"/>
        <v>52.950199999999882</v>
      </c>
      <c r="S36">
        <f t="shared" si="6"/>
        <v>111.63697048563938</v>
      </c>
      <c r="U36" s="13">
        <f t="shared" si="7"/>
        <v>2353.9599356406093</v>
      </c>
      <c r="V36" s="13">
        <f t="shared" si="8"/>
        <v>2803.7236800399874</v>
      </c>
      <c r="W36" s="13">
        <f t="shared" si="9"/>
        <v>12462.813179211518</v>
      </c>
      <c r="Y36" s="14">
        <f t="shared" si="10"/>
        <v>6.6737678647574015</v>
      </c>
      <c r="Z36" s="14">
        <f t="shared" si="11"/>
        <v>7.2834839543872505</v>
      </c>
      <c r="AA36" s="14">
        <f t="shared" si="12"/>
        <v>15.356053107420923</v>
      </c>
    </row>
    <row r="37" spans="1:27" x14ac:dyDescent="0.3">
      <c r="A37" s="6">
        <v>36</v>
      </c>
      <c r="B37" s="7">
        <v>45019</v>
      </c>
      <c r="C37" s="8">
        <v>820.97399999999993</v>
      </c>
      <c r="D37" s="13">
        <f t="shared" si="1"/>
        <v>790.270625</v>
      </c>
      <c r="E37" s="15">
        <f t="shared" si="2"/>
        <v>785.60490000000016</v>
      </c>
      <c r="F37" s="15">
        <f t="shared" si="0"/>
        <v>760.48109114569195</v>
      </c>
      <c r="M37" s="13">
        <f t="shared" si="13"/>
        <v>30.703374999999937</v>
      </c>
      <c r="N37" s="13">
        <f t="shared" si="14"/>
        <v>35.369099999999776</v>
      </c>
      <c r="O37" s="13">
        <f t="shared" si="3"/>
        <v>60.492908854307984</v>
      </c>
      <c r="Q37">
        <f t="shared" si="4"/>
        <v>30.703374999999937</v>
      </c>
      <c r="R37">
        <f t="shared" si="5"/>
        <v>35.369099999999776</v>
      </c>
      <c r="S37">
        <f t="shared" si="6"/>
        <v>60.492908854307984</v>
      </c>
      <c r="U37" s="13">
        <f t="shared" si="7"/>
        <v>942.69723639062113</v>
      </c>
      <c r="V37" s="13">
        <f t="shared" si="8"/>
        <v>1250.9732348099842</v>
      </c>
      <c r="W37" s="13">
        <f t="shared" si="9"/>
        <v>3659.3920216556135</v>
      </c>
      <c r="Y37" s="14">
        <f t="shared" si="10"/>
        <v>3.7398717864390272</v>
      </c>
      <c r="Z37" s="14">
        <f t="shared" si="11"/>
        <v>4.3081875918116506</v>
      </c>
      <c r="AA37" s="14">
        <f t="shared" si="12"/>
        <v>7.3684317474497361</v>
      </c>
    </row>
    <row r="38" spans="1:27" x14ac:dyDescent="0.3">
      <c r="A38" s="6">
        <v>37</v>
      </c>
      <c r="B38" s="7">
        <v>45026</v>
      </c>
      <c r="C38" s="8">
        <v>767.37100000000009</v>
      </c>
      <c r="D38" s="13">
        <f t="shared" si="1"/>
        <v>802.83725000000004</v>
      </c>
      <c r="E38" s="15">
        <f t="shared" si="2"/>
        <v>786.23562000000015</v>
      </c>
      <c r="F38" s="15">
        <f t="shared" si="0"/>
        <v>802.82612734370764</v>
      </c>
      <c r="M38" s="13">
        <f t="shared" si="13"/>
        <v>-35.466249999999945</v>
      </c>
      <c r="N38" s="13">
        <f t="shared" si="14"/>
        <v>-18.864620000000059</v>
      </c>
      <c r="O38" s="13">
        <f t="shared" si="3"/>
        <v>-35.455127343707545</v>
      </c>
      <c r="Q38">
        <f t="shared" si="4"/>
        <v>35.466249999999945</v>
      </c>
      <c r="R38">
        <f t="shared" si="5"/>
        <v>18.864620000000059</v>
      </c>
      <c r="S38">
        <f t="shared" si="6"/>
        <v>35.455127343707545</v>
      </c>
      <c r="U38" s="13">
        <f t="shared" si="7"/>
        <v>1257.8548890624961</v>
      </c>
      <c r="V38" s="13">
        <f t="shared" si="8"/>
        <v>355.87388774440223</v>
      </c>
      <c r="W38" s="13">
        <f t="shared" si="9"/>
        <v>1257.0660549585184</v>
      </c>
      <c r="Y38" s="14">
        <f t="shared" si="10"/>
        <v>4.6217865934469691</v>
      </c>
      <c r="Z38" s="14">
        <f t="shared" si="11"/>
        <v>2.4583441386239588</v>
      </c>
      <c r="AA38" s="14">
        <f t="shared" si="12"/>
        <v>4.6203371437945329</v>
      </c>
    </row>
    <row r="39" spans="1:27" x14ac:dyDescent="0.3">
      <c r="A39" s="6">
        <v>38</v>
      </c>
      <c r="B39" s="7">
        <v>45033</v>
      </c>
      <c r="C39" s="8">
        <v>886.46800000000007</v>
      </c>
      <c r="D39" s="13">
        <f t="shared" si="1"/>
        <v>804.07524999999998</v>
      </c>
      <c r="E39" s="15">
        <f t="shared" si="2"/>
        <v>813.08888000000002</v>
      </c>
      <c r="F39" s="15">
        <f t="shared" si="0"/>
        <v>778.0075382031124</v>
      </c>
      <c r="M39" s="13">
        <f t="shared" si="13"/>
        <v>82.392750000000092</v>
      </c>
      <c r="N39" s="13">
        <f t="shared" si="14"/>
        <v>73.379120000000057</v>
      </c>
      <c r="O39" s="13">
        <f t="shared" si="3"/>
        <v>108.46046179688767</v>
      </c>
      <c r="Q39">
        <f t="shared" si="4"/>
        <v>82.392750000000092</v>
      </c>
      <c r="R39">
        <f t="shared" si="5"/>
        <v>73.379120000000057</v>
      </c>
      <c r="S39">
        <f t="shared" si="6"/>
        <v>108.46046179688767</v>
      </c>
      <c r="U39" s="13">
        <f t="shared" si="7"/>
        <v>6788.5652525625155</v>
      </c>
      <c r="V39" s="13">
        <f t="shared" si="8"/>
        <v>5384.4952519744083</v>
      </c>
      <c r="W39" s="13">
        <f t="shared" si="9"/>
        <v>11763.67177319413</v>
      </c>
      <c r="Y39" s="14">
        <f t="shared" si="10"/>
        <v>9.2944979401399817</v>
      </c>
      <c r="Z39" s="14">
        <f t="shared" si="11"/>
        <v>8.2776953031581577</v>
      </c>
      <c r="AA39" s="14">
        <f t="shared" si="12"/>
        <v>12.235124313216907</v>
      </c>
    </row>
    <row r="40" spans="1:27" x14ac:dyDescent="0.3">
      <c r="A40" s="6">
        <v>39</v>
      </c>
      <c r="B40" s="7">
        <v>45040</v>
      </c>
      <c r="C40" s="8">
        <v>902.46799999999996</v>
      </c>
      <c r="D40" s="13">
        <f t="shared" si="1"/>
        <v>817.85</v>
      </c>
      <c r="E40" s="15">
        <f t="shared" si="2"/>
        <v>809.26994000000013</v>
      </c>
      <c r="F40" s="15">
        <f t="shared" si="0"/>
        <v>853.92986146093381</v>
      </c>
      <c r="M40" s="13">
        <f t="shared" si="13"/>
        <v>84.617999999999938</v>
      </c>
      <c r="N40" s="13">
        <f t="shared" si="14"/>
        <v>93.198059999999828</v>
      </c>
      <c r="O40" s="13">
        <f t="shared" si="3"/>
        <v>48.538138539066153</v>
      </c>
      <c r="Q40">
        <f t="shared" si="4"/>
        <v>84.617999999999938</v>
      </c>
      <c r="R40">
        <f t="shared" si="5"/>
        <v>93.198059999999828</v>
      </c>
      <c r="S40">
        <f t="shared" si="6"/>
        <v>48.538138539066153</v>
      </c>
      <c r="U40" s="13">
        <f t="shared" si="7"/>
        <v>7160.2059239999899</v>
      </c>
      <c r="V40" s="13">
        <f t="shared" si="8"/>
        <v>8685.8783877635688</v>
      </c>
      <c r="W40" s="13">
        <f t="shared" si="9"/>
        <v>2355.950892837579</v>
      </c>
      <c r="Y40" s="14">
        <f t="shared" si="10"/>
        <v>9.3762881343161126</v>
      </c>
      <c r="Z40" s="14">
        <f t="shared" si="11"/>
        <v>10.327021013487441</v>
      </c>
      <c r="AA40" s="14">
        <f t="shared" si="12"/>
        <v>5.3783777972256255</v>
      </c>
    </row>
    <row r="41" spans="1:27" x14ac:dyDescent="0.3">
      <c r="A41" s="6">
        <v>40</v>
      </c>
      <c r="B41" s="7">
        <v>45047</v>
      </c>
      <c r="C41" s="8"/>
      <c r="D41" s="13"/>
      <c r="E41" s="15"/>
      <c r="F41" s="15"/>
      <c r="M41" s="13"/>
      <c r="N41" s="13"/>
    </row>
    <row r="42" spans="1:27" x14ac:dyDescent="0.3">
      <c r="A42" s="6">
        <v>41</v>
      </c>
      <c r="B42" s="7">
        <v>45054</v>
      </c>
      <c r="C42" s="8"/>
      <c r="D42" s="13"/>
      <c r="E42" s="15"/>
      <c r="F42" s="15"/>
      <c r="M42" s="13"/>
      <c r="N42" s="13"/>
    </row>
    <row r="43" spans="1:27" x14ac:dyDescent="0.3">
      <c r="A43" s="6">
        <v>42</v>
      </c>
      <c r="B43" s="7">
        <v>45061</v>
      </c>
      <c r="C43" s="8"/>
      <c r="D43" s="13"/>
      <c r="E43" s="15"/>
      <c r="F43" s="15"/>
      <c r="M43" s="13"/>
      <c r="N43" s="13"/>
    </row>
    <row r="44" spans="1:27" ht="15" thickBot="1" x14ac:dyDescent="0.35">
      <c r="A44" s="9">
        <v>43</v>
      </c>
      <c r="B44" s="10">
        <v>45068</v>
      </c>
      <c r="C44" s="11"/>
      <c r="D44" s="13"/>
      <c r="E44" s="15"/>
      <c r="F44" s="15"/>
      <c r="M44" s="13"/>
      <c r="N44" s="13"/>
    </row>
    <row r="45" spans="1:27" ht="15" thickTop="1" x14ac:dyDescent="0.3">
      <c r="B45" t="s">
        <v>55</v>
      </c>
      <c r="C45" s="13">
        <f>MEDIAN(C2:C40)</f>
        <v>655.98860000000002</v>
      </c>
    </row>
    <row r="46" spans="1:27" x14ac:dyDescent="0.3">
      <c r="B46" t="s">
        <v>53</v>
      </c>
      <c r="C46" s="13">
        <f>AVERAGE(C2:C40)</f>
        <v>628.12154102564114</v>
      </c>
    </row>
    <row r="47" spans="1:27" x14ac:dyDescent="0.3">
      <c r="B47" t="s">
        <v>54</v>
      </c>
      <c r="C47">
        <f>_xlfn.STDEV.S(C2:C40)</f>
        <v>206.60225395195647</v>
      </c>
    </row>
  </sheetData>
  <mergeCells count="1">
    <mergeCell ref="H1:I1"/>
  </mergeCells>
  <pageMargins left="0.7" right="0.7" top="0.75" bottom="0.75" header="0.3" footer="0.3"/>
  <pageSetup scale="1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0435-124E-4AED-8421-38768531A0AF}">
  <dimension ref="A2:W74"/>
  <sheetViews>
    <sheetView tabSelected="1" topLeftCell="A4" workbookViewId="0">
      <selection activeCell="R30" sqref="R30"/>
    </sheetView>
  </sheetViews>
  <sheetFormatPr defaultRowHeight="14.4" x14ac:dyDescent="0.3"/>
  <cols>
    <col min="1" max="1" width="30" customWidth="1"/>
    <col min="2" max="2" width="15.109375" bestFit="1" customWidth="1"/>
    <col min="3" max="3" width="10" bestFit="1" customWidth="1"/>
    <col min="4" max="4" width="12.5546875" bestFit="1" customWidth="1"/>
    <col min="5" max="5" width="17.88671875" bestFit="1" customWidth="1"/>
    <col min="6" max="6" width="11.21875" bestFit="1" customWidth="1"/>
    <col min="7" max="7" width="12" bestFit="1" customWidth="1"/>
    <col min="9" max="9" width="24.44140625" bestFit="1" customWidth="1"/>
    <col min="10" max="10" width="15.109375" bestFit="1" customWidth="1"/>
    <col min="11" max="11" width="10" bestFit="1" customWidth="1"/>
    <col min="12" max="12" width="12.5546875" bestFit="1" customWidth="1"/>
    <col min="13" max="13" width="17.88671875" bestFit="1" customWidth="1"/>
    <col min="14" max="14" width="11.21875" bestFit="1" customWidth="1"/>
    <col min="15" max="15" width="12" bestFit="1" customWidth="1"/>
    <col min="17" max="17" width="24.44140625" bestFit="1" customWidth="1"/>
    <col min="18" max="18" width="15.109375" bestFit="1" customWidth="1"/>
    <col min="19" max="19" width="10" bestFit="1" customWidth="1"/>
    <col min="20" max="20" width="12.5546875" bestFit="1" customWidth="1"/>
    <col min="21" max="21" width="17.88671875" bestFit="1" customWidth="1"/>
    <col min="22" max="22" width="11.21875" bestFit="1" customWidth="1"/>
    <col min="23" max="23" width="12" bestFit="1" customWidth="1"/>
  </cols>
  <sheetData>
    <row r="2" spans="1:18" x14ac:dyDescent="0.3">
      <c r="A2" s="32" t="s">
        <v>39</v>
      </c>
      <c r="B2" s="38">
        <f>Forecast!C46*52</f>
        <v>32662.320133333338</v>
      </c>
    </row>
    <row r="3" spans="1:18" x14ac:dyDescent="0.3">
      <c r="A3" s="29" t="s">
        <v>36</v>
      </c>
      <c r="B3" s="34">
        <v>740</v>
      </c>
    </row>
    <row r="4" spans="1:18" x14ac:dyDescent="0.3">
      <c r="A4" s="29" t="s">
        <v>37</v>
      </c>
      <c r="B4" s="35">
        <v>0.7</v>
      </c>
    </row>
    <row r="5" spans="1:18" x14ac:dyDescent="0.3">
      <c r="A5" s="33" t="s">
        <v>38</v>
      </c>
      <c r="B5" s="44">
        <v>0.1</v>
      </c>
    </row>
    <row r="6" spans="1:18" x14ac:dyDescent="0.3">
      <c r="A6" s="29" t="s">
        <v>40</v>
      </c>
      <c r="B6" s="36">
        <v>250</v>
      </c>
    </row>
    <row r="7" spans="1:18" x14ac:dyDescent="0.3">
      <c r="A7" s="29" t="s">
        <v>41</v>
      </c>
      <c r="B7" s="35">
        <v>6</v>
      </c>
    </row>
    <row r="8" spans="1:18" x14ac:dyDescent="0.3">
      <c r="A8" s="29" t="s">
        <v>44</v>
      </c>
      <c r="B8" s="30">
        <f>B3*B5</f>
        <v>74</v>
      </c>
    </row>
    <row r="9" spans="1:18" x14ac:dyDescent="0.3">
      <c r="A9" s="29" t="s">
        <v>45</v>
      </c>
      <c r="B9" s="37">
        <v>740</v>
      </c>
    </row>
    <row r="10" spans="1:18" x14ac:dyDescent="0.3">
      <c r="A10" s="29" t="s">
        <v>42</v>
      </c>
      <c r="B10" s="30">
        <f>B2/B6</f>
        <v>130.64928053333335</v>
      </c>
    </row>
    <row r="11" spans="1:18" x14ac:dyDescent="0.3">
      <c r="A11" s="29" t="s">
        <v>43</v>
      </c>
      <c r="B11" s="30">
        <f>B10*B7</f>
        <v>783.89568320000012</v>
      </c>
    </row>
    <row r="12" spans="1:18" x14ac:dyDescent="0.3">
      <c r="A12" s="16"/>
      <c r="B12" s="17"/>
    </row>
    <row r="13" spans="1:18" x14ac:dyDescent="0.3">
      <c r="A13" s="42" t="s">
        <v>46</v>
      </c>
      <c r="B13" s="43">
        <f>SQRT((2*B2*B9)/B8)</f>
        <v>808.23660067251762</v>
      </c>
    </row>
    <row r="14" spans="1:18" x14ac:dyDescent="0.3">
      <c r="A14" s="33"/>
    </row>
    <row r="15" spans="1:18" x14ac:dyDescent="0.3">
      <c r="A15" s="28" t="s">
        <v>58</v>
      </c>
      <c r="I15" s="28" t="s">
        <v>68</v>
      </c>
      <c r="Q15" s="28" t="s">
        <v>69</v>
      </c>
    </row>
    <row r="16" spans="1:18" x14ac:dyDescent="0.3">
      <c r="A16" s="32" t="s">
        <v>49</v>
      </c>
      <c r="B16" s="45">
        <f>1-B17</f>
        <v>5.0000000000000044E-2</v>
      </c>
      <c r="I16" s="32" t="s">
        <v>49</v>
      </c>
      <c r="J16" s="45">
        <f>1-J17</f>
        <v>1.0000000000000009E-2</v>
      </c>
      <c r="Q16" s="32" t="s">
        <v>49</v>
      </c>
      <c r="R16" s="63">
        <f>1-R17</f>
        <v>1.0000000000000009E-3</v>
      </c>
    </row>
    <row r="17" spans="1:23" x14ac:dyDescent="0.3">
      <c r="A17" s="16" t="s">
        <v>50</v>
      </c>
      <c r="B17" s="37">
        <v>0.95</v>
      </c>
      <c r="I17" s="16" t="s">
        <v>50</v>
      </c>
      <c r="J17" s="37">
        <v>0.99</v>
      </c>
      <c r="Q17" s="16" t="s">
        <v>50</v>
      </c>
      <c r="R17" s="62">
        <v>0.999</v>
      </c>
    </row>
    <row r="18" spans="1:23" x14ac:dyDescent="0.3">
      <c r="A18" s="29" t="s">
        <v>56</v>
      </c>
      <c r="B18" s="39">
        <f>Forecast!C46</f>
        <v>628.12154102564114</v>
      </c>
      <c r="I18" s="29" t="s">
        <v>56</v>
      </c>
      <c r="J18" s="39">
        <f>Forecast!C46</f>
        <v>628.12154102564114</v>
      </c>
      <c r="Q18" s="29" t="s">
        <v>56</v>
      </c>
      <c r="R18" s="39">
        <f>Forecast!C46</f>
        <v>628.12154102564114</v>
      </c>
    </row>
    <row r="19" spans="1:23" x14ac:dyDescent="0.3">
      <c r="A19" s="16" t="s">
        <v>57</v>
      </c>
      <c r="B19" s="40">
        <f>Forecast!C47</f>
        <v>206.60225395195647</v>
      </c>
      <c r="I19" s="16" t="s">
        <v>57</v>
      </c>
      <c r="J19" s="40">
        <f>Forecast!C47</f>
        <v>206.60225395195647</v>
      </c>
      <c r="Q19" s="16" t="s">
        <v>57</v>
      </c>
      <c r="R19" s="40">
        <f>Forecast!C47</f>
        <v>206.60225395195647</v>
      </c>
    </row>
    <row r="20" spans="1:23" x14ac:dyDescent="0.3">
      <c r="A20" s="29" t="s">
        <v>52</v>
      </c>
      <c r="B20" s="40">
        <f>_xlfn.NORM.INV(B17,B18,B19)</f>
        <v>967.95200777486571</v>
      </c>
      <c r="I20" s="29" t="s">
        <v>52</v>
      </c>
      <c r="J20" s="40">
        <f>_xlfn.NORM.INV(J17,J18,J19)</f>
        <v>1108.750255278821</v>
      </c>
      <c r="Q20" s="29" t="s">
        <v>52</v>
      </c>
      <c r="R20" s="40">
        <f>_xlfn.NORM.INV(R17,R18,R19)</f>
        <v>1266.5705007150636</v>
      </c>
    </row>
    <row r="21" spans="1:23" x14ac:dyDescent="0.3">
      <c r="A21" s="16"/>
      <c r="B21" s="17"/>
      <c r="I21" s="16"/>
      <c r="J21" s="17"/>
      <c r="Q21" s="16"/>
      <c r="R21" s="17"/>
    </row>
    <row r="22" spans="1:23" x14ac:dyDescent="0.3">
      <c r="A22" s="16" t="s">
        <v>47</v>
      </c>
      <c r="B22" s="30">
        <f>B11</f>
        <v>783.89568320000012</v>
      </c>
      <c r="I22" s="16" t="s">
        <v>47</v>
      </c>
      <c r="J22" s="30">
        <f>B11</f>
        <v>783.89568320000012</v>
      </c>
      <c r="Q22" s="16" t="s">
        <v>47</v>
      </c>
      <c r="R22" s="30">
        <f>B11</f>
        <v>783.89568320000012</v>
      </c>
    </row>
    <row r="23" spans="1:23" x14ac:dyDescent="0.3">
      <c r="A23" s="16" t="s">
        <v>48</v>
      </c>
      <c r="B23" s="40">
        <f>B20</f>
        <v>967.95200777486571</v>
      </c>
      <c r="I23" s="16" t="s">
        <v>48</v>
      </c>
      <c r="J23" s="40">
        <f>J20</f>
        <v>1108.750255278821</v>
      </c>
      <c r="Q23" s="16" t="s">
        <v>48</v>
      </c>
      <c r="R23" s="40">
        <f>R20</f>
        <v>1266.5705007150636</v>
      </c>
    </row>
    <row r="24" spans="1:23" x14ac:dyDescent="0.3">
      <c r="A24" s="31" t="s">
        <v>51</v>
      </c>
      <c r="B24" s="41">
        <f>B23-B22</f>
        <v>184.05632457486558</v>
      </c>
      <c r="I24" s="31" t="s">
        <v>51</v>
      </c>
      <c r="J24" s="41">
        <f>J23-J22</f>
        <v>324.85457207882087</v>
      </c>
      <c r="Q24" s="31" t="s">
        <v>51</v>
      </c>
      <c r="R24" s="41">
        <f>R23-R22</f>
        <v>482.67481751506352</v>
      </c>
    </row>
    <row r="26" spans="1:23" x14ac:dyDescent="0.3">
      <c r="A26" s="46" t="s">
        <v>62</v>
      </c>
      <c r="B26" s="57">
        <f>B8*SUMIF(F32:F74,"&gt;0",F32:F74)</f>
        <v>922420.00093340792</v>
      </c>
      <c r="I26" s="46" t="s">
        <v>62</v>
      </c>
      <c r="J26" s="57">
        <f>B8*SUMIF(N31:N73,"&gt;0",N31:N73)</f>
        <v>1073523.8678668155</v>
      </c>
      <c r="Q26" s="46" t="s">
        <v>62</v>
      </c>
      <c r="R26" s="57">
        <f>B8*SUMIF(V31:V73,"&gt;0",V31:V73)</f>
        <v>1484598.9692191419</v>
      </c>
    </row>
    <row r="27" spans="1:23" x14ac:dyDescent="0.3">
      <c r="A27" s="16" t="s">
        <v>59</v>
      </c>
      <c r="B27" s="58">
        <f>B9*SUMIF(G32:G74,"&gt;0",G32:G74)</f>
        <v>15550472.196939234</v>
      </c>
      <c r="I27" s="16" t="s">
        <v>59</v>
      </c>
      <c r="J27" s="58">
        <f>B9*SUMIF(O31:O73,"&gt;0",O31:O73)</f>
        <v>15550472.196939234</v>
      </c>
      <c r="Q27" s="16" t="s">
        <v>59</v>
      </c>
      <c r="R27" s="58">
        <f>B9*SUMIF(W31:W73,"&gt;0",W31:W73)</f>
        <v>16148567.281436896</v>
      </c>
    </row>
    <row r="28" spans="1:23" x14ac:dyDescent="0.3">
      <c r="A28" s="16" t="s">
        <v>60</v>
      </c>
      <c r="B28" s="58">
        <f>-SUMIF(F32:F74,"&lt;0",F32:F74)*B4*B3</f>
        <v>4457118.9387482265</v>
      </c>
      <c r="I28" s="16" t="s">
        <v>60</v>
      </c>
      <c r="J28" s="58">
        <f>-SUMIF(N31:N73,"&lt;0",N31:N73)*B4*B3</f>
        <v>2584180.0932435323</v>
      </c>
      <c r="Q28" s="16" t="s">
        <v>60</v>
      </c>
      <c r="R28" s="58">
        <f>-SUMIF(V31:V73,"&lt;0",V31:V73)*B4*B3</f>
        <v>19040.533781081296</v>
      </c>
    </row>
    <row r="29" spans="1:23" x14ac:dyDescent="0.3">
      <c r="A29" s="31" t="s">
        <v>61</v>
      </c>
      <c r="B29" s="59">
        <f>SUM(B26:B28)</f>
        <v>20930011.136620868</v>
      </c>
      <c r="I29" s="31" t="s">
        <v>61</v>
      </c>
      <c r="J29" s="59">
        <f>SUM(J26:J28)</f>
        <v>19208176.158049583</v>
      </c>
      <c r="Q29" s="31" t="s">
        <v>61</v>
      </c>
      <c r="R29" s="59">
        <f>SUM(R26:R28)</f>
        <v>17652206.78443712</v>
      </c>
    </row>
    <row r="31" spans="1:23" x14ac:dyDescent="0.3">
      <c r="A31" s="25" t="s">
        <v>0</v>
      </c>
      <c r="B31" s="47" t="s">
        <v>1</v>
      </c>
      <c r="C31" s="47" t="s">
        <v>2</v>
      </c>
      <c r="D31" s="47" t="s">
        <v>63</v>
      </c>
      <c r="E31" s="47" t="s">
        <v>64</v>
      </c>
      <c r="F31" s="47" t="s">
        <v>65</v>
      </c>
      <c r="G31" s="26" t="s">
        <v>66</v>
      </c>
      <c r="I31" s="25" t="s">
        <v>0</v>
      </c>
      <c r="J31" s="47" t="s">
        <v>1</v>
      </c>
      <c r="K31" s="47" t="s">
        <v>2</v>
      </c>
      <c r="L31" s="47" t="s">
        <v>63</v>
      </c>
      <c r="M31" s="47" t="s">
        <v>64</v>
      </c>
      <c r="N31" s="47" t="s">
        <v>65</v>
      </c>
      <c r="O31" s="26" t="s">
        <v>66</v>
      </c>
      <c r="Q31" s="25" t="s">
        <v>0</v>
      </c>
      <c r="R31" s="47" t="s">
        <v>1</v>
      </c>
      <c r="S31" s="47" t="s">
        <v>2</v>
      </c>
      <c r="T31" s="47" t="s">
        <v>63</v>
      </c>
      <c r="U31" s="47" t="s">
        <v>64</v>
      </c>
      <c r="V31" s="47" t="s">
        <v>65</v>
      </c>
      <c r="W31" s="26" t="s">
        <v>66</v>
      </c>
    </row>
    <row r="32" spans="1:23" x14ac:dyDescent="0.3">
      <c r="A32" s="51">
        <v>1</v>
      </c>
      <c r="B32" s="52">
        <v>44774</v>
      </c>
      <c r="C32" s="53">
        <v>300.322</v>
      </c>
      <c r="E32" s="15">
        <f>Forecast!F2</f>
        <v>300.322</v>
      </c>
      <c r="G32" s="17"/>
      <c r="I32" s="60">
        <v>1</v>
      </c>
      <c r="J32" s="52">
        <v>44774</v>
      </c>
      <c r="K32" s="53">
        <v>300.322</v>
      </c>
      <c r="M32" s="15">
        <f>Forecast!F2</f>
        <v>300.322</v>
      </c>
      <c r="O32" s="17"/>
      <c r="Q32" s="60">
        <v>1</v>
      </c>
      <c r="R32" s="52">
        <v>44774</v>
      </c>
      <c r="S32" s="53">
        <v>300.322</v>
      </c>
      <c r="U32" s="15">
        <f>Forecast!F2</f>
        <v>300.322</v>
      </c>
      <c r="W32" s="17"/>
    </row>
    <row r="33" spans="1:23" x14ac:dyDescent="0.3">
      <c r="A33" s="51">
        <v>2</v>
      </c>
      <c r="B33" s="52">
        <v>44781</v>
      </c>
      <c r="C33" s="53">
        <v>271.99199999999996</v>
      </c>
      <c r="E33" s="15">
        <f>Forecast!F3</f>
        <v>300.322</v>
      </c>
      <c r="G33" s="17"/>
      <c r="I33" s="60">
        <v>2</v>
      </c>
      <c r="J33" s="52">
        <v>44781</v>
      </c>
      <c r="K33" s="53">
        <v>271.99199999999996</v>
      </c>
      <c r="M33" s="15">
        <f>Forecast!F3</f>
        <v>300.322</v>
      </c>
      <c r="O33" s="17"/>
      <c r="Q33" s="60">
        <v>2</v>
      </c>
      <c r="R33" s="52">
        <v>44781</v>
      </c>
      <c r="S33" s="53">
        <v>271.99199999999996</v>
      </c>
      <c r="U33" s="15">
        <f>Forecast!F3</f>
        <v>300.322</v>
      </c>
      <c r="W33" s="17"/>
    </row>
    <row r="34" spans="1:23" x14ac:dyDescent="0.3">
      <c r="A34" s="51">
        <v>3</v>
      </c>
      <c r="B34" s="52">
        <v>44788</v>
      </c>
      <c r="C34" s="53">
        <v>442.43499999999995</v>
      </c>
      <c r="E34" s="15">
        <f>Forecast!F4</f>
        <v>280.49099999999999</v>
      </c>
      <c r="G34" s="17"/>
      <c r="I34" s="60">
        <v>3</v>
      </c>
      <c r="J34" s="52">
        <v>44788</v>
      </c>
      <c r="K34" s="53">
        <v>442.43499999999995</v>
      </c>
      <c r="M34" s="15">
        <f>Forecast!F4</f>
        <v>280.49099999999999</v>
      </c>
      <c r="O34" s="17"/>
      <c r="Q34" s="60">
        <v>3</v>
      </c>
      <c r="R34" s="52">
        <v>44788</v>
      </c>
      <c r="S34" s="53">
        <v>442.43499999999995</v>
      </c>
      <c r="U34" s="15">
        <f>Forecast!F4</f>
        <v>280.49099999999999</v>
      </c>
      <c r="W34" s="17"/>
    </row>
    <row r="35" spans="1:23" x14ac:dyDescent="0.3">
      <c r="A35" s="51">
        <v>4</v>
      </c>
      <c r="B35" s="52">
        <v>44795</v>
      </c>
      <c r="C35" s="53">
        <v>266.86099999999993</v>
      </c>
      <c r="E35" s="15">
        <f>Forecast!F5</f>
        <v>393.85179999999991</v>
      </c>
      <c r="G35" s="17"/>
      <c r="I35" s="60">
        <v>4</v>
      </c>
      <c r="J35" s="52">
        <v>44795</v>
      </c>
      <c r="K35" s="53">
        <v>266.86099999999993</v>
      </c>
      <c r="M35" s="15">
        <f>Forecast!F5</f>
        <v>393.85179999999991</v>
      </c>
      <c r="O35" s="17"/>
      <c r="Q35" s="60">
        <v>4</v>
      </c>
      <c r="R35" s="52">
        <v>44795</v>
      </c>
      <c r="S35" s="53">
        <v>266.86099999999993</v>
      </c>
      <c r="U35" s="15">
        <f>Forecast!F5</f>
        <v>393.85179999999991</v>
      </c>
      <c r="W35" s="17"/>
    </row>
    <row r="36" spans="1:23" x14ac:dyDescent="0.3">
      <c r="A36" s="51">
        <v>5</v>
      </c>
      <c r="B36" s="52">
        <v>44802</v>
      </c>
      <c r="C36" s="53">
        <v>345.49199999999996</v>
      </c>
      <c r="E36" s="15">
        <f>Forecast!F6</f>
        <v>304.95823999999993</v>
      </c>
      <c r="G36" s="17"/>
      <c r="I36" s="60">
        <v>5</v>
      </c>
      <c r="J36" s="52">
        <v>44802</v>
      </c>
      <c r="K36" s="53">
        <v>345.49199999999996</v>
      </c>
      <c r="M36" s="15">
        <f>Forecast!F6</f>
        <v>304.95823999999993</v>
      </c>
      <c r="O36" s="17"/>
      <c r="Q36" s="60">
        <v>5</v>
      </c>
      <c r="R36" s="52">
        <v>44802</v>
      </c>
      <c r="S36" s="53">
        <v>345.49199999999996</v>
      </c>
      <c r="U36" s="15">
        <f>Forecast!F6</f>
        <v>304.95823999999993</v>
      </c>
      <c r="W36" s="17"/>
    </row>
    <row r="37" spans="1:23" x14ac:dyDescent="0.3">
      <c r="A37" s="51">
        <v>6</v>
      </c>
      <c r="B37" s="52">
        <v>44809</v>
      </c>
      <c r="C37" s="53">
        <v>210</v>
      </c>
      <c r="D37">
        <v>2858.877</v>
      </c>
      <c r="E37" s="15">
        <f>Forecast!F7</f>
        <v>333.33187199999998</v>
      </c>
      <c r="F37" s="13">
        <f>D37-C37</f>
        <v>2648.877</v>
      </c>
      <c r="G37" s="17">
        <f>IF(D37&lt;$B$20,$B$13,0)</f>
        <v>0</v>
      </c>
      <c r="I37" s="60">
        <v>6</v>
      </c>
      <c r="J37" s="52">
        <v>44809</v>
      </c>
      <c r="K37" s="53">
        <v>210</v>
      </c>
      <c r="L37">
        <v>2858.877</v>
      </c>
      <c r="M37" s="15">
        <f>Forecast!F7</f>
        <v>333.33187199999998</v>
      </c>
      <c r="N37" s="13">
        <f>L37-K37</f>
        <v>2648.877</v>
      </c>
      <c r="O37" s="17">
        <f>IF(L37&lt;$J$20,$B$13,0)</f>
        <v>0</v>
      </c>
      <c r="Q37" s="60">
        <v>6</v>
      </c>
      <c r="R37" s="52">
        <v>44809</v>
      </c>
      <c r="S37" s="53">
        <v>210</v>
      </c>
      <c r="T37">
        <v>2858.877</v>
      </c>
      <c r="U37" s="15">
        <f>Forecast!F7</f>
        <v>333.33187199999998</v>
      </c>
      <c r="V37" s="13">
        <f>T37-S37</f>
        <v>2648.877</v>
      </c>
      <c r="W37" s="17">
        <f>IF(T37&lt;$R$20,$B$13,0)</f>
        <v>0</v>
      </c>
    </row>
    <row r="38" spans="1:23" x14ac:dyDescent="0.3">
      <c r="A38" s="51">
        <v>7</v>
      </c>
      <c r="B38" s="52">
        <v>44816</v>
      </c>
      <c r="C38" s="53">
        <v>389.303</v>
      </c>
      <c r="D38" s="13">
        <f>G37+F37</f>
        <v>2648.877</v>
      </c>
      <c r="E38" s="15">
        <f>Forecast!F8</f>
        <v>246.99956159999999</v>
      </c>
      <c r="F38" s="13">
        <f t="shared" ref="F38:F71" si="0">D38-C38</f>
        <v>2259.5740000000001</v>
      </c>
      <c r="G38" s="17">
        <f t="shared" ref="G38:G71" si="1">IF(D38&lt;$B$20,$B$13,0)</f>
        <v>0</v>
      </c>
      <c r="I38" s="60">
        <v>7</v>
      </c>
      <c r="J38" s="52">
        <v>44816</v>
      </c>
      <c r="K38" s="53">
        <v>389.303</v>
      </c>
      <c r="L38" s="13">
        <f>O37+N37</f>
        <v>2648.877</v>
      </c>
      <c r="M38" s="15">
        <f>Forecast!F8</f>
        <v>246.99956159999999</v>
      </c>
      <c r="N38" s="13">
        <f t="shared" ref="N38:N71" si="2">L38-K38</f>
        <v>2259.5740000000001</v>
      </c>
      <c r="O38" s="17">
        <f t="shared" ref="O38:O71" si="3">IF(L38&lt;$J$20,$B$13,0)</f>
        <v>0</v>
      </c>
      <c r="Q38" s="60">
        <v>7</v>
      </c>
      <c r="R38" s="52">
        <v>44816</v>
      </c>
      <c r="S38" s="53">
        <v>389.303</v>
      </c>
      <c r="T38" s="13">
        <f>W37+V37</f>
        <v>2648.877</v>
      </c>
      <c r="U38" s="15">
        <f>Forecast!F8</f>
        <v>246.99956159999999</v>
      </c>
      <c r="V38" s="13">
        <f t="shared" ref="V38:V71" si="4">T38-S38</f>
        <v>2259.5740000000001</v>
      </c>
      <c r="W38" s="17">
        <f t="shared" ref="W38:W71" si="5">IF(T38&lt;$R$20,$B$13,0)</f>
        <v>0</v>
      </c>
    </row>
    <row r="39" spans="1:23" x14ac:dyDescent="0.3">
      <c r="A39" s="51">
        <v>8</v>
      </c>
      <c r="B39" s="52">
        <v>44823</v>
      </c>
      <c r="C39" s="53">
        <v>399.76599999999996</v>
      </c>
      <c r="D39" s="13">
        <f t="shared" ref="D39:D71" si="6">G38+F38</f>
        <v>2259.5740000000001</v>
      </c>
      <c r="E39" s="15">
        <f>Forecast!F9</f>
        <v>346.61196847999997</v>
      </c>
      <c r="F39" s="13">
        <f t="shared" si="0"/>
        <v>1859.808</v>
      </c>
      <c r="G39" s="17">
        <f t="shared" si="1"/>
        <v>0</v>
      </c>
      <c r="I39" s="60">
        <v>8</v>
      </c>
      <c r="J39" s="52">
        <v>44823</v>
      </c>
      <c r="K39" s="53">
        <v>399.76599999999996</v>
      </c>
      <c r="L39" s="13">
        <f t="shared" ref="L39:L71" si="7">O38+N38</f>
        <v>2259.5740000000001</v>
      </c>
      <c r="M39" s="15">
        <f>Forecast!F9</f>
        <v>346.61196847999997</v>
      </c>
      <c r="N39" s="13">
        <f t="shared" si="2"/>
        <v>1859.808</v>
      </c>
      <c r="O39" s="17">
        <f t="shared" si="3"/>
        <v>0</v>
      </c>
      <c r="Q39" s="60">
        <v>8</v>
      </c>
      <c r="R39" s="52">
        <v>44823</v>
      </c>
      <c r="S39" s="53">
        <v>399.76599999999996</v>
      </c>
      <c r="T39" s="13">
        <f t="shared" ref="T39:T71" si="8">W38+V38</f>
        <v>2259.5740000000001</v>
      </c>
      <c r="U39" s="15">
        <f>Forecast!F9</f>
        <v>346.61196847999997</v>
      </c>
      <c r="V39" s="13">
        <f t="shared" si="4"/>
        <v>1859.808</v>
      </c>
      <c r="W39" s="17">
        <f t="shared" si="5"/>
        <v>0</v>
      </c>
    </row>
    <row r="40" spans="1:23" x14ac:dyDescent="0.3">
      <c r="A40" s="51">
        <v>9</v>
      </c>
      <c r="B40" s="52">
        <v>44830</v>
      </c>
      <c r="C40" s="53">
        <v>492.44599999999997</v>
      </c>
      <c r="D40" s="13">
        <f t="shared" si="6"/>
        <v>1859.808</v>
      </c>
      <c r="E40" s="15">
        <f>Forecast!F10</f>
        <v>383.81979054399994</v>
      </c>
      <c r="F40" s="13">
        <f t="shared" si="0"/>
        <v>1367.3620000000001</v>
      </c>
      <c r="G40" s="17">
        <f t="shared" si="1"/>
        <v>0</v>
      </c>
      <c r="I40" s="60">
        <v>9</v>
      </c>
      <c r="J40" s="52">
        <v>44830</v>
      </c>
      <c r="K40" s="53">
        <v>492.44599999999997</v>
      </c>
      <c r="L40" s="13">
        <f t="shared" si="7"/>
        <v>1859.808</v>
      </c>
      <c r="M40" s="15">
        <f>Forecast!F10</f>
        <v>383.81979054399994</v>
      </c>
      <c r="N40" s="13">
        <f t="shared" si="2"/>
        <v>1367.3620000000001</v>
      </c>
      <c r="O40" s="17">
        <f t="shared" si="3"/>
        <v>0</v>
      </c>
      <c r="Q40" s="60">
        <v>9</v>
      </c>
      <c r="R40" s="52">
        <v>44830</v>
      </c>
      <c r="S40" s="53">
        <v>492.44599999999997</v>
      </c>
      <c r="T40" s="13">
        <f t="shared" si="8"/>
        <v>1859.808</v>
      </c>
      <c r="U40" s="15">
        <f>Forecast!F10</f>
        <v>383.81979054399994</v>
      </c>
      <c r="V40" s="13">
        <f t="shared" si="4"/>
        <v>1367.3620000000001</v>
      </c>
      <c r="W40" s="17">
        <f t="shared" si="5"/>
        <v>0</v>
      </c>
    </row>
    <row r="41" spans="1:23" x14ac:dyDescent="0.3">
      <c r="A41" s="51">
        <v>10</v>
      </c>
      <c r="B41" s="52">
        <v>44837</v>
      </c>
      <c r="C41" s="53">
        <v>740</v>
      </c>
      <c r="D41" s="13">
        <f t="shared" si="6"/>
        <v>1367.3620000000001</v>
      </c>
      <c r="E41" s="15">
        <f>Forecast!F11</f>
        <v>459.85813716319996</v>
      </c>
      <c r="F41" s="13">
        <f t="shared" si="0"/>
        <v>627.36200000000008</v>
      </c>
      <c r="G41" s="17">
        <f t="shared" si="1"/>
        <v>0</v>
      </c>
      <c r="I41" s="60">
        <v>10</v>
      </c>
      <c r="J41" s="52">
        <v>44837</v>
      </c>
      <c r="K41" s="53">
        <v>740</v>
      </c>
      <c r="L41" s="13">
        <f t="shared" si="7"/>
        <v>1367.3620000000001</v>
      </c>
      <c r="M41" s="15">
        <f>Forecast!F11</f>
        <v>459.85813716319996</v>
      </c>
      <c r="N41" s="13">
        <f t="shared" si="2"/>
        <v>627.36200000000008</v>
      </c>
      <c r="O41" s="17">
        <f t="shared" si="3"/>
        <v>0</v>
      </c>
      <c r="Q41" s="60">
        <v>10</v>
      </c>
      <c r="R41" s="52">
        <v>44837</v>
      </c>
      <c r="S41" s="53">
        <v>740</v>
      </c>
      <c r="T41" s="13">
        <f t="shared" si="8"/>
        <v>1367.3620000000001</v>
      </c>
      <c r="U41" s="15">
        <f>Forecast!F11</f>
        <v>459.85813716319996</v>
      </c>
      <c r="V41" s="13">
        <f t="shared" si="4"/>
        <v>627.36200000000008</v>
      </c>
      <c r="W41" s="17">
        <f t="shared" si="5"/>
        <v>0</v>
      </c>
    </row>
    <row r="42" spans="1:23" x14ac:dyDescent="0.3">
      <c r="A42" s="51">
        <v>11</v>
      </c>
      <c r="B42" s="52">
        <v>44844</v>
      </c>
      <c r="C42" s="53">
        <v>442.8245</v>
      </c>
      <c r="D42" s="13">
        <f t="shared" si="6"/>
        <v>627.36200000000008</v>
      </c>
      <c r="E42" s="15">
        <f>Forecast!F12</f>
        <v>655.95744114896002</v>
      </c>
      <c r="F42" s="13">
        <f t="shared" si="0"/>
        <v>184.53750000000008</v>
      </c>
      <c r="G42" s="17">
        <f t="shared" si="1"/>
        <v>808.23660067251762</v>
      </c>
      <c r="I42" s="60">
        <v>11</v>
      </c>
      <c r="J42" s="52">
        <v>44844</v>
      </c>
      <c r="K42" s="53">
        <v>442.8245</v>
      </c>
      <c r="L42" s="13">
        <f t="shared" si="7"/>
        <v>627.36200000000008</v>
      </c>
      <c r="M42" s="15">
        <f>Forecast!F12</f>
        <v>655.95744114896002</v>
      </c>
      <c r="N42" s="13">
        <f t="shared" si="2"/>
        <v>184.53750000000008</v>
      </c>
      <c r="O42" s="17">
        <f t="shared" si="3"/>
        <v>808.23660067251762</v>
      </c>
      <c r="Q42" s="60">
        <v>11</v>
      </c>
      <c r="R42" s="52">
        <v>44844</v>
      </c>
      <c r="S42" s="53">
        <v>442.8245</v>
      </c>
      <c r="T42" s="13">
        <f t="shared" si="8"/>
        <v>627.36200000000008</v>
      </c>
      <c r="U42" s="15">
        <f>Forecast!F12</f>
        <v>655.95744114896002</v>
      </c>
      <c r="V42" s="13">
        <f t="shared" si="4"/>
        <v>184.53750000000008</v>
      </c>
      <c r="W42" s="17">
        <f t="shared" si="5"/>
        <v>808.23660067251762</v>
      </c>
    </row>
    <row r="43" spans="1:23" x14ac:dyDescent="0.3">
      <c r="A43" s="51">
        <v>12</v>
      </c>
      <c r="B43" s="52">
        <v>44851</v>
      </c>
      <c r="C43" s="53">
        <v>561.22949999999992</v>
      </c>
      <c r="D43" s="13">
        <f t="shared" si="6"/>
        <v>992.77410067251776</v>
      </c>
      <c r="E43" s="15">
        <f>Forecast!F13</f>
        <v>506.76438234468799</v>
      </c>
      <c r="F43" s="13">
        <f t="shared" si="0"/>
        <v>431.54460067251784</v>
      </c>
      <c r="G43" s="17">
        <f t="shared" si="1"/>
        <v>0</v>
      </c>
      <c r="I43" s="60">
        <v>12</v>
      </c>
      <c r="J43" s="52">
        <v>44851</v>
      </c>
      <c r="K43" s="53">
        <v>561.22949999999992</v>
      </c>
      <c r="L43" s="13">
        <f t="shared" si="7"/>
        <v>992.77410067251776</v>
      </c>
      <c r="M43" s="15">
        <f>Forecast!F13</f>
        <v>506.76438234468799</v>
      </c>
      <c r="N43" s="13">
        <f t="shared" si="2"/>
        <v>431.54460067251784</v>
      </c>
      <c r="O43" s="17">
        <f t="shared" si="3"/>
        <v>808.23660067251762</v>
      </c>
      <c r="Q43" s="60">
        <v>12</v>
      </c>
      <c r="R43" s="52">
        <v>44851</v>
      </c>
      <c r="S43" s="53">
        <v>561.22949999999992</v>
      </c>
      <c r="T43" s="13">
        <f t="shared" si="8"/>
        <v>992.77410067251776</v>
      </c>
      <c r="U43" s="15">
        <f>Forecast!F13</f>
        <v>506.76438234468799</v>
      </c>
      <c r="V43" s="13">
        <f t="shared" si="4"/>
        <v>431.54460067251784</v>
      </c>
      <c r="W43" s="17">
        <f t="shared" si="5"/>
        <v>808.23660067251762</v>
      </c>
    </row>
    <row r="44" spans="1:23" x14ac:dyDescent="0.3">
      <c r="A44" s="51">
        <v>13</v>
      </c>
      <c r="B44" s="52">
        <v>44858</v>
      </c>
      <c r="C44" s="53">
        <v>465.17099999999999</v>
      </c>
      <c r="D44" s="13">
        <f t="shared" si="6"/>
        <v>431.54460067251784</v>
      </c>
      <c r="E44" s="15">
        <f>Forecast!F14</f>
        <v>544.88996470340635</v>
      </c>
      <c r="F44" s="13">
        <f t="shared" si="0"/>
        <v>-33.626399327482147</v>
      </c>
      <c r="G44" s="17">
        <f t="shared" si="1"/>
        <v>808.23660067251762</v>
      </c>
      <c r="I44" s="60">
        <v>13</v>
      </c>
      <c r="J44" s="52">
        <v>44858</v>
      </c>
      <c r="K44" s="53">
        <v>465.17099999999999</v>
      </c>
      <c r="L44" s="13">
        <f t="shared" si="7"/>
        <v>1239.7812013450355</v>
      </c>
      <c r="M44" s="15">
        <f>Forecast!F14</f>
        <v>544.88996470340635</v>
      </c>
      <c r="N44" s="13">
        <f t="shared" si="2"/>
        <v>774.61020134503542</v>
      </c>
      <c r="O44" s="17">
        <f t="shared" si="3"/>
        <v>0</v>
      </c>
      <c r="Q44" s="60">
        <v>13</v>
      </c>
      <c r="R44" s="52">
        <v>44858</v>
      </c>
      <c r="S44" s="53">
        <v>465.17099999999999</v>
      </c>
      <c r="T44" s="13">
        <f t="shared" si="8"/>
        <v>1239.7812013450355</v>
      </c>
      <c r="U44" s="15">
        <f>Forecast!F14</f>
        <v>544.88996470340635</v>
      </c>
      <c r="V44" s="13">
        <f t="shared" si="4"/>
        <v>774.61020134503542</v>
      </c>
      <c r="W44" s="17">
        <f t="shared" si="5"/>
        <v>808.23660067251762</v>
      </c>
    </row>
    <row r="45" spans="1:23" x14ac:dyDescent="0.3">
      <c r="A45" s="51">
        <v>14</v>
      </c>
      <c r="B45" s="52">
        <v>44865</v>
      </c>
      <c r="C45" s="53">
        <v>631.76249999999993</v>
      </c>
      <c r="D45" s="13">
        <f t="shared" si="6"/>
        <v>774.61020134503542</v>
      </c>
      <c r="E45" s="15">
        <f>Forecast!F15</f>
        <v>489.08668941102189</v>
      </c>
      <c r="F45" s="13">
        <f t="shared" si="0"/>
        <v>142.84770134503549</v>
      </c>
      <c r="G45" s="17">
        <f t="shared" si="1"/>
        <v>808.23660067251762</v>
      </c>
      <c r="I45" s="60">
        <v>14</v>
      </c>
      <c r="J45" s="52">
        <v>44865</v>
      </c>
      <c r="K45" s="53">
        <v>631.76249999999993</v>
      </c>
      <c r="L45" s="13">
        <f t="shared" si="7"/>
        <v>774.61020134503542</v>
      </c>
      <c r="M45" s="15">
        <f>Forecast!F15</f>
        <v>489.08668941102189</v>
      </c>
      <c r="N45" s="13">
        <f t="shared" si="2"/>
        <v>142.84770134503549</v>
      </c>
      <c r="O45" s="17">
        <f t="shared" si="3"/>
        <v>808.23660067251762</v>
      </c>
      <c r="Q45" s="60">
        <v>14</v>
      </c>
      <c r="R45" s="52">
        <v>44865</v>
      </c>
      <c r="S45" s="53">
        <v>631.76249999999993</v>
      </c>
      <c r="T45" s="13">
        <f t="shared" si="8"/>
        <v>1582.846802017553</v>
      </c>
      <c r="U45" s="15">
        <f>Forecast!F15</f>
        <v>489.08668941102189</v>
      </c>
      <c r="V45" s="13">
        <f t="shared" si="4"/>
        <v>951.08430201755311</v>
      </c>
      <c r="W45" s="17">
        <f t="shared" si="5"/>
        <v>0</v>
      </c>
    </row>
    <row r="46" spans="1:23" x14ac:dyDescent="0.3">
      <c r="A46" s="51">
        <v>15</v>
      </c>
      <c r="B46" s="52">
        <v>44872</v>
      </c>
      <c r="C46" s="53">
        <v>422.72049999999996</v>
      </c>
      <c r="D46" s="13">
        <f t="shared" si="6"/>
        <v>951.08430201755311</v>
      </c>
      <c r="E46" s="15">
        <f>Forecast!F16</f>
        <v>588.95975682330652</v>
      </c>
      <c r="F46" s="13">
        <f t="shared" si="0"/>
        <v>528.3638020175531</v>
      </c>
      <c r="G46" s="17">
        <f t="shared" si="1"/>
        <v>808.23660067251762</v>
      </c>
      <c r="I46" s="60">
        <v>15</v>
      </c>
      <c r="J46" s="52">
        <v>44872</v>
      </c>
      <c r="K46" s="53">
        <v>422.72049999999996</v>
      </c>
      <c r="L46" s="13">
        <f t="shared" si="7"/>
        <v>951.08430201755311</v>
      </c>
      <c r="M46" s="15">
        <f>Forecast!F16</f>
        <v>588.95975682330652</v>
      </c>
      <c r="N46" s="13">
        <f t="shared" si="2"/>
        <v>528.3638020175531</v>
      </c>
      <c r="O46" s="17">
        <f t="shared" si="3"/>
        <v>808.23660067251762</v>
      </c>
      <c r="Q46" s="60">
        <v>15</v>
      </c>
      <c r="R46" s="52">
        <v>44872</v>
      </c>
      <c r="S46" s="53">
        <v>422.72049999999996</v>
      </c>
      <c r="T46" s="13">
        <f t="shared" si="8"/>
        <v>951.08430201755311</v>
      </c>
      <c r="U46" s="15">
        <f>Forecast!F16</f>
        <v>588.95975682330652</v>
      </c>
      <c r="V46" s="13">
        <f t="shared" si="4"/>
        <v>528.3638020175531</v>
      </c>
      <c r="W46" s="17">
        <f t="shared" si="5"/>
        <v>808.23660067251762</v>
      </c>
    </row>
    <row r="47" spans="1:23" x14ac:dyDescent="0.3">
      <c r="A47" s="51">
        <v>16</v>
      </c>
      <c r="B47" s="52">
        <v>44879</v>
      </c>
      <c r="C47" s="53">
        <v>433.69350000000003</v>
      </c>
      <c r="D47" s="13">
        <f t="shared" si="6"/>
        <v>1336.6004026900707</v>
      </c>
      <c r="E47" s="15">
        <f>Forecast!F17</f>
        <v>472.59227704699197</v>
      </c>
      <c r="F47" s="13">
        <f t="shared" si="0"/>
        <v>902.90690269007064</v>
      </c>
      <c r="G47" s="17">
        <f t="shared" si="1"/>
        <v>0</v>
      </c>
      <c r="I47" s="60">
        <v>16</v>
      </c>
      <c r="J47" s="52">
        <v>44879</v>
      </c>
      <c r="K47" s="53">
        <v>433.69350000000003</v>
      </c>
      <c r="L47" s="13">
        <f t="shared" si="7"/>
        <v>1336.6004026900707</v>
      </c>
      <c r="M47" s="15">
        <f>Forecast!F17</f>
        <v>472.59227704699197</v>
      </c>
      <c r="N47" s="13">
        <f t="shared" si="2"/>
        <v>902.90690269007064</v>
      </c>
      <c r="O47" s="17">
        <f t="shared" si="3"/>
        <v>0</v>
      </c>
      <c r="Q47" s="60">
        <v>16</v>
      </c>
      <c r="R47" s="52">
        <v>44879</v>
      </c>
      <c r="S47" s="53">
        <v>433.69350000000003</v>
      </c>
      <c r="T47" s="13">
        <f t="shared" si="8"/>
        <v>1336.6004026900707</v>
      </c>
      <c r="U47" s="15">
        <f>Forecast!F17</f>
        <v>472.59227704699197</v>
      </c>
      <c r="V47" s="13">
        <f t="shared" si="4"/>
        <v>902.90690269007064</v>
      </c>
      <c r="W47" s="17">
        <f t="shared" si="5"/>
        <v>0</v>
      </c>
    </row>
    <row r="48" spans="1:23" x14ac:dyDescent="0.3">
      <c r="A48" s="51">
        <v>17</v>
      </c>
      <c r="B48" s="52">
        <v>44886</v>
      </c>
      <c r="C48" s="53">
        <v>599.79399999999998</v>
      </c>
      <c r="D48" s="13">
        <f t="shared" si="6"/>
        <v>902.90690269007064</v>
      </c>
      <c r="E48" s="15">
        <f>Forecast!F18</f>
        <v>445.36313311409759</v>
      </c>
      <c r="F48" s="13">
        <f t="shared" si="0"/>
        <v>303.11290269007065</v>
      </c>
      <c r="G48" s="17">
        <f t="shared" si="1"/>
        <v>808.23660067251762</v>
      </c>
      <c r="I48" s="60">
        <v>17</v>
      </c>
      <c r="J48" s="52">
        <v>44886</v>
      </c>
      <c r="K48" s="53">
        <v>599.79399999999998</v>
      </c>
      <c r="L48" s="13">
        <f t="shared" si="7"/>
        <v>902.90690269007064</v>
      </c>
      <c r="M48" s="15">
        <f>Forecast!F18</f>
        <v>445.36313311409759</v>
      </c>
      <c r="N48" s="13">
        <f t="shared" si="2"/>
        <v>303.11290269007065</v>
      </c>
      <c r="O48" s="17">
        <f t="shared" si="3"/>
        <v>808.23660067251762</v>
      </c>
      <c r="Q48" s="60">
        <v>17</v>
      </c>
      <c r="R48" s="52">
        <v>44886</v>
      </c>
      <c r="S48" s="53">
        <v>599.79399999999998</v>
      </c>
      <c r="T48" s="13">
        <f t="shared" si="8"/>
        <v>902.90690269007064</v>
      </c>
      <c r="U48" s="15">
        <f>Forecast!F18</f>
        <v>445.36313311409759</v>
      </c>
      <c r="V48" s="13">
        <f t="shared" si="4"/>
        <v>303.11290269007065</v>
      </c>
      <c r="W48" s="17">
        <f t="shared" si="5"/>
        <v>808.23660067251762</v>
      </c>
    </row>
    <row r="49" spans="1:23" x14ac:dyDescent="0.3">
      <c r="A49" s="51">
        <v>18</v>
      </c>
      <c r="B49" s="52">
        <v>44893</v>
      </c>
      <c r="C49" s="53">
        <v>655.98860000000002</v>
      </c>
      <c r="D49" s="13">
        <f t="shared" si="6"/>
        <v>1111.3495033625882</v>
      </c>
      <c r="E49" s="15">
        <f>Forecast!F19</f>
        <v>553.46473993422933</v>
      </c>
      <c r="F49" s="13">
        <f t="shared" si="0"/>
        <v>455.36090336258815</v>
      </c>
      <c r="G49" s="17">
        <f t="shared" si="1"/>
        <v>0</v>
      </c>
      <c r="I49" s="60">
        <v>18</v>
      </c>
      <c r="J49" s="52">
        <v>44893</v>
      </c>
      <c r="K49" s="53">
        <v>655.98860000000002</v>
      </c>
      <c r="L49" s="13">
        <f t="shared" si="7"/>
        <v>1111.3495033625882</v>
      </c>
      <c r="M49" s="15">
        <f>Forecast!F19</f>
        <v>553.46473993422933</v>
      </c>
      <c r="N49" s="13">
        <f t="shared" si="2"/>
        <v>455.36090336258815</v>
      </c>
      <c r="O49" s="17">
        <f t="shared" si="3"/>
        <v>0</v>
      </c>
      <c r="Q49" s="60">
        <v>18</v>
      </c>
      <c r="R49" s="52">
        <v>44893</v>
      </c>
      <c r="S49" s="53">
        <v>655.98860000000002</v>
      </c>
      <c r="T49" s="13">
        <f t="shared" si="8"/>
        <v>1111.3495033625882</v>
      </c>
      <c r="U49" s="15">
        <f>Forecast!F19</f>
        <v>553.46473993422933</v>
      </c>
      <c r="V49" s="13">
        <f t="shared" si="4"/>
        <v>455.36090336258815</v>
      </c>
      <c r="W49" s="17">
        <f t="shared" si="5"/>
        <v>808.23660067251762</v>
      </c>
    </row>
    <row r="50" spans="1:23" x14ac:dyDescent="0.3">
      <c r="A50" s="51">
        <v>19</v>
      </c>
      <c r="B50" s="52">
        <v>44900</v>
      </c>
      <c r="C50" s="53">
        <v>722.21949999999993</v>
      </c>
      <c r="D50" s="13">
        <f t="shared" si="6"/>
        <v>455.36090336258815</v>
      </c>
      <c r="E50" s="15">
        <f>Forecast!F20</f>
        <v>625.23144198026876</v>
      </c>
      <c r="F50" s="13">
        <f t="shared" si="0"/>
        <v>-266.85859663741178</v>
      </c>
      <c r="G50" s="17">
        <f t="shared" si="1"/>
        <v>808.23660067251762</v>
      </c>
      <c r="I50" s="60">
        <v>19</v>
      </c>
      <c r="J50" s="52">
        <v>44900</v>
      </c>
      <c r="K50" s="53">
        <v>722.21949999999993</v>
      </c>
      <c r="L50" s="13">
        <f t="shared" si="7"/>
        <v>455.36090336258815</v>
      </c>
      <c r="M50" s="15">
        <f>Forecast!F20</f>
        <v>625.23144198026876</v>
      </c>
      <c r="N50" s="13">
        <f t="shared" si="2"/>
        <v>-266.85859663741178</v>
      </c>
      <c r="O50" s="17">
        <f t="shared" si="3"/>
        <v>808.23660067251762</v>
      </c>
      <c r="Q50" s="60">
        <v>19</v>
      </c>
      <c r="R50" s="52">
        <v>44900</v>
      </c>
      <c r="S50" s="53">
        <v>722.21949999999993</v>
      </c>
      <c r="T50" s="13">
        <f t="shared" si="8"/>
        <v>1263.5975040351059</v>
      </c>
      <c r="U50" s="15">
        <f>Forecast!F20</f>
        <v>625.23144198026876</v>
      </c>
      <c r="V50" s="13">
        <f t="shared" si="4"/>
        <v>541.37800403510596</v>
      </c>
      <c r="W50" s="17">
        <f t="shared" si="5"/>
        <v>808.23660067251762</v>
      </c>
    </row>
    <row r="51" spans="1:23" x14ac:dyDescent="0.3">
      <c r="A51" s="51">
        <v>20</v>
      </c>
      <c r="B51" s="52">
        <v>44907</v>
      </c>
      <c r="C51" s="53">
        <v>619.43150000000003</v>
      </c>
      <c r="D51" s="13">
        <f t="shared" si="6"/>
        <v>541.37800403510585</v>
      </c>
      <c r="E51" s="15">
        <f>Forecast!F21</f>
        <v>693.12308259408053</v>
      </c>
      <c r="F51" s="13">
        <f t="shared" si="0"/>
        <v>-78.053495964894182</v>
      </c>
      <c r="G51" s="17">
        <f t="shared" si="1"/>
        <v>808.23660067251762</v>
      </c>
      <c r="I51" s="60">
        <v>20</v>
      </c>
      <c r="J51" s="52">
        <v>44907</v>
      </c>
      <c r="K51" s="53">
        <v>619.43150000000003</v>
      </c>
      <c r="L51" s="13">
        <f t="shared" si="7"/>
        <v>541.37800403510585</v>
      </c>
      <c r="M51" s="15">
        <f>Forecast!F21</f>
        <v>693.12308259408053</v>
      </c>
      <c r="N51" s="13">
        <f t="shared" si="2"/>
        <v>-78.053495964894182</v>
      </c>
      <c r="O51" s="17">
        <f t="shared" si="3"/>
        <v>808.23660067251762</v>
      </c>
      <c r="Q51" s="60">
        <v>20</v>
      </c>
      <c r="R51" s="52">
        <v>44907</v>
      </c>
      <c r="S51" s="53">
        <v>619.43150000000003</v>
      </c>
      <c r="T51" s="13">
        <f t="shared" si="8"/>
        <v>1349.6146047076236</v>
      </c>
      <c r="U51" s="15">
        <f>Forecast!F21</f>
        <v>693.12308259408053</v>
      </c>
      <c r="V51" s="13">
        <f t="shared" si="4"/>
        <v>730.18310470762356</v>
      </c>
      <c r="W51" s="17">
        <f t="shared" si="5"/>
        <v>0</v>
      </c>
    </row>
    <row r="52" spans="1:23" x14ac:dyDescent="0.3">
      <c r="A52" s="51">
        <v>21</v>
      </c>
      <c r="B52" s="52">
        <v>44914</v>
      </c>
      <c r="C52" s="53">
        <v>763.351</v>
      </c>
      <c r="D52" s="13">
        <f t="shared" si="6"/>
        <v>730.18310470762344</v>
      </c>
      <c r="E52" s="15">
        <f>Forecast!F22</f>
        <v>641.5389747782242</v>
      </c>
      <c r="F52" s="13">
        <f t="shared" si="0"/>
        <v>-33.167895292376556</v>
      </c>
      <c r="G52" s="17">
        <f t="shared" si="1"/>
        <v>808.23660067251762</v>
      </c>
      <c r="I52" s="60">
        <v>21</v>
      </c>
      <c r="J52" s="52">
        <v>44914</v>
      </c>
      <c r="K52" s="53">
        <v>763.351</v>
      </c>
      <c r="L52" s="13">
        <f t="shared" si="7"/>
        <v>730.18310470762344</v>
      </c>
      <c r="M52" s="15">
        <f>Forecast!F22</f>
        <v>641.5389747782242</v>
      </c>
      <c r="N52" s="13">
        <f t="shared" si="2"/>
        <v>-33.167895292376556</v>
      </c>
      <c r="O52" s="17">
        <f t="shared" si="3"/>
        <v>808.23660067251762</v>
      </c>
      <c r="Q52" s="60">
        <v>21</v>
      </c>
      <c r="R52" s="52">
        <v>44914</v>
      </c>
      <c r="S52" s="53">
        <v>763.351</v>
      </c>
      <c r="T52" s="13">
        <f t="shared" si="8"/>
        <v>730.18310470762356</v>
      </c>
      <c r="U52" s="15">
        <f>Forecast!F22</f>
        <v>641.5389747782242</v>
      </c>
      <c r="V52" s="13">
        <f t="shared" si="4"/>
        <v>-33.167895292376443</v>
      </c>
      <c r="W52" s="17">
        <f t="shared" si="5"/>
        <v>808.23660067251762</v>
      </c>
    </row>
    <row r="53" spans="1:23" x14ac:dyDescent="0.3">
      <c r="A53" s="51">
        <v>22</v>
      </c>
      <c r="B53" s="52">
        <v>44921</v>
      </c>
      <c r="C53" s="53">
        <v>621.17999999999995</v>
      </c>
      <c r="D53" s="13">
        <f t="shared" si="6"/>
        <v>775.06870538014107</v>
      </c>
      <c r="E53" s="15">
        <f>Forecast!F23</f>
        <v>726.80739243346727</v>
      </c>
      <c r="F53" s="13">
        <f t="shared" si="0"/>
        <v>153.88870538014112</v>
      </c>
      <c r="G53" s="17">
        <f t="shared" si="1"/>
        <v>808.23660067251762</v>
      </c>
      <c r="I53" s="60">
        <v>22</v>
      </c>
      <c r="J53" s="52">
        <v>44921</v>
      </c>
      <c r="K53" s="53">
        <v>621.17999999999995</v>
      </c>
      <c r="L53" s="13">
        <f t="shared" si="7"/>
        <v>775.06870538014107</v>
      </c>
      <c r="M53" s="15">
        <f>Forecast!F23</f>
        <v>726.80739243346727</v>
      </c>
      <c r="N53" s="13">
        <f t="shared" si="2"/>
        <v>153.88870538014112</v>
      </c>
      <c r="O53" s="17">
        <f t="shared" si="3"/>
        <v>808.23660067251762</v>
      </c>
      <c r="Q53" s="60">
        <v>22</v>
      </c>
      <c r="R53" s="52">
        <v>44921</v>
      </c>
      <c r="S53" s="53">
        <v>621.17999999999995</v>
      </c>
      <c r="T53" s="13">
        <f t="shared" si="8"/>
        <v>775.06870538014118</v>
      </c>
      <c r="U53" s="15">
        <f>Forecast!F23</f>
        <v>726.80739243346727</v>
      </c>
      <c r="V53" s="13">
        <f t="shared" si="4"/>
        <v>153.88870538014123</v>
      </c>
      <c r="W53" s="17">
        <f t="shared" si="5"/>
        <v>808.23660067251762</v>
      </c>
    </row>
    <row r="54" spans="1:23" x14ac:dyDescent="0.3">
      <c r="A54" s="51">
        <v>23</v>
      </c>
      <c r="B54" s="52">
        <v>44928</v>
      </c>
      <c r="C54" s="53">
        <v>738.29699999999991</v>
      </c>
      <c r="D54" s="13">
        <f t="shared" si="6"/>
        <v>962.12530605265874</v>
      </c>
      <c r="E54" s="15">
        <f>Forecast!F24</f>
        <v>652.86821773004021</v>
      </c>
      <c r="F54" s="13">
        <f t="shared" si="0"/>
        <v>223.82830605265883</v>
      </c>
      <c r="G54" s="17">
        <f t="shared" si="1"/>
        <v>808.23660067251762</v>
      </c>
      <c r="I54" s="60">
        <v>23</v>
      </c>
      <c r="J54" s="52">
        <v>44928</v>
      </c>
      <c r="K54" s="53">
        <v>738.29699999999991</v>
      </c>
      <c r="L54" s="13">
        <f t="shared" si="7"/>
        <v>962.12530605265874</v>
      </c>
      <c r="M54" s="15">
        <f>Forecast!F24</f>
        <v>652.86821773004021</v>
      </c>
      <c r="N54" s="13">
        <f t="shared" si="2"/>
        <v>223.82830605265883</v>
      </c>
      <c r="O54" s="17">
        <f t="shared" si="3"/>
        <v>808.23660067251762</v>
      </c>
      <c r="Q54" s="60">
        <v>23</v>
      </c>
      <c r="R54" s="52">
        <v>44928</v>
      </c>
      <c r="S54" s="53">
        <v>738.29699999999991</v>
      </c>
      <c r="T54" s="13">
        <f t="shared" si="8"/>
        <v>962.12530605265886</v>
      </c>
      <c r="U54" s="15">
        <f>Forecast!F24</f>
        <v>652.86821773004021</v>
      </c>
      <c r="V54" s="13">
        <f t="shared" si="4"/>
        <v>223.82830605265895</v>
      </c>
      <c r="W54" s="17">
        <f t="shared" si="5"/>
        <v>808.23660067251762</v>
      </c>
    </row>
    <row r="55" spans="1:23" x14ac:dyDescent="0.3">
      <c r="A55" s="51">
        <v>24</v>
      </c>
      <c r="B55" s="52">
        <v>44935</v>
      </c>
      <c r="C55" s="53">
        <v>851.45799999999997</v>
      </c>
      <c r="D55" s="13">
        <f t="shared" si="6"/>
        <v>1032.0649067251766</v>
      </c>
      <c r="E55" s="15">
        <f>Forecast!F25</f>
        <v>712.66836531901197</v>
      </c>
      <c r="F55" s="13">
        <f t="shared" si="0"/>
        <v>180.6069067251766</v>
      </c>
      <c r="G55" s="17">
        <f t="shared" si="1"/>
        <v>0</v>
      </c>
      <c r="I55" s="60">
        <v>24</v>
      </c>
      <c r="J55" s="52">
        <v>44935</v>
      </c>
      <c r="K55" s="53">
        <v>851.45799999999997</v>
      </c>
      <c r="L55" s="13">
        <f t="shared" si="7"/>
        <v>1032.0649067251766</v>
      </c>
      <c r="M55" s="15">
        <f>Forecast!F25</f>
        <v>712.66836531901197</v>
      </c>
      <c r="N55" s="13">
        <f t="shared" si="2"/>
        <v>180.6069067251766</v>
      </c>
      <c r="O55" s="17">
        <f t="shared" si="3"/>
        <v>808.23660067251762</v>
      </c>
      <c r="Q55" s="60">
        <v>24</v>
      </c>
      <c r="R55" s="52">
        <v>44935</v>
      </c>
      <c r="S55" s="53">
        <v>851.45799999999997</v>
      </c>
      <c r="T55" s="13">
        <f t="shared" si="8"/>
        <v>1032.0649067251766</v>
      </c>
      <c r="U55" s="15">
        <f>Forecast!F25</f>
        <v>712.66836531901197</v>
      </c>
      <c r="V55" s="13">
        <f t="shared" si="4"/>
        <v>180.6069067251766</v>
      </c>
      <c r="W55" s="17">
        <f t="shared" si="5"/>
        <v>808.23660067251762</v>
      </c>
    </row>
    <row r="56" spans="1:23" x14ac:dyDescent="0.3">
      <c r="A56" s="51">
        <v>25</v>
      </c>
      <c r="B56" s="52">
        <v>44942</v>
      </c>
      <c r="C56" s="53">
        <v>901.44500000000005</v>
      </c>
      <c r="D56" s="13">
        <f t="shared" si="6"/>
        <v>180.6069067251766</v>
      </c>
      <c r="E56" s="15">
        <f>Forecast!F26</f>
        <v>809.82110959570355</v>
      </c>
      <c r="F56" s="13">
        <f t="shared" si="0"/>
        <v>-720.83809327482345</v>
      </c>
      <c r="G56" s="17">
        <f t="shared" si="1"/>
        <v>808.23660067251762</v>
      </c>
      <c r="I56" s="60">
        <v>25</v>
      </c>
      <c r="J56" s="52">
        <v>44942</v>
      </c>
      <c r="K56" s="53">
        <v>901.44500000000005</v>
      </c>
      <c r="L56" s="13">
        <f t="shared" si="7"/>
        <v>988.84350739769422</v>
      </c>
      <c r="M56" s="15">
        <f>Forecast!F26</f>
        <v>809.82110959570355</v>
      </c>
      <c r="N56" s="13">
        <f t="shared" si="2"/>
        <v>87.398507397694175</v>
      </c>
      <c r="O56" s="17">
        <f t="shared" si="3"/>
        <v>808.23660067251762</v>
      </c>
      <c r="Q56" s="60">
        <v>25</v>
      </c>
      <c r="R56" s="52">
        <v>44942</v>
      </c>
      <c r="S56" s="53">
        <v>901.44500000000005</v>
      </c>
      <c r="T56" s="13">
        <f t="shared" si="8"/>
        <v>988.84350739769422</v>
      </c>
      <c r="U56" s="15">
        <f>Forecast!F26</f>
        <v>809.82110959570355</v>
      </c>
      <c r="V56" s="13">
        <f t="shared" si="4"/>
        <v>87.398507397694175</v>
      </c>
      <c r="W56" s="17">
        <f t="shared" si="5"/>
        <v>808.23660067251762</v>
      </c>
    </row>
    <row r="57" spans="1:23" x14ac:dyDescent="0.3">
      <c r="A57" s="51">
        <v>26</v>
      </c>
      <c r="B57" s="52">
        <v>44949</v>
      </c>
      <c r="C57" s="53">
        <v>899.22500000000002</v>
      </c>
      <c r="D57" s="13">
        <f t="shared" si="6"/>
        <v>87.398507397694175</v>
      </c>
      <c r="E57" s="15">
        <f>Forecast!F27</f>
        <v>873.95783287871109</v>
      </c>
      <c r="F57" s="13">
        <f t="shared" si="0"/>
        <v>-811.82649260230585</v>
      </c>
      <c r="G57" s="17">
        <f t="shared" si="1"/>
        <v>808.23660067251762</v>
      </c>
      <c r="I57" s="60">
        <v>26</v>
      </c>
      <c r="J57" s="52">
        <v>44949</v>
      </c>
      <c r="K57" s="53">
        <v>899.22500000000002</v>
      </c>
      <c r="L57" s="13">
        <f t="shared" si="7"/>
        <v>895.6351080702118</v>
      </c>
      <c r="M57" s="15">
        <f>Forecast!F27</f>
        <v>873.95783287871109</v>
      </c>
      <c r="N57" s="13">
        <f t="shared" si="2"/>
        <v>-3.589891929788223</v>
      </c>
      <c r="O57" s="17">
        <f t="shared" si="3"/>
        <v>808.23660067251762</v>
      </c>
      <c r="Q57" s="60">
        <v>26</v>
      </c>
      <c r="R57" s="52">
        <v>44949</v>
      </c>
      <c r="S57" s="53">
        <v>899.22500000000002</v>
      </c>
      <c r="T57" s="13">
        <f t="shared" si="8"/>
        <v>895.6351080702118</v>
      </c>
      <c r="U57" s="15">
        <f>Forecast!F27</f>
        <v>873.95783287871109</v>
      </c>
      <c r="V57" s="13">
        <f t="shared" si="4"/>
        <v>-3.589891929788223</v>
      </c>
      <c r="W57" s="17">
        <f t="shared" si="5"/>
        <v>808.23660067251762</v>
      </c>
    </row>
    <row r="58" spans="1:23" x14ac:dyDescent="0.3">
      <c r="A58" s="51">
        <v>27</v>
      </c>
      <c r="B58" s="52">
        <v>44956</v>
      </c>
      <c r="C58" s="53">
        <v>608.88599999999997</v>
      </c>
      <c r="D58" s="13">
        <f t="shared" si="6"/>
        <v>-3.589891929788223</v>
      </c>
      <c r="E58" s="15">
        <f>Forecast!F28</f>
        <v>891.64484986361333</v>
      </c>
      <c r="F58" s="13">
        <f t="shared" si="0"/>
        <v>-612.47589192978819</v>
      </c>
      <c r="G58" s="17">
        <f t="shared" si="1"/>
        <v>808.23660067251762</v>
      </c>
      <c r="I58" s="60">
        <v>27</v>
      </c>
      <c r="J58" s="52">
        <v>44956</v>
      </c>
      <c r="K58" s="53">
        <v>608.88599999999997</v>
      </c>
      <c r="L58" s="13">
        <f t="shared" si="7"/>
        <v>804.6467087427294</v>
      </c>
      <c r="M58" s="15">
        <f>Forecast!F28</f>
        <v>891.64484986361333</v>
      </c>
      <c r="N58" s="13">
        <f t="shared" si="2"/>
        <v>195.76070874272943</v>
      </c>
      <c r="O58" s="17">
        <f t="shared" si="3"/>
        <v>808.23660067251762</v>
      </c>
      <c r="Q58" s="60">
        <v>27</v>
      </c>
      <c r="R58" s="52">
        <v>44956</v>
      </c>
      <c r="S58" s="53">
        <v>608.88599999999997</v>
      </c>
      <c r="T58" s="13">
        <f t="shared" si="8"/>
        <v>804.6467087427294</v>
      </c>
      <c r="U58" s="15">
        <f>Forecast!F28</f>
        <v>891.64484986361333</v>
      </c>
      <c r="V58" s="13">
        <f t="shared" si="4"/>
        <v>195.76070874272943</v>
      </c>
      <c r="W58" s="17">
        <f t="shared" si="5"/>
        <v>808.23660067251762</v>
      </c>
    </row>
    <row r="59" spans="1:23" x14ac:dyDescent="0.3">
      <c r="A59" s="51">
        <v>28</v>
      </c>
      <c r="B59" s="52">
        <v>44963</v>
      </c>
      <c r="C59" s="53">
        <v>720.44100000000003</v>
      </c>
      <c r="D59" s="13">
        <f t="shared" si="6"/>
        <v>195.76070874272943</v>
      </c>
      <c r="E59" s="15">
        <f>Forecast!F29</f>
        <v>693.71365495908401</v>
      </c>
      <c r="F59" s="13">
        <f t="shared" si="0"/>
        <v>-524.6802912572706</v>
      </c>
      <c r="G59" s="17">
        <f t="shared" si="1"/>
        <v>808.23660067251762</v>
      </c>
      <c r="I59" s="60">
        <v>28</v>
      </c>
      <c r="J59" s="52">
        <v>44963</v>
      </c>
      <c r="K59" s="53">
        <v>720.44100000000003</v>
      </c>
      <c r="L59" s="13">
        <f t="shared" si="7"/>
        <v>1003.9973094152471</v>
      </c>
      <c r="M59" s="15">
        <f>Forecast!F29</f>
        <v>693.71365495908401</v>
      </c>
      <c r="N59" s="13">
        <f t="shared" si="2"/>
        <v>283.55630941524703</v>
      </c>
      <c r="O59" s="17">
        <f t="shared" si="3"/>
        <v>808.23660067251762</v>
      </c>
      <c r="Q59" s="60">
        <v>28</v>
      </c>
      <c r="R59" s="52">
        <v>44963</v>
      </c>
      <c r="S59" s="53">
        <v>720.44100000000003</v>
      </c>
      <c r="T59" s="13">
        <f t="shared" si="8"/>
        <v>1003.9973094152471</v>
      </c>
      <c r="U59" s="15">
        <f>Forecast!F29</f>
        <v>693.71365495908401</v>
      </c>
      <c r="V59" s="13">
        <f t="shared" si="4"/>
        <v>283.55630941524703</v>
      </c>
      <c r="W59" s="17">
        <f t="shared" si="5"/>
        <v>808.23660067251762</v>
      </c>
    </row>
    <row r="60" spans="1:23" x14ac:dyDescent="0.3">
      <c r="A60" s="51">
        <v>29</v>
      </c>
      <c r="B60" s="52">
        <v>44970</v>
      </c>
      <c r="C60" s="53">
        <v>757.4670000000001</v>
      </c>
      <c r="D60" s="13">
        <f t="shared" si="6"/>
        <v>283.55630941524703</v>
      </c>
      <c r="E60" s="15">
        <f>Forecast!F30</f>
        <v>712.42279648772524</v>
      </c>
      <c r="F60" s="13">
        <f t="shared" si="0"/>
        <v>-473.91069058475307</v>
      </c>
      <c r="G60" s="17">
        <f t="shared" si="1"/>
        <v>808.23660067251762</v>
      </c>
      <c r="I60" s="60">
        <v>29</v>
      </c>
      <c r="J60" s="52">
        <v>44970</v>
      </c>
      <c r="K60" s="53">
        <v>757.4670000000001</v>
      </c>
      <c r="L60" s="13">
        <f t="shared" si="7"/>
        <v>1091.7929100877645</v>
      </c>
      <c r="M60" s="15">
        <f>Forecast!F30</f>
        <v>712.42279648772524</v>
      </c>
      <c r="N60" s="13">
        <f t="shared" si="2"/>
        <v>334.32591008776444</v>
      </c>
      <c r="O60" s="17">
        <f t="shared" si="3"/>
        <v>808.23660067251762</v>
      </c>
      <c r="Q60" s="60">
        <v>29</v>
      </c>
      <c r="R60" s="52">
        <v>44970</v>
      </c>
      <c r="S60" s="53">
        <v>757.4670000000001</v>
      </c>
      <c r="T60" s="13">
        <f t="shared" si="8"/>
        <v>1091.7929100877645</v>
      </c>
      <c r="U60" s="15">
        <f>Forecast!F30</f>
        <v>712.42279648772524</v>
      </c>
      <c r="V60" s="13">
        <f t="shared" si="4"/>
        <v>334.32591008776444</v>
      </c>
      <c r="W60" s="17">
        <f t="shared" si="5"/>
        <v>808.23660067251762</v>
      </c>
    </row>
    <row r="61" spans="1:23" x14ac:dyDescent="0.3">
      <c r="A61" s="51">
        <v>30</v>
      </c>
      <c r="B61" s="52">
        <v>44977</v>
      </c>
      <c r="C61" s="53">
        <v>776.27</v>
      </c>
      <c r="D61" s="13">
        <f t="shared" si="6"/>
        <v>334.32591008776456</v>
      </c>
      <c r="E61" s="15">
        <f>Forecast!F31</f>
        <v>743.95373894631757</v>
      </c>
      <c r="F61" s="13">
        <f t="shared" si="0"/>
        <v>-441.94408991223543</v>
      </c>
      <c r="G61" s="17">
        <f t="shared" si="1"/>
        <v>808.23660067251762</v>
      </c>
      <c r="I61" s="60">
        <v>30</v>
      </c>
      <c r="J61" s="52">
        <v>44977</v>
      </c>
      <c r="K61" s="53">
        <v>776.27</v>
      </c>
      <c r="L61" s="13">
        <f t="shared" si="7"/>
        <v>1142.5625107602821</v>
      </c>
      <c r="M61" s="15">
        <f>Forecast!F31</f>
        <v>743.95373894631757</v>
      </c>
      <c r="N61" s="13">
        <f t="shared" si="2"/>
        <v>366.29251076028208</v>
      </c>
      <c r="O61" s="17">
        <f t="shared" si="3"/>
        <v>0</v>
      </c>
      <c r="Q61" s="60">
        <v>30</v>
      </c>
      <c r="R61" s="52">
        <v>44977</v>
      </c>
      <c r="S61" s="53">
        <v>776.27</v>
      </c>
      <c r="T61" s="13">
        <f t="shared" si="8"/>
        <v>1142.5625107602821</v>
      </c>
      <c r="U61" s="15">
        <f>Forecast!F31</f>
        <v>743.95373894631757</v>
      </c>
      <c r="V61" s="13">
        <f t="shared" si="4"/>
        <v>366.29251076028208</v>
      </c>
      <c r="W61" s="17">
        <f t="shared" si="5"/>
        <v>808.23660067251762</v>
      </c>
    </row>
    <row r="62" spans="1:23" x14ac:dyDescent="0.3">
      <c r="A62" s="51">
        <v>31</v>
      </c>
      <c r="B62" s="52">
        <v>44984</v>
      </c>
      <c r="C62" s="53">
        <v>912.07999999999993</v>
      </c>
      <c r="D62" s="13">
        <f t="shared" si="6"/>
        <v>366.2925107602822</v>
      </c>
      <c r="E62" s="15">
        <f>Forecast!F32</f>
        <v>766.57512168389519</v>
      </c>
      <c r="F62" s="13">
        <f t="shared" si="0"/>
        <v>-545.78748923971773</v>
      </c>
      <c r="G62" s="17">
        <f t="shared" si="1"/>
        <v>808.23660067251762</v>
      </c>
      <c r="I62" s="60">
        <v>31</v>
      </c>
      <c r="J62" s="52">
        <v>44984</v>
      </c>
      <c r="K62" s="53">
        <v>912.07999999999993</v>
      </c>
      <c r="L62" s="13">
        <f t="shared" si="7"/>
        <v>366.29251076028208</v>
      </c>
      <c r="M62" s="15">
        <f>Forecast!F32</f>
        <v>766.57512168389519</v>
      </c>
      <c r="N62" s="13">
        <f t="shared" si="2"/>
        <v>-545.78748923971784</v>
      </c>
      <c r="O62" s="17">
        <f t="shared" si="3"/>
        <v>808.23660067251762</v>
      </c>
      <c r="Q62" s="60">
        <v>31</v>
      </c>
      <c r="R62" s="52">
        <v>44984</v>
      </c>
      <c r="S62" s="53">
        <v>912.07999999999993</v>
      </c>
      <c r="T62" s="13">
        <f t="shared" si="8"/>
        <v>1174.5291114327997</v>
      </c>
      <c r="U62" s="15">
        <f>Forecast!F32</f>
        <v>766.57512168389519</v>
      </c>
      <c r="V62" s="13">
        <f t="shared" si="4"/>
        <v>262.44911143279978</v>
      </c>
      <c r="W62" s="17">
        <f t="shared" si="5"/>
        <v>808.23660067251762</v>
      </c>
    </row>
    <row r="63" spans="1:23" x14ac:dyDescent="0.3">
      <c r="A63" s="51">
        <v>32</v>
      </c>
      <c r="B63" s="52">
        <v>44991</v>
      </c>
      <c r="C63" s="53">
        <v>736.30000000000007</v>
      </c>
      <c r="D63" s="13">
        <f t="shared" si="6"/>
        <v>262.4491114327999</v>
      </c>
      <c r="E63" s="15">
        <f>Forecast!F33</f>
        <v>868.42853650516849</v>
      </c>
      <c r="F63" s="13">
        <f t="shared" si="0"/>
        <v>-473.85088856720017</v>
      </c>
      <c r="G63" s="17">
        <f t="shared" si="1"/>
        <v>808.23660067251762</v>
      </c>
      <c r="I63" s="60">
        <v>32</v>
      </c>
      <c r="J63" s="52">
        <v>44991</v>
      </c>
      <c r="K63" s="53">
        <v>736.30000000000007</v>
      </c>
      <c r="L63" s="13">
        <f t="shared" si="7"/>
        <v>262.44911143279978</v>
      </c>
      <c r="M63" s="15">
        <f>Forecast!F33</f>
        <v>868.42853650516849</v>
      </c>
      <c r="N63" s="13">
        <f t="shared" si="2"/>
        <v>-473.85088856720029</v>
      </c>
      <c r="O63" s="17">
        <f t="shared" si="3"/>
        <v>808.23660067251762</v>
      </c>
      <c r="Q63" s="60">
        <v>32</v>
      </c>
      <c r="R63" s="52">
        <v>44991</v>
      </c>
      <c r="S63" s="53">
        <v>736.30000000000007</v>
      </c>
      <c r="T63" s="13">
        <f t="shared" si="8"/>
        <v>1070.6857121053174</v>
      </c>
      <c r="U63" s="15">
        <f>Forecast!F33</f>
        <v>868.42853650516849</v>
      </c>
      <c r="V63" s="13">
        <f t="shared" si="4"/>
        <v>334.38571210531734</v>
      </c>
      <c r="W63" s="17">
        <f t="shared" si="5"/>
        <v>808.23660067251762</v>
      </c>
    </row>
    <row r="64" spans="1:23" x14ac:dyDescent="0.3">
      <c r="A64" s="51">
        <v>33</v>
      </c>
      <c r="B64" s="52">
        <v>44998</v>
      </c>
      <c r="C64" s="53">
        <v>849.06000000000006</v>
      </c>
      <c r="D64" s="13">
        <f t="shared" si="6"/>
        <v>334.38571210531745</v>
      </c>
      <c r="E64" s="15">
        <f>Forecast!F34</f>
        <v>775.93856095155047</v>
      </c>
      <c r="F64" s="13">
        <f t="shared" si="0"/>
        <v>-514.67428789468261</v>
      </c>
      <c r="G64" s="17">
        <f t="shared" si="1"/>
        <v>808.23660067251762</v>
      </c>
      <c r="I64" s="60">
        <v>33</v>
      </c>
      <c r="J64" s="52">
        <v>44998</v>
      </c>
      <c r="K64" s="53">
        <v>849.06000000000006</v>
      </c>
      <c r="L64" s="13">
        <f t="shared" si="7"/>
        <v>334.38571210531734</v>
      </c>
      <c r="M64" s="15">
        <f>Forecast!F34</f>
        <v>775.93856095155047</v>
      </c>
      <c r="N64" s="13">
        <f t="shared" si="2"/>
        <v>-514.67428789468272</v>
      </c>
      <c r="O64" s="17">
        <f t="shared" si="3"/>
        <v>808.23660067251762</v>
      </c>
      <c r="Q64" s="60">
        <v>33</v>
      </c>
      <c r="R64" s="52">
        <v>44998</v>
      </c>
      <c r="S64" s="53">
        <v>849.06000000000006</v>
      </c>
      <c r="T64" s="13">
        <f t="shared" si="8"/>
        <v>1142.6223127778348</v>
      </c>
      <c r="U64" s="15">
        <f>Forecast!F34</f>
        <v>775.93856095155047</v>
      </c>
      <c r="V64" s="13">
        <f t="shared" si="4"/>
        <v>293.56231277783479</v>
      </c>
      <c r="W64" s="17">
        <f t="shared" si="5"/>
        <v>808.23660067251762</v>
      </c>
    </row>
    <row r="65" spans="1:23" x14ac:dyDescent="0.3">
      <c r="A65" s="51">
        <v>34</v>
      </c>
      <c r="B65" s="52">
        <v>45005</v>
      </c>
      <c r="C65" s="53">
        <v>843.55700000000002</v>
      </c>
      <c r="D65" s="13">
        <f t="shared" si="6"/>
        <v>293.56231277783502</v>
      </c>
      <c r="E65" s="15">
        <f>Forecast!F35</f>
        <v>827.12356828546513</v>
      </c>
      <c r="F65" s="13">
        <f t="shared" si="0"/>
        <v>-549.994687222165</v>
      </c>
      <c r="G65" s="17">
        <f t="shared" si="1"/>
        <v>808.23660067251762</v>
      </c>
      <c r="I65" s="60">
        <v>34</v>
      </c>
      <c r="J65" s="52">
        <v>45005</v>
      </c>
      <c r="K65" s="53">
        <v>843.55700000000002</v>
      </c>
      <c r="L65" s="13">
        <f t="shared" si="7"/>
        <v>293.5623127778349</v>
      </c>
      <c r="M65" s="15">
        <f>Forecast!F35</f>
        <v>827.12356828546513</v>
      </c>
      <c r="N65" s="13">
        <f t="shared" si="2"/>
        <v>-549.99468722216511</v>
      </c>
      <c r="O65" s="17">
        <f t="shared" si="3"/>
        <v>808.23660067251762</v>
      </c>
      <c r="Q65" s="60">
        <v>34</v>
      </c>
      <c r="R65" s="52">
        <v>45005</v>
      </c>
      <c r="S65" s="53">
        <v>843.55700000000002</v>
      </c>
      <c r="T65" s="13">
        <f t="shared" si="8"/>
        <v>1101.7989134503523</v>
      </c>
      <c r="U65" s="15">
        <f>Forecast!F35</f>
        <v>827.12356828546513</v>
      </c>
      <c r="V65" s="13">
        <f t="shared" si="4"/>
        <v>258.24191345035229</v>
      </c>
      <c r="W65" s="17">
        <f t="shared" si="5"/>
        <v>808.23660067251762</v>
      </c>
    </row>
    <row r="66" spans="1:23" x14ac:dyDescent="0.3">
      <c r="A66" s="51">
        <v>35</v>
      </c>
      <c r="B66" s="52">
        <v>45012</v>
      </c>
      <c r="C66" s="53">
        <v>726.99000000000012</v>
      </c>
      <c r="D66" s="13">
        <f t="shared" si="6"/>
        <v>258.24191345035263</v>
      </c>
      <c r="E66" s="15">
        <f>Forecast!F36</f>
        <v>838.6269704856395</v>
      </c>
      <c r="F66" s="13">
        <f t="shared" si="0"/>
        <v>-468.7480865496475</v>
      </c>
      <c r="G66" s="17">
        <f t="shared" si="1"/>
        <v>808.23660067251762</v>
      </c>
      <c r="I66" s="60">
        <v>35</v>
      </c>
      <c r="J66" s="52">
        <v>45012</v>
      </c>
      <c r="K66" s="53">
        <v>726.99000000000012</v>
      </c>
      <c r="L66" s="13">
        <f t="shared" si="7"/>
        <v>258.24191345035251</v>
      </c>
      <c r="M66" s="15">
        <f>Forecast!F36</f>
        <v>838.6269704856395</v>
      </c>
      <c r="N66" s="13">
        <f t="shared" si="2"/>
        <v>-468.74808654964761</v>
      </c>
      <c r="O66" s="17">
        <f t="shared" si="3"/>
        <v>808.23660067251762</v>
      </c>
      <c r="Q66" s="60">
        <v>35</v>
      </c>
      <c r="R66" s="52">
        <v>45012</v>
      </c>
      <c r="S66" s="53">
        <v>726.99000000000012</v>
      </c>
      <c r="T66" s="13">
        <f t="shared" si="8"/>
        <v>1066.4785141228699</v>
      </c>
      <c r="U66" s="15">
        <f>Forecast!F36</f>
        <v>838.6269704856395</v>
      </c>
      <c r="V66" s="13">
        <f t="shared" si="4"/>
        <v>339.48851412286979</v>
      </c>
      <c r="W66" s="17">
        <f t="shared" si="5"/>
        <v>808.23660067251762</v>
      </c>
    </row>
    <row r="67" spans="1:23" x14ac:dyDescent="0.3">
      <c r="A67" s="51">
        <v>36</v>
      </c>
      <c r="B67" s="52">
        <v>45019</v>
      </c>
      <c r="C67" s="53">
        <v>820.97399999999993</v>
      </c>
      <c r="D67" s="13">
        <f t="shared" si="6"/>
        <v>339.48851412287013</v>
      </c>
      <c r="E67" s="15">
        <f>Forecast!F37</f>
        <v>760.48109114569195</v>
      </c>
      <c r="F67" s="13">
        <f t="shared" si="0"/>
        <v>-481.4854858771298</v>
      </c>
      <c r="G67" s="17">
        <f t="shared" si="1"/>
        <v>808.23660067251762</v>
      </c>
      <c r="I67" s="60">
        <v>36</v>
      </c>
      <c r="J67" s="52">
        <v>45019</v>
      </c>
      <c r="K67" s="53">
        <v>820.97399999999993</v>
      </c>
      <c r="L67" s="13">
        <f t="shared" si="7"/>
        <v>339.48851412287001</v>
      </c>
      <c r="M67" s="15">
        <f>Forecast!F37</f>
        <v>760.48109114569195</v>
      </c>
      <c r="N67" s="13">
        <f t="shared" si="2"/>
        <v>-481.48548587712992</v>
      </c>
      <c r="O67" s="17">
        <f t="shared" si="3"/>
        <v>808.23660067251762</v>
      </c>
      <c r="Q67" s="60">
        <v>36</v>
      </c>
      <c r="R67" s="52">
        <v>45019</v>
      </c>
      <c r="S67" s="53">
        <v>820.97399999999993</v>
      </c>
      <c r="T67" s="13">
        <f t="shared" si="8"/>
        <v>1147.7251147953875</v>
      </c>
      <c r="U67" s="15">
        <f>Forecast!F37</f>
        <v>760.48109114569195</v>
      </c>
      <c r="V67" s="13">
        <f t="shared" si="4"/>
        <v>326.75111479538759</v>
      </c>
      <c r="W67" s="17">
        <f t="shared" si="5"/>
        <v>808.23660067251762</v>
      </c>
    </row>
    <row r="68" spans="1:23" x14ac:dyDescent="0.3">
      <c r="A68" s="51">
        <v>37</v>
      </c>
      <c r="B68" s="52">
        <v>45026</v>
      </c>
      <c r="C68" s="53">
        <v>767.37100000000009</v>
      </c>
      <c r="D68" s="13">
        <f t="shared" si="6"/>
        <v>326.75111479538782</v>
      </c>
      <c r="E68" s="15">
        <f>Forecast!F38</f>
        <v>802.82612734370764</v>
      </c>
      <c r="F68" s="13">
        <f t="shared" si="0"/>
        <v>-440.61988520461227</v>
      </c>
      <c r="G68" s="17">
        <f t="shared" si="1"/>
        <v>808.23660067251762</v>
      </c>
      <c r="I68" s="60">
        <v>37</v>
      </c>
      <c r="J68" s="52">
        <v>45026</v>
      </c>
      <c r="K68" s="53">
        <v>767.37100000000009</v>
      </c>
      <c r="L68" s="13">
        <f t="shared" si="7"/>
        <v>326.75111479538771</v>
      </c>
      <c r="M68" s="15">
        <f>Forecast!F38</f>
        <v>802.82612734370764</v>
      </c>
      <c r="N68" s="13">
        <f t="shared" si="2"/>
        <v>-440.61988520461239</v>
      </c>
      <c r="O68" s="17">
        <f t="shared" si="3"/>
        <v>808.23660067251762</v>
      </c>
      <c r="Q68" s="60">
        <v>37</v>
      </c>
      <c r="R68" s="52">
        <v>45026</v>
      </c>
      <c r="S68" s="53">
        <v>767.37100000000009</v>
      </c>
      <c r="T68" s="13">
        <f t="shared" si="8"/>
        <v>1134.9877154679052</v>
      </c>
      <c r="U68" s="15">
        <f>Forecast!F38</f>
        <v>802.82612734370764</v>
      </c>
      <c r="V68" s="13">
        <f t="shared" si="4"/>
        <v>367.61671546790512</v>
      </c>
      <c r="W68" s="17">
        <f t="shared" si="5"/>
        <v>808.23660067251762</v>
      </c>
    </row>
    <row r="69" spans="1:23" x14ac:dyDescent="0.3">
      <c r="A69" s="51">
        <v>38</v>
      </c>
      <c r="B69" s="52">
        <v>45033</v>
      </c>
      <c r="C69" s="53">
        <v>886.46800000000007</v>
      </c>
      <c r="D69" s="13">
        <f t="shared" si="6"/>
        <v>367.61671546790535</v>
      </c>
      <c r="E69" s="15">
        <f>Forecast!F39</f>
        <v>778.0075382031124</v>
      </c>
      <c r="F69" s="13">
        <f t="shared" si="0"/>
        <v>-518.85128453209472</v>
      </c>
      <c r="G69" s="17">
        <f t="shared" si="1"/>
        <v>808.23660067251762</v>
      </c>
      <c r="I69" s="60">
        <v>38</v>
      </c>
      <c r="J69" s="52">
        <v>45033</v>
      </c>
      <c r="K69" s="53">
        <v>886.46800000000007</v>
      </c>
      <c r="L69" s="13">
        <f t="shared" si="7"/>
        <v>367.61671546790524</v>
      </c>
      <c r="M69" s="15">
        <f>Forecast!F39</f>
        <v>778.0075382031124</v>
      </c>
      <c r="N69" s="13">
        <f t="shared" si="2"/>
        <v>-518.85128453209484</v>
      </c>
      <c r="O69" s="17">
        <f t="shared" si="3"/>
        <v>808.23660067251762</v>
      </c>
      <c r="Q69" s="60">
        <v>38</v>
      </c>
      <c r="R69" s="52">
        <v>45033</v>
      </c>
      <c r="S69" s="53">
        <v>886.46800000000007</v>
      </c>
      <c r="T69" s="13">
        <f t="shared" si="8"/>
        <v>1175.8533161404227</v>
      </c>
      <c r="U69" s="15">
        <f>Forecast!F39</f>
        <v>778.0075382031124</v>
      </c>
      <c r="V69" s="13">
        <f t="shared" si="4"/>
        <v>289.38531614042267</v>
      </c>
      <c r="W69" s="17">
        <f t="shared" si="5"/>
        <v>808.23660067251762</v>
      </c>
    </row>
    <row r="70" spans="1:23" x14ac:dyDescent="0.3">
      <c r="A70" s="51">
        <v>39</v>
      </c>
      <c r="B70" s="52">
        <v>45040</v>
      </c>
      <c r="C70" s="53">
        <v>902.46799999999996</v>
      </c>
      <c r="D70" s="13">
        <f t="shared" si="6"/>
        <v>289.3853161404229</v>
      </c>
      <c r="E70" s="15">
        <f>Forecast!F40</f>
        <v>853.92986146093381</v>
      </c>
      <c r="F70" s="13">
        <f t="shared" si="0"/>
        <v>-613.08268385957706</v>
      </c>
      <c r="G70" s="17">
        <f t="shared" si="1"/>
        <v>808.23660067251762</v>
      </c>
      <c r="I70" s="60">
        <v>39</v>
      </c>
      <c r="J70" s="52">
        <v>45040</v>
      </c>
      <c r="K70" s="53">
        <v>902.46799999999996</v>
      </c>
      <c r="L70" s="13">
        <f t="shared" si="7"/>
        <v>289.38531614042279</v>
      </c>
      <c r="M70" s="15">
        <f>Forecast!F40</f>
        <v>853.92986146093381</v>
      </c>
      <c r="N70" s="13">
        <f t="shared" si="2"/>
        <v>-613.08268385957717</v>
      </c>
      <c r="O70" s="17">
        <f t="shared" si="3"/>
        <v>808.23660067251762</v>
      </c>
      <c r="Q70" s="60">
        <v>39</v>
      </c>
      <c r="R70" s="52">
        <v>45040</v>
      </c>
      <c r="S70" s="53">
        <v>902.46799999999996</v>
      </c>
      <c r="T70" s="13">
        <f t="shared" si="8"/>
        <v>1097.6219168129403</v>
      </c>
      <c r="U70" s="15">
        <f>Forecast!F40</f>
        <v>853.92986146093381</v>
      </c>
      <c r="V70" s="13">
        <f t="shared" si="4"/>
        <v>195.15391681294034</v>
      </c>
      <c r="W70" s="17">
        <f t="shared" si="5"/>
        <v>808.23660067251762</v>
      </c>
    </row>
    <row r="71" spans="1:23" x14ac:dyDescent="0.3">
      <c r="A71" s="51">
        <v>40</v>
      </c>
      <c r="B71" s="52">
        <v>45047</v>
      </c>
      <c r="C71" s="53"/>
      <c r="D71" s="13">
        <f t="shared" si="6"/>
        <v>195.15391681294057</v>
      </c>
      <c r="E71" s="48" t="s">
        <v>67</v>
      </c>
      <c r="F71" s="13">
        <f t="shared" si="0"/>
        <v>195.15391681294057</v>
      </c>
      <c r="G71" s="17">
        <f t="shared" si="1"/>
        <v>808.23660067251762</v>
      </c>
      <c r="I71" s="60">
        <v>40</v>
      </c>
      <c r="J71" s="52">
        <v>45047</v>
      </c>
      <c r="K71" s="53"/>
      <c r="L71" s="13">
        <f t="shared" si="7"/>
        <v>195.15391681294045</v>
      </c>
      <c r="M71" s="15">
        <f>Forecast!F41</f>
        <v>0</v>
      </c>
      <c r="N71" s="13">
        <f t="shared" si="2"/>
        <v>195.15391681294045</v>
      </c>
      <c r="O71" s="17">
        <f t="shared" si="3"/>
        <v>808.23660067251762</v>
      </c>
      <c r="Q71" s="60">
        <v>40</v>
      </c>
      <c r="R71" s="52">
        <v>45047</v>
      </c>
      <c r="S71" s="53"/>
      <c r="T71" s="13">
        <f t="shared" si="8"/>
        <v>1003.390517485458</v>
      </c>
      <c r="U71" s="15">
        <f>Forecast!F41</f>
        <v>0</v>
      </c>
      <c r="V71" s="13">
        <f t="shared" si="4"/>
        <v>1003.390517485458</v>
      </c>
      <c r="W71" s="17">
        <f t="shared" si="5"/>
        <v>808.23660067251762</v>
      </c>
    </row>
    <row r="72" spans="1:23" x14ac:dyDescent="0.3">
      <c r="A72" s="51">
        <v>41</v>
      </c>
      <c r="B72" s="52">
        <v>45054</v>
      </c>
      <c r="C72" s="53"/>
      <c r="D72" s="13"/>
      <c r="E72" s="15"/>
      <c r="F72" s="13"/>
      <c r="G72" s="17"/>
      <c r="I72" s="60">
        <v>41</v>
      </c>
      <c r="J72" s="52">
        <v>45054</v>
      </c>
      <c r="K72" s="53"/>
      <c r="L72" s="13"/>
      <c r="M72" s="15"/>
      <c r="N72" s="13"/>
      <c r="O72" s="17"/>
      <c r="Q72" s="60">
        <v>41</v>
      </c>
      <c r="R72" s="52">
        <v>45054</v>
      </c>
      <c r="S72" s="53"/>
      <c r="T72" s="13"/>
      <c r="U72" s="15"/>
      <c r="V72" s="13"/>
      <c r="W72" s="17"/>
    </row>
    <row r="73" spans="1:23" x14ac:dyDescent="0.3">
      <c r="A73" s="51">
        <v>42</v>
      </c>
      <c r="B73" s="52">
        <v>45061</v>
      </c>
      <c r="C73" s="53"/>
      <c r="D73" s="13"/>
      <c r="E73" s="15"/>
      <c r="F73" s="13"/>
      <c r="G73" s="17"/>
      <c r="I73" s="60">
        <v>42</v>
      </c>
      <c r="J73" s="52">
        <v>45061</v>
      </c>
      <c r="K73" s="53"/>
      <c r="L73" s="13"/>
      <c r="M73" s="15"/>
      <c r="N73" s="13"/>
      <c r="O73" s="17"/>
      <c r="Q73" s="60">
        <v>42</v>
      </c>
      <c r="R73" s="52">
        <v>45061</v>
      </c>
      <c r="S73" s="53"/>
      <c r="T73" s="13"/>
      <c r="U73" s="15"/>
      <c r="V73" s="13"/>
      <c r="W73" s="17"/>
    </row>
    <row r="74" spans="1:23" x14ac:dyDescent="0.3">
      <c r="A74" s="54">
        <v>43</v>
      </c>
      <c r="B74" s="55">
        <v>45068</v>
      </c>
      <c r="C74" s="56"/>
      <c r="D74" s="49"/>
      <c r="E74" s="50"/>
      <c r="F74" s="49"/>
      <c r="G74" s="19"/>
      <c r="I74" s="61">
        <v>43</v>
      </c>
      <c r="J74" s="55">
        <v>45068</v>
      </c>
      <c r="K74" s="56"/>
      <c r="L74" s="49"/>
      <c r="M74" s="50"/>
      <c r="N74" s="49"/>
      <c r="O74" s="19"/>
      <c r="Q74" s="61">
        <v>43</v>
      </c>
      <c r="R74" s="55">
        <v>45068</v>
      </c>
      <c r="S74" s="56"/>
      <c r="T74" s="49"/>
      <c r="U74" s="50"/>
      <c r="V74" s="49"/>
      <c r="W74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0B1A-74AB-4D09-AC80-05603243AC93}">
  <sheetPr>
    <pageSetUpPr fitToPage="1"/>
  </sheetPr>
  <dimension ref="A1:H50"/>
  <sheetViews>
    <sheetView workbookViewId="0">
      <selection activeCell="I7" sqref="I7"/>
    </sheetView>
  </sheetViews>
  <sheetFormatPr defaultRowHeight="14.4" x14ac:dyDescent="0.3"/>
  <cols>
    <col min="1" max="1" width="10.5546875" bestFit="1" customWidth="1"/>
    <col min="2" max="2" width="12.44140625" customWidth="1"/>
    <col min="3" max="3" width="20.77734375" customWidth="1"/>
    <col min="4" max="4" width="34.88671875" customWidth="1"/>
    <col min="5" max="5" width="35" customWidth="1"/>
    <col min="7" max="7" width="9.44140625" customWidth="1"/>
    <col min="8" max="8" width="7.6640625" customWidth="1"/>
  </cols>
  <sheetData>
    <row r="1" spans="1:8" x14ac:dyDescent="0.3">
      <c r="A1" t="s">
        <v>1</v>
      </c>
      <c r="B1" t="s">
        <v>2</v>
      </c>
      <c r="C1" t="s">
        <v>26</v>
      </c>
      <c r="D1" t="s">
        <v>27</v>
      </c>
      <c r="E1" t="s">
        <v>28</v>
      </c>
      <c r="G1" t="s">
        <v>29</v>
      </c>
      <c r="H1" t="s">
        <v>30</v>
      </c>
    </row>
    <row r="2" spans="1:8" x14ac:dyDescent="0.3">
      <c r="A2" s="24">
        <v>44774</v>
      </c>
      <c r="B2" s="13">
        <v>300.322</v>
      </c>
      <c r="G2" t="s">
        <v>31</v>
      </c>
      <c r="H2" s="27">
        <f>_xlfn.FORECAST.ETS.STAT($B$2:$B$40,$A$2:$A$40,1,1,1)</f>
        <v>2E-3</v>
      </c>
    </row>
    <row r="3" spans="1:8" x14ac:dyDescent="0.3">
      <c r="A3" s="24">
        <v>44781</v>
      </c>
      <c r="B3" s="13">
        <v>271.99199999999996</v>
      </c>
      <c r="G3" t="s">
        <v>32</v>
      </c>
      <c r="H3" s="27">
        <f>_xlfn.FORECAST.ETS.STAT($B$2:$B$40,$A$2:$A$40,2,1,1)</f>
        <v>1E-3</v>
      </c>
    </row>
    <row r="4" spans="1:8" x14ac:dyDescent="0.3">
      <c r="A4" s="24">
        <v>44788</v>
      </c>
      <c r="B4" s="13">
        <v>442.43499999999995</v>
      </c>
      <c r="G4" t="s">
        <v>33</v>
      </c>
      <c r="H4" s="27">
        <f>_xlfn.FORECAST.ETS.STAT($B$2:$B$40,$A$2:$A$40,3,1,1)</f>
        <v>2.2204460492503131E-16</v>
      </c>
    </row>
    <row r="5" spans="1:8" x14ac:dyDescent="0.3">
      <c r="A5" s="24">
        <v>44795</v>
      </c>
      <c r="B5" s="13">
        <v>266.86099999999993</v>
      </c>
      <c r="G5" t="s">
        <v>34</v>
      </c>
      <c r="H5" s="27">
        <f>_xlfn.FORECAST.ETS.STAT($B$2:$B$40,$A$2:$A$40,4,1,1)</f>
        <v>0.46367823018418924</v>
      </c>
    </row>
    <row r="6" spans="1:8" x14ac:dyDescent="0.3">
      <c r="A6" s="24">
        <v>44802</v>
      </c>
      <c r="B6" s="13">
        <v>345.49199999999996</v>
      </c>
      <c r="G6" t="s">
        <v>35</v>
      </c>
      <c r="H6" s="27">
        <f>_xlfn.FORECAST.ETS.STAT($B$2:$B$40,$A$2:$A$40,5,1,1)</f>
        <v>6.8866813507016983E-2</v>
      </c>
    </row>
    <row r="7" spans="1:8" x14ac:dyDescent="0.3">
      <c r="A7" s="24">
        <v>44809</v>
      </c>
      <c r="B7" s="13">
        <v>210</v>
      </c>
      <c r="G7" t="s">
        <v>22</v>
      </c>
      <c r="H7" s="27">
        <f>_xlfn.FORECAST.ETS.STAT($B$2:$B$40,$A$2:$A$40,6,1,1)</f>
        <v>56.560878112494755</v>
      </c>
    </row>
    <row r="8" spans="1:8" x14ac:dyDescent="0.3">
      <c r="A8" s="24">
        <v>44816</v>
      </c>
      <c r="B8" s="13">
        <v>389.303</v>
      </c>
      <c r="G8" t="s">
        <v>24</v>
      </c>
      <c r="H8" s="27">
        <f>_xlfn.FORECAST.ETS.STAT($B$2:$B$40,$A$2:$A$40,7,1,1)</f>
        <v>73.85641673133324</v>
      </c>
    </row>
    <row r="9" spans="1:8" x14ac:dyDescent="0.3">
      <c r="A9" s="24">
        <v>44823</v>
      </c>
      <c r="B9" s="13">
        <v>399.76599999999996</v>
      </c>
    </row>
    <row r="10" spans="1:8" x14ac:dyDescent="0.3">
      <c r="A10" s="24">
        <v>44830</v>
      </c>
      <c r="B10" s="13">
        <v>492.44599999999997</v>
      </c>
    </row>
    <row r="11" spans="1:8" x14ac:dyDescent="0.3">
      <c r="A11" s="24">
        <v>44837</v>
      </c>
      <c r="B11" s="13">
        <v>740</v>
      </c>
    </row>
    <row r="12" spans="1:8" x14ac:dyDescent="0.3">
      <c r="A12" s="24">
        <v>44844</v>
      </c>
      <c r="B12" s="13">
        <v>442.8245</v>
      </c>
    </row>
    <row r="13" spans="1:8" x14ac:dyDescent="0.3">
      <c r="A13" s="24">
        <v>44851</v>
      </c>
      <c r="B13" s="13">
        <v>561.22949999999992</v>
      </c>
    </row>
    <row r="14" spans="1:8" x14ac:dyDescent="0.3">
      <c r="A14" s="24">
        <v>44858</v>
      </c>
      <c r="B14" s="13">
        <v>465.17099999999999</v>
      </c>
    </row>
    <row r="15" spans="1:8" x14ac:dyDescent="0.3">
      <c r="A15" s="24">
        <v>44865</v>
      </c>
      <c r="B15" s="13">
        <v>631.76249999999993</v>
      </c>
    </row>
    <row r="16" spans="1:8" x14ac:dyDescent="0.3">
      <c r="A16" s="24">
        <v>44872</v>
      </c>
      <c r="B16" s="13">
        <v>422.72049999999996</v>
      </c>
    </row>
    <row r="17" spans="1:2" x14ac:dyDescent="0.3">
      <c r="A17" s="24">
        <v>44879</v>
      </c>
      <c r="B17" s="13">
        <v>433.69350000000003</v>
      </c>
    </row>
    <row r="18" spans="1:2" x14ac:dyDescent="0.3">
      <c r="A18" s="24">
        <v>44886</v>
      </c>
      <c r="B18" s="13">
        <v>599.79399999999998</v>
      </c>
    </row>
    <row r="19" spans="1:2" x14ac:dyDescent="0.3">
      <c r="A19" s="24">
        <v>44893</v>
      </c>
      <c r="B19" s="13">
        <v>655.98860000000002</v>
      </c>
    </row>
    <row r="20" spans="1:2" x14ac:dyDescent="0.3">
      <c r="A20" s="24">
        <v>44900</v>
      </c>
      <c r="B20" s="13">
        <v>722.21949999999993</v>
      </c>
    </row>
    <row r="21" spans="1:2" x14ac:dyDescent="0.3">
      <c r="A21" s="24">
        <v>44907</v>
      </c>
      <c r="B21" s="13">
        <v>619.43150000000003</v>
      </c>
    </row>
    <row r="22" spans="1:2" x14ac:dyDescent="0.3">
      <c r="A22" s="24">
        <v>44914</v>
      </c>
      <c r="B22" s="13">
        <v>763.351</v>
      </c>
    </row>
    <row r="23" spans="1:2" x14ac:dyDescent="0.3">
      <c r="A23" s="24">
        <v>44921</v>
      </c>
      <c r="B23" s="13">
        <v>621.17999999999995</v>
      </c>
    </row>
    <row r="24" spans="1:2" x14ac:dyDescent="0.3">
      <c r="A24" s="24">
        <v>44928</v>
      </c>
      <c r="B24" s="13">
        <v>738.29699999999991</v>
      </c>
    </row>
    <row r="25" spans="1:2" x14ac:dyDescent="0.3">
      <c r="A25" s="24">
        <v>44935</v>
      </c>
      <c r="B25" s="13">
        <v>851.45799999999997</v>
      </c>
    </row>
    <row r="26" spans="1:2" x14ac:dyDescent="0.3">
      <c r="A26" s="24">
        <v>44942</v>
      </c>
      <c r="B26" s="13">
        <v>901.44500000000005</v>
      </c>
    </row>
    <row r="27" spans="1:2" x14ac:dyDescent="0.3">
      <c r="A27" s="24">
        <v>44949</v>
      </c>
      <c r="B27" s="13">
        <v>899.22500000000002</v>
      </c>
    </row>
    <row r="28" spans="1:2" x14ac:dyDescent="0.3">
      <c r="A28" s="24">
        <v>44956</v>
      </c>
      <c r="B28" s="13">
        <v>608.88599999999997</v>
      </c>
    </row>
    <row r="29" spans="1:2" x14ac:dyDescent="0.3">
      <c r="A29" s="24">
        <v>44963</v>
      </c>
      <c r="B29" s="13">
        <v>720.44100000000003</v>
      </c>
    </row>
    <row r="30" spans="1:2" x14ac:dyDescent="0.3">
      <c r="A30" s="24">
        <v>44970</v>
      </c>
      <c r="B30" s="13">
        <v>757.4670000000001</v>
      </c>
    </row>
    <row r="31" spans="1:2" x14ac:dyDescent="0.3">
      <c r="A31" s="24">
        <v>44977</v>
      </c>
      <c r="B31" s="13">
        <v>776.27</v>
      </c>
    </row>
    <row r="32" spans="1:2" x14ac:dyDescent="0.3">
      <c r="A32" s="24">
        <v>44984</v>
      </c>
      <c r="B32" s="13">
        <v>912.07999999999993</v>
      </c>
    </row>
    <row r="33" spans="1:5" x14ac:dyDescent="0.3">
      <c r="A33" s="24">
        <v>44991</v>
      </c>
      <c r="B33" s="13">
        <v>736.30000000000007</v>
      </c>
    </row>
    <row r="34" spans="1:5" x14ac:dyDescent="0.3">
      <c r="A34" s="24">
        <v>44998</v>
      </c>
      <c r="B34" s="13">
        <v>849.06000000000006</v>
      </c>
    </row>
    <row r="35" spans="1:5" x14ac:dyDescent="0.3">
      <c r="A35" s="24">
        <v>45005</v>
      </c>
      <c r="B35" s="13">
        <v>843.55700000000002</v>
      </c>
    </row>
    <row r="36" spans="1:5" x14ac:dyDescent="0.3">
      <c r="A36" s="24">
        <v>45012</v>
      </c>
      <c r="B36" s="13">
        <v>726.99000000000012</v>
      </c>
    </row>
    <row r="37" spans="1:5" x14ac:dyDescent="0.3">
      <c r="A37" s="24">
        <v>45019</v>
      </c>
      <c r="B37" s="13">
        <v>820.97399999999993</v>
      </c>
    </row>
    <row r="38" spans="1:5" x14ac:dyDescent="0.3">
      <c r="A38" s="24">
        <v>45026</v>
      </c>
      <c r="B38" s="13">
        <v>767.37100000000009</v>
      </c>
    </row>
    <row r="39" spans="1:5" x14ac:dyDescent="0.3">
      <c r="A39" s="24">
        <v>45033</v>
      </c>
      <c r="B39" s="13">
        <v>886.46800000000007</v>
      </c>
    </row>
    <row r="40" spans="1:5" x14ac:dyDescent="0.3">
      <c r="A40" s="24">
        <v>45040</v>
      </c>
      <c r="B40" s="13">
        <v>902.46799999999996</v>
      </c>
      <c r="C40" s="13">
        <v>902.46799999999996</v>
      </c>
      <c r="D40" s="13">
        <v>902.46799999999996</v>
      </c>
      <c r="E40" s="13">
        <v>902.46799999999996</v>
      </c>
    </row>
    <row r="41" spans="1:5" x14ac:dyDescent="0.3">
      <c r="A41" s="24">
        <v>45047</v>
      </c>
      <c r="C41" s="13">
        <f t="shared" ref="C41:C50" si="0">_xlfn.FORECAST.ETS(A41,$B$2:$B$40,$A$2:$A$40,1,1)</f>
        <v>936.10783124836473</v>
      </c>
      <c r="D41" s="13">
        <f t="shared" ref="D41:D50" si="1">C41-_xlfn.FORECAST.ETS.CONFINT(A41,$B$2:$B$40,$A$2:$A$40,0.95,1,1)</f>
        <v>729.15767414528159</v>
      </c>
      <c r="E41" s="13">
        <f t="shared" ref="E41:E50" si="2">C41+_xlfn.FORECAST.ETS.CONFINT(A41,$B$2:$B$40,$A$2:$A$40,0.95,1,1)</f>
        <v>1143.0579883514479</v>
      </c>
    </row>
    <row r="42" spans="1:5" x14ac:dyDescent="0.3">
      <c r="A42" s="24">
        <v>45054</v>
      </c>
      <c r="C42" s="13">
        <f t="shared" si="0"/>
        <v>952.72424816468038</v>
      </c>
      <c r="D42" s="13">
        <f t="shared" si="1"/>
        <v>745.77315978798561</v>
      </c>
      <c r="E42" s="13">
        <f t="shared" si="2"/>
        <v>1159.6753365413751</v>
      </c>
    </row>
    <row r="43" spans="1:5" x14ac:dyDescent="0.3">
      <c r="A43" s="24">
        <v>45061</v>
      </c>
      <c r="C43" s="13">
        <f t="shared" si="0"/>
        <v>969.34066508099613</v>
      </c>
      <c r="D43" s="13">
        <f t="shared" si="1"/>
        <v>762.387921117117</v>
      </c>
      <c r="E43" s="13">
        <f t="shared" si="2"/>
        <v>1176.2934090448753</v>
      </c>
    </row>
    <row r="44" spans="1:5" x14ac:dyDescent="0.3">
      <c r="A44" s="24">
        <v>45068</v>
      </c>
      <c r="C44" s="13">
        <f t="shared" si="0"/>
        <v>985.95708199731189</v>
      </c>
      <c r="D44" s="13">
        <f t="shared" si="1"/>
        <v>779.00175120497147</v>
      </c>
      <c r="E44" s="13">
        <f t="shared" si="2"/>
        <v>1192.9124127896523</v>
      </c>
    </row>
    <row r="45" spans="1:5" x14ac:dyDescent="0.3">
      <c r="A45" s="24">
        <v>45075</v>
      </c>
      <c r="C45" s="13">
        <f t="shared" si="0"/>
        <v>1002.5734989136275</v>
      </c>
      <c r="D45" s="13">
        <f t="shared" si="1"/>
        <v>795.61444314510607</v>
      </c>
      <c r="E45" s="13">
        <f t="shared" si="2"/>
        <v>1209.5325546821489</v>
      </c>
    </row>
    <row r="46" spans="1:5" x14ac:dyDescent="0.3">
      <c r="A46" s="24">
        <v>45082</v>
      </c>
      <c r="C46" s="13">
        <f t="shared" si="0"/>
        <v>1019.1899158299433</v>
      </c>
      <c r="D46" s="13">
        <f t="shared" si="1"/>
        <v>812.22579006268211</v>
      </c>
      <c r="E46" s="13">
        <f t="shared" si="2"/>
        <v>1226.1540415972045</v>
      </c>
    </row>
    <row r="47" spans="1:5" x14ac:dyDescent="0.3">
      <c r="A47" s="24">
        <v>45089</v>
      </c>
      <c r="C47" s="13">
        <f t="shared" si="0"/>
        <v>1035.8063327462589</v>
      </c>
      <c r="D47" s="13">
        <f t="shared" si="1"/>
        <v>828.83558512687114</v>
      </c>
      <c r="E47" s="13">
        <f t="shared" si="2"/>
        <v>1242.7770803656467</v>
      </c>
    </row>
    <row r="48" spans="1:5" x14ac:dyDescent="0.3">
      <c r="A48" s="24">
        <v>45096</v>
      </c>
      <c r="C48" s="13">
        <f t="shared" si="0"/>
        <v>1052.4227496625747</v>
      </c>
      <c r="D48" s="13">
        <f t="shared" si="1"/>
        <v>845.44362156532475</v>
      </c>
      <c r="E48" s="13">
        <f t="shared" si="2"/>
        <v>1259.4018777598246</v>
      </c>
    </row>
    <row r="49" spans="1:5" x14ac:dyDescent="0.3">
      <c r="A49" s="24">
        <v>45103</v>
      </c>
      <c r="C49" s="13">
        <f t="shared" si="0"/>
        <v>1069.0391665788904</v>
      </c>
      <c r="D49" s="13">
        <f t="shared" si="1"/>
        <v>862.0496926806984</v>
      </c>
      <c r="E49" s="13">
        <f t="shared" si="2"/>
        <v>1276.0286404770825</v>
      </c>
    </row>
    <row r="50" spans="1:5" x14ac:dyDescent="0.3">
      <c r="A50" s="24">
        <v>45110</v>
      </c>
      <c r="C50" s="13">
        <f t="shared" si="0"/>
        <v>1085.6555834952062</v>
      </c>
      <c r="D50" s="13">
        <f t="shared" si="1"/>
        <v>878.65359186922967</v>
      </c>
      <c r="E50" s="13">
        <f t="shared" si="2"/>
        <v>1292.6575751211826</v>
      </c>
    </row>
  </sheetData>
  <pageMargins left="0.7" right="0.7" top="0.75" bottom="0.75" header="0.3" footer="0.3"/>
  <pageSetup scale="42" fitToHeight="0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</vt:lpstr>
      <vt:lpstr>Solution</vt:lpstr>
      <vt:lpstr>forecast sheet (auto generated)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Smith</dc:creator>
  <cp:lastModifiedBy>Nitish Raguraman</cp:lastModifiedBy>
  <dcterms:created xsi:type="dcterms:W3CDTF">2023-05-09T03:46:12Z</dcterms:created>
  <dcterms:modified xsi:type="dcterms:W3CDTF">2023-05-20T02:47:13Z</dcterms:modified>
</cp:coreProperties>
</file>