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avanrk/Dropbox/Brainalive/cost estimation/"/>
    </mc:Choice>
  </mc:AlternateContent>
  <xr:revisionPtr revIDLastSave="0" documentId="13_ncr:1_{0D2DF448-EDEC-E947-92B9-3CC2E375F0D0}" xr6:coauthVersionLast="45" xr6:coauthVersionMax="45" xr10:uidLastSave="{00000000-0000-0000-0000-000000000000}"/>
  <bookViews>
    <workbookView xWindow="0" yWindow="460" windowWidth="28800" windowHeight="15940" activeTab="8" xr2:uid="{0FBE1470-37B5-4E48-BF6E-1837D756B392}"/>
  </bookViews>
  <sheets>
    <sheet name="Final Financial" sheetId="1" r:id="rId1"/>
    <sheet name="Revenue &amp; COGS" sheetId="21" r:id="rId2"/>
    <sheet name="GEN &amp; ADMIN" sheetId="18" r:id="rId3"/>
    <sheet name="CAPEX" sheetId="17" r:id="rId4"/>
    <sheet name="MARKETING" sheetId="19" state="hidden" r:id="rId5"/>
    <sheet name="GEN &amp; ADMIN (2)" sheetId="26" r:id="rId6"/>
    <sheet name="CAPEX (2)" sheetId="24" r:id="rId7"/>
    <sheet name="Revenue &amp; COGS (2)" sheetId="25" r:id="rId8"/>
    <sheet name="Final Financial (2)" sheetId="23" r:id="rId9"/>
  </sheets>
  <externalReferences>
    <externalReference r:id="rId10"/>
    <externalReference r:id="rId11"/>
  </externalReferences>
  <definedNames>
    <definedName name="__________________KEY3" localSheetId="2" hidden="1">'[1]SC Cost FEB 03'!#REF!</definedName>
    <definedName name="__________________KEY3" localSheetId="5" hidden="1">'[1]SC Cost FEB 03'!#REF!</definedName>
    <definedName name="__________________KEY3" hidden="1">'[1]SC Cost FEB 03'!#REF!</definedName>
    <definedName name="________________KEY3" localSheetId="2" hidden="1">'[1]SC Cost FEB 03'!#REF!</definedName>
    <definedName name="________________KEY3" localSheetId="5" hidden="1">'[1]SC Cost FEB 03'!#REF!</definedName>
    <definedName name="________________KEY3" hidden="1">'[1]SC Cost FEB 03'!#REF!</definedName>
    <definedName name="_______________KEY3" localSheetId="2" hidden="1">'[1]SC Cost FEB 03'!#REF!</definedName>
    <definedName name="_______________KEY3" localSheetId="5" hidden="1">'[1]SC Cost FEB 03'!#REF!</definedName>
    <definedName name="_______________KEY3" hidden="1">'[1]SC Cost FEB 03'!#REF!</definedName>
    <definedName name="____________KEY3" localSheetId="2" hidden="1">'[1]SC Cost FEB 03'!#REF!</definedName>
    <definedName name="____________KEY3" localSheetId="5" hidden="1">'[1]SC Cost FEB 03'!#REF!</definedName>
    <definedName name="____________KEY3" hidden="1">'[1]SC Cost FEB 03'!#REF!</definedName>
    <definedName name="________KEY3" localSheetId="2" hidden="1">'[1]SC Cost FEB 03'!#REF!</definedName>
    <definedName name="________KEY3" localSheetId="5" hidden="1">'[1]SC Cost FEB 03'!#REF!</definedName>
    <definedName name="________KEY3" hidden="1">'[1]SC Cost FEB 03'!#REF!</definedName>
    <definedName name="___KEY3" localSheetId="2" hidden="1">'[1]SC Cost FEB 03'!#REF!</definedName>
    <definedName name="___KEY3" localSheetId="5" hidden="1">'[1]SC Cost FEB 03'!#REF!</definedName>
    <definedName name="___KEY3" hidden="1">'[1]SC Cost FEB 03'!#REF!</definedName>
    <definedName name="__KEY3" localSheetId="2" hidden="1">'[1]SC Cost FEB 03'!#REF!</definedName>
    <definedName name="__KEY3" localSheetId="5" hidden="1">'[1]SC Cost FEB 03'!#REF!</definedName>
    <definedName name="__KEY3" hidden="1">'[1]SC Cost FEB 03'!#REF!</definedName>
    <definedName name="_Fill" localSheetId="2" hidden="1">#REF!</definedName>
    <definedName name="_Fill" localSheetId="5" hidden="1">#REF!</definedName>
    <definedName name="_Fill" hidden="1">#REF!</definedName>
    <definedName name="_Key1" localSheetId="2" hidden="1">#REF!</definedName>
    <definedName name="_Key1" localSheetId="5" hidden="1">#REF!</definedName>
    <definedName name="_Key1" hidden="1">#REF!</definedName>
    <definedName name="_Key2" localSheetId="2" hidden="1">#REF!</definedName>
    <definedName name="_Key2" localSheetId="5" hidden="1">#REF!</definedName>
    <definedName name="_Key2" hidden="1">#REF!</definedName>
    <definedName name="_KEY3" localSheetId="2" hidden="1">'[1]SC Cost FEB 03'!#REF!</definedName>
    <definedName name="_KEY3" localSheetId="5" hidden="1">'[1]SC Cost FEB 03'!#REF!</definedName>
    <definedName name="_KEY3" hidden="1">'[1]SC Cost FEB 03'!#REF!</definedName>
    <definedName name="_Order1" hidden="1">255</definedName>
    <definedName name="_Order2" hidden="1">255</definedName>
    <definedName name="_Parse_In" localSheetId="2" hidden="1">#REF!</definedName>
    <definedName name="_Parse_In" localSheetId="5" hidden="1">#REF!</definedName>
    <definedName name="_Parse_In" hidden="1">#REF!</definedName>
    <definedName name="_Sort" localSheetId="2" hidden="1">#REF!</definedName>
    <definedName name="_Sort" localSheetId="5" hidden="1">#REF!</definedName>
    <definedName name="_Sort" hidden="1">#REF!</definedName>
    <definedName name="d" hidden="1">'[1]SC Cost FEB 03'!#REF!</definedName>
    <definedName name="dd" localSheetId="2" hidden="1">#REF!</definedName>
    <definedName name="dd" localSheetId="5" hidden="1">#REF!</definedName>
    <definedName name="dd" hidden="1">#REF!</definedName>
    <definedName name="DDD" hidden="1">#REF!</definedName>
    <definedName name="ff" hidden="1">#REF!</definedName>
    <definedName name="GGG" hidden="1">#REF!</definedName>
    <definedName name="HTML_CodePage" hidden="1">1252</definedName>
    <definedName name="HTML_Control" localSheetId="2" hidden="1">{"'TP-SUMMARY'!$I$11:$K$11"}</definedName>
    <definedName name="HTML_Control" localSheetId="5" hidden="1">{"'TP-SUMMARY'!$I$11:$K$11"}</definedName>
    <definedName name="HTML_Control" hidden="1">{"'TP-SUMMARY'!$I$11:$K$11"}</definedName>
    <definedName name="HTML_Description" hidden="1">""</definedName>
    <definedName name="HTML_Email" hidden="1">""</definedName>
    <definedName name="HTML_Header" hidden="1">"TP-SUMMARY"</definedName>
    <definedName name="HTML_LastUpdate" hidden="1">"12/10/04"</definedName>
    <definedName name="HTML_LineAfter" hidden="1">FALSE</definedName>
    <definedName name="HTML_LineBefore" hidden="1">FALSE</definedName>
    <definedName name="HTML_Name" hidden="1">"DEEPAK"</definedName>
    <definedName name="HTML_OBDlg2" hidden="1">TRUE</definedName>
    <definedName name="HTML_OBDlg4" hidden="1">TRUE</definedName>
    <definedName name="HTML_OS" hidden="1">0</definedName>
    <definedName name="HTML_PathFile" hidden="1">"C:\My Documents\TATA RECORD\TLTS 2385 TATA  POWER\NEW TATA\tata\MyHTML.htm"</definedName>
    <definedName name="HTML_Title" hidden="1">"JEERAT - SG INSP"</definedName>
    <definedName name="_xlnm.Print_Area" localSheetId="2">'GEN &amp; ADMIN'!$A$1:$E$70</definedName>
    <definedName name="_xlnm.Print_Area" localSheetId="5">'GEN &amp; ADMIN (2)'!$A$1:$E$64</definedName>
    <definedName name="_xlnm.Print_Titles" localSheetId="2">'GEN &amp; ADMIN'!$6:$10</definedName>
    <definedName name="_xlnm.Print_Titles" localSheetId="5">'GEN &amp; ADMIN (2)'!$6:$10</definedName>
    <definedName name="RRR" localSheetId="2" hidden="1">#REF!</definedName>
    <definedName name="RRR" localSheetId="5" hidden="1">#REF!</definedName>
    <definedName name="RRR" hidden="1">#REF!</definedName>
    <definedName name="sdsdsdsd" hidden="1">'[1]SC Cost FEB 03'!#REF!</definedName>
    <definedName name="wrn.test." localSheetId="2" hidden="1">{#N/A,#N/A,FALSE,"Motor List"}</definedName>
    <definedName name="wrn.test." localSheetId="5" hidden="1">{#N/A,#N/A,FALSE,"Motor List"}</definedName>
    <definedName name="wrn.test." hidden="1">{#N/A,#N/A,FALSE,"Motor List"}</definedName>
    <definedName name="Z_1C3E409D_D476_45BA_9657_28290EF79214_.wvu.Cols" localSheetId="2" hidden="1">'[2]Assumptions Sheet'!$J$1:$O$65536</definedName>
    <definedName name="Z_1C3E409D_D476_45BA_9657_28290EF79214_.wvu.Cols" localSheetId="5" hidden="1">'[2]Assumptions Sheet'!$J$1:$O$65536</definedName>
    <definedName name="Z_1C3E409D_D476_45BA_9657_28290EF79214_.wvu.Rows" localSheetId="2" hidden="1">'[2]Assumptions Sheet'!$A$114:$IV$119</definedName>
    <definedName name="Z_1C3E409D_D476_45BA_9657_28290EF79214_.wvu.Rows" localSheetId="5" hidden="1">'[2]Assumptions Sheet'!$A$114:$IV$119</definedName>
    <definedName name="Z_C28C6A13_0D03_43EB_AF0F_6BA2E812D676_.wvu.Cols" localSheetId="2" hidden="1">'[2]Assumptions Sheet'!$J$1:$O$65536</definedName>
    <definedName name="Z_C28C6A13_0D03_43EB_AF0F_6BA2E812D676_.wvu.Cols" localSheetId="5" hidden="1">'[2]Assumptions Sheet'!$J$1:$O$65536</definedName>
    <definedName name="Z_C28C6A13_0D03_43EB_AF0F_6BA2E812D676_.wvu.Rows" localSheetId="2" hidden="1">'[2]Assumptions Sheet'!$A$114:$IV$119</definedName>
    <definedName name="Z_C28C6A13_0D03_43EB_AF0F_6BA2E812D676_.wvu.Rows" localSheetId="5" hidden="1">'[2]Assumptions Sheet'!$A$114:$IV$119</definedName>
    <definedName name="Z_D8963DC0_376D_4AFF_B3ED_77C67C4E7B1D_.wvu.Cols" localSheetId="2" hidden="1">'[2]Assumptions Sheet'!$J$1:$O$65536</definedName>
    <definedName name="Z_D8963DC0_376D_4AFF_B3ED_77C67C4E7B1D_.wvu.Cols" localSheetId="5" hidden="1">'[2]Assumptions Sheet'!$J$1:$O$65536</definedName>
    <definedName name="Z_D8963DC0_376D_4AFF_B3ED_77C67C4E7B1D_.wvu.Rows" localSheetId="2" hidden="1">'[2]Assumptions Sheet'!$A$114:$IV$119</definedName>
    <definedName name="Z_D8963DC0_376D_4AFF_B3ED_77C67C4E7B1D_.wvu.Rows" localSheetId="5" hidden="1">'[2]Assumptions Sheet'!$A$114:$IV$119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5" i="23" l="1"/>
  <c r="C10" i="23"/>
  <c r="Q22" i="23"/>
  <c r="Q20" i="23"/>
  <c r="E40" i="1"/>
  <c r="H75" i="1" l="1"/>
  <c r="F77" i="1"/>
  <c r="G77" i="1" s="1"/>
  <c r="F76" i="1"/>
  <c r="H74" i="1"/>
  <c r="E49" i="1"/>
  <c r="F74" i="1" s="1"/>
  <c r="E64" i="23" l="1"/>
  <c r="E63" i="23"/>
  <c r="E62" i="23"/>
  <c r="F70" i="1" l="1"/>
  <c r="F69" i="1"/>
  <c r="E62" i="1" l="1"/>
  <c r="C37" i="18" l="1"/>
  <c r="F41" i="1"/>
  <c r="F49" i="1"/>
  <c r="F43" i="1"/>
  <c r="G40" i="1"/>
  <c r="E63" i="1"/>
  <c r="F71" i="1"/>
  <c r="E71" i="1"/>
  <c r="E70" i="1"/>
  <c r="E69" i="1"/>
  <c r="E68" i="1"/>
  <c r="E67" i="1"/>
  <c r="E12" i="21" l="1"/>
  <c r="H12" i="21" s="1"/>
  <c r="K12" i="21" s="1"/>
  <c r="N12" i="21" s="1"/>
  <c r="Q12" i="21" s="1"/>
  <c r="E61" i="1"/>
  <c r="C1" i="25"/>
  <c r="L45" i="1"/>
  <c r="M45" i="1" s="1"/>
  <c r="N45" i="1" s="1"/>
  <c r="O45" i="1" s="1"/>
  <c r="P45" i="1" s="1"/>
  <c r="J57" i="1"/>
  <c r="J58" i="1" s="1"/>
  <c r="J59" i="1" s="1"/>
  <c r="J60" i="1" s="1"/>
  <c r="J56" i="1"/>
  <c r="L54" i="1"/>
  <c r="M54" i="1" s="1"/>
  <c r="N54" i="1" s="1"/>
  <c r="O54" i="1" s="1"/>
  <c r="D4" i="21"/>
  <c r="S41" i="23"/>
  <c r="T41" i="23" s="1"/>
  <c r="U41" i="23" s="1"/>
  <c r="V41" i="23" s="1"/>
  <c r="S33" i="23"/>
  <c r="T33" i="23" s="1"/>
  <c r="U33" i="23" s="1"/>
  <c r="V33" i="23" s="1"/>
  <c r="V24" i="23"/>
  <c r="U24" i="23"/>
  <c r="T24" i="23"/>
  <c r="S24" i="23"/>
  <c r="P18" i="26"/>
  <c r="P17" i="26"/>
  <c r="P16" i="26"/>
  <c r="P15" i="26"/>
  <c r="P14" i="26"/>
  <c r="M18" i="26"/>
  <c r="M17" i="26"/>
  <c r="M16" i="26"/>
  <c r="M15" i="26"/>
  <c r="M14" i="26"/>
  <c r="J18" i="26"/>
  <c r="J17" i="26"/>
  <c r="J16" i="26"/>
  <c r="J15" i="26"/>
  <c r="J14" i="26"/>
  <c r="G15" i="26"/>
  <c r="G16" i="26"/>
  <c r="G17" i="26"/>
  <c r="G18" i="26"/>
  <c r="G14" i="26"/>
  <c r="E58" i="23"/>
  <c r="D4" i="25" l="1"/>
  <c r="F14" i="26" l="1"/>
  <c r="J48" i="1"/>
  <c r="J49" i="1" s="1"/>
  <c r="J50" i="1" s="1"/>
  <c r="J47" i="1"/>
  <c r="L36" i="1"/>
  <c r="M36" i="1" s="1"/>
  <c r="N36" i="1" s="1"/>
  <c r="O36" i="1" s="1"/>
  <c r="J38" i="1"/>
  <c r="J39" i="1" s="1"/>
  <c r="J40" i="1" s="1"/>
  <c r="J41" i="1" s="1"/>
  <c r="J42" i="1" s="1"/>
  <c r="C1" i="21"/>
  <c r="G4" i="21" s="1"/>
  <c r="J4" i="21" s="1"/>
  <c r="M4" i="21" s="1"/>
  <c r="P4" i="21" s="1"/>
  <c r="I17" i="1"/>
  <c r="H17" i="1"/>
  <c r="R17" i="21"/>
  <c r="O17" i="21"/>
  <c r="I18" i="1"/>
  <c r="H10" i="17"/>
  <c r="G17" i="1"/>
  <c r="F17" i="1"/>
  <c r="E17" i="1"/>
  <c r="G14" i="18" l="1"/>
  <c r="G15" i="18"/>
  <c r="J15" i="18" s="1"/>
  <c r="G16" i="18"/>
  <c r="G17" i="18"/>
  <c r="J17" i="18" s="1"/>
  <c r="M17" i="18" s="1"/>
  <c r="G18" i="18"/>
  <c r="G19" i="18"/>
  <c r="J19" i="18" s="1"/>
  <c r="G20" i="18"/>
  <c r="G21" i="18"/>
  <c r="J21" i="18" s="1"/>
  <c r="G22" i="18"/>
  <c r="G23" i="18"/>
  <c r="J23" i="18" s="1"/>
  <c r="G24" i="18"/>
  <c r="G25" i="18"/>
  <c r="J25" i="18" s="1"/>
  <c r="J14" i="18"/>
  <c r="J16" i="18"/>
  <c r="M16" i="18" s="1"/>
  <c r="J18" i="18"/>
  <c r="K18" i="18" s="1"/>
  <c r="J20" i="18"/>
  <c r="K20" i="18" s="1"/>
  <c r="J22" i="18"/>
  <c r="J24" i="18"/>
  <c r="M24" i="18" s="1"/>
  <c r="N24" i="18" s="1"/>
  <c r="E17" i="18"/>
  <c r="K24" i="18"/>
  <c r="K14" i="18"/>
  <c r="H24" i="18"/>
  <c r="H23" i="18"/>
  <c r="H22" i="18"/>
  <c r="H20" i="18"/>
  <c r="H19" i="18"/>
  <c r="H18" i="18"/>
  <c r="H17" i="18"/>
  <c r="H16" i="18"/>
  <c r="H14" i="18"/>
  <c r="I14" i="18"/>
  <c r="F14" i="18"/>
  <c r="M14" i="18"/>
  <c r="N14" i="18" s="1"/>
  <c r="M22" i="18"/>
  <c r="H15" i="18" l="1"/>
  <c r="M18" i="18"/>
  <c r="N18" i="18" s="1"/>
  <c r="K23" i="18"/>
  <c r="M23" i="18"/>
  <c r="N23" i="18" s="1"/>
  <c r="K19" i="18"/>
  <c r="M19" i="18"/>
  <c r="N19" i="18" s="1"/>
  <c r="M15" i="18"/>
  <c r="N15" i="18" s="1"/>
  <c r="K15" i="18"/>
  <c r="N16" i="18"/>
  <c r="P16" i="18"/>
  <c r="Q16" i="18" s="1"/>
  <c r="N17" i="18"/>
  <c r="P17" i="18"/>
  <c r="Q17" i="18" s="1"/>
  <c r="N22" i="18"/>
  <c r="P22" i="18"/>
  <c r="Q22" i="18" s="1"/>
  <c r="K16" i="18"/>
  <c r="M20" i="18"/>
  <c r="P14" i="18"/>
  <c r="Q14" i="18" s="1"/>
  <c r="P18" i="18"/>
  <c r="Q18" i="18" s="1"/>
  <c r="P23" i="18"/>
  <c r="Q23" i="18" s="1"/>
  <c r="K17" i="18"/>
  <c r="K22" i="18"/>
  <c r="P19" i="18"/>
  <c r="Q19" i="18" s="1"/>
  <c r="P24" i="18"/>
  <c r="Q24" i="18" s="1"/>
  <c r="K25" i="18"/>
  <c r="M25" i="18"/>
  <c r="H25" i="18"/>
  <c r="M21" i="18"/>
  <c r="K21" i="18"/>
  <c r="H21" i="18"/>
  <c r="G4" i="25"/>
  <c r="J4" i="25" s="1"/>
  <c r="M4" i="25" s="1"/>
  <c r="P4" i="25" s="1"/>
  <c r="Q44" i="23"/>
  <c r="Q45" i="23"/>
  <c r="Q46" i="23" s="1"/>
  <c r="Q43" i="23"/>
  <c r="Q35" i="23"/>
  <c r="Q36" i="23" s="1"/>
  <c r="Q37" i="23" s="1"/>
  <c r="Q38" i="23" s="1"/>
  <c r="Q39" i="23" s="1"/>
  <c r="Q27" i="23"/>
  <c r="Q28" i="23" s="1"/>
  <c r="Q29" i="23" s="1"/>
  <c r="Q30" i="23" s="1"/>
  <c r="Q31" i="23" s="1"/>
  <c r="Q26" i="23"/>
  <c r="Q25" i="23"/>
  <c r="D15" i="24"/>
  <c r="P15" i="18" l="1"/>
  <c r="Q15" i="18" s="1"/>
  <c r="N20" i="18"/>
  <c r="P20" i="18"/>
  <c r="Q20" i="18" s="1"/>
  <c r="P25" i="18"/>
  <c r="Q25" i="18" s="1"/>
  <c r="N25" i="18"/>
  <c r="P21" i="18"/>
  <c r="Q21" i="18" s="1"/>
  <c r="N21" i="18"/>
  <c r="E4" i="25"/>
  <c r="H36" i="26"/>
  <c r="F30" i="26"/>
  <c r="I30" i="26" s="1"/>
  <c r="Q31" i="26"/>
  <c r="N31" i="26"/>
  <c r="K31" i="26"/>
  <c r="H31" i="26"/>
  <c r="E31" i="26"/>
  <c r="E44" i="26"/>
  <c r="E45" i="26" s="1"/>
  <c r="H43" i="26"/>
  <c r="K43" i="26" s="1"/>
  <c r="Q38" i="26"/>
  <c r="N38" i="26"/>
  <c r="K38" i="26"/>
  <c r="H38" i="26"/>
  <c r="E38" i="26"/>
  <c r="O37" i="26"/>
  <c r="L37" i="26"/>
  <c r="I37" i="26"/>
  <c r="Q37" i="26" s="1"/>
  <c r="F37" i="26"/>
  <c r="N37" i="26" s="1"/>
  <c r="C37" i="26"/>
  <c r="K37" i="26" s="1"/>
  <c r="Q36" i="26"/>
  <c r="N36" i="26"/>
  <c r="K36" i="26"/>
  <c r="E36" i="26"/>
  <c r="E30" i="26"/>
  <c r="F18" i="26"/>
  <c r="I18" i="26" s="1"/>
  <c r="K18" i="26" s="1"/>
  <c r="E18" i="26"/>
  <c r="F17" i="26"/>
  <c r="H17" i="26" s="1"/>
  <c r="E17" i="26"/>
  <c r="F16" i="26"/>
  <c r="H16" i="26" s="1"/>
  <c r="E16" i="26"/>
  <c r="F15" i="26"/>
  <c r="I15" i="26" s="1"/>
  <c r="K15" i="26" s="1"/>
  <c r="E15" i="26"/>
  <c r="I14" i="26"/>
  <c r="K14" i="26" s="1"/>
  <c r="E14" i="26"/>
  <c r="AG5" i="25"/>
  <c r="AD5" i="25"/>
  <c r="AA5" i="25"/>
  <c r="X5" i="25"/>
  <c r="U5" i="25"/>
  <c r="G16" i="24"/>
  <c r="E16" i="24"/>
  <c r="E15" i="24"/>
  <c r="E9" i="24"/>
  <c r="E8" i="24"/>
  <c r="E7" i="24"/>
  <c r="G13" i="24"/>
  <c r="G12" i="24"/>
  <c r="E5" i="24"/>
  <c r="G5" i="24" s="1"/>
  <c r="G4" i="24"/>
  <c r="E4" i="24"/>
  <c r="N14" i="23"/>
  <c r="N15" i="23" s="1"/>
  <c r="M14" i="23"/>
  <c r="M15" i="23" s="1"/>
  <c r="L14" i="23"/>
  <c r="L15" i="23" s="1"/>
  <c r="K14" i="23"/>
  <c r="K15" i="23" s="1"/>
  <c r="J14" i="23"/>
  <c r="J15" i="23" s="1"/>
  <c r="N7" i="23"/>
  <c r="M7" i="23"/>
  <c r="L7" i="23"/>
  <c r="K7" i="23"/>
  <c r="J7" i="23"/>
  <c r="I7" i="23"/>
  <c r="G7" i="23"/>
  <c r="F7" i="23"/>
  <c r="E6" i="23"/>
  <c r="F1" i="23"/>
  <c r="G1" i="23" s="1"/>
  <c r="H1" i="23" s="1"/>
  <c r="I1" i="23" s="1"/>
  <c r="J1" i="23" s="1"/>
  <c r="K1" i="23" s="1"/>
  <c r="L1" i="23" s="1"/>
  <c r="M1" i="23" s="1"/>
  <c r="N1" i="23" s="1"/>
  <c r="H4" i="25" l="1"/>
  <c r="K4" i="25" s="1"/>
  <c r="N4" i="25" s="1"/>
  <c r="Q4" i="25" s="1"/>
  <c r="F4" i="25"/>
  <c r="F5" i="25" s="1"/>
  <c r="E9" i="23" s="1"/>
  <c r="H5" i="23"/>
  <c r="H7" i="23" s="1"/>
  <c r="H19" i="24"/>
  <c r="I17" i="23" s="1"/>
  <c r="G15" i="24"/>
  <c r="H15" i="26"/>
  <c r="E33" i="26"/>
  <c r="H14" i="26"/>
  <c r="H18" i="26"/>
  <c r="I17" i="26"/>
  <c r="H45" i="26"/>
  <c r="E20" i="26"/>
  <c r="E56" i="26" s="1"/>
  <c r="E12" i="23" s="1"/>
  <c r="I16" i="26"/>
  <c r="H37" i="26"/>
  <c r="H40" i="26" s="1"/>
  <c r="K40" i="26"/>
  <c r="Q40" i="26"/>
  <c r="K30" i="26"/>
  <c r="K33" i="26" s="1"/>
  <c r="L30" i="26"/>
  <c r="L15" i="26"/>
  <c r="N15" i="26" s="1"/>
  <c r="N43" i="26"/>
  <c r="K45" i="26"/>
  <c r="N40" i="26"/>
  <c r="L14" i="26"/>
  <c r="N14" i="26" s="1"/>
  <c r="L18" i="26"/>
  <c r="N18" i="26" s="1"/>
  <c r="H30" i="26"/>
  <c r="H33" i="26" s="1"/>
  <c r="E37" i="26"/>
  <c r="E40" i="26" s="1"/>
  <c r="E6" i="24"/>
  <c r="G6" i="24" s="1"/>
  <c r="I4" i="25" l="1"/>
  <c r="I5" i="25" s="1"/>
  <c r="F9" i="23" s="1"/>
  <c r="E19" i="24"/>
  <c r="E5" i="23" s="1"/>
  <c r="R4" i="25"/>
  <c r="R5" i="25" s="1"/>
  <c r="I9" i="23" s="1"/>
  <c r="G19" i="24"/>
  <c r="I16" i="23" s="1"/>
  <c r="E10" i="23"/>
  <c r="E38" i="23" s="1"/>
  <c r="L4" i="25"/>
  <c r="L5" i="25" s="1"/>
  <c r="G9" i="23" s="1"/>
  <c r="E13" i="23"/>
  <c r="E11" i="23"/>
  <c r="O4" i="25"/>
  <c r="O5" i="25" s="1"/>
  <c r="H9" i="23" s="1"/>
  <c r="L16" i="26"/>
  <c r="N16" i="26" s="1"/>
  <c r="K16" i="26"/>
  <c r="L17" i="26"/>
  <c r="K17" i="26"/>
  <c r="O16" i="26"/>
  <c r="Q16" i="26" s="1"/>
  <c r="H20" i="26"/>
  <c r="H56" i="26" s="1"/>
  <c r="F12" i="23" s="1"/>
  <c r="O18" i="26"/>
  <c r="Q18" i="26" s="1"/>
  <c r="O15" i="26"/>
  <c r="Q15" i="26" s="1"/>
  <c r="N30" i="26"/>
  <c r="N33" i="26" s="1"/>
  <c r="O30" i="26"/>
  <c r="Q30" i="26" s="1"/>
  <c r="Q33" i="26" s="1"/>
  <c r="N45" i="26"/>
  <c r="Q43" i="26"/>
  <c r="Q45" i="26" s="1"/>
  <c r="O14" i="26"/>
  <c r="Q14" i="26" s="1"/>
  <c r="K20" i="26" l="1"/>
  <c r="K56" i="26" s="1"/>
  <c r="G12" i="23" s="1"/>
  <c r="F13" i="23"/>
  <c r="F11" i="23"/>
  <c r="F10" i="23"/>
  <c r="E4" i="21"/>
  <c r="F16" i="23"/>
  <c r="G16" i="23"/>
  <c r="H16" i="23"/>
  <c r="E16" i="23"/>
  <c r="E25" i="23"/>
  <c r="E14" i="23"/>
  <c r="E15" i="23" s="1"/>
  <c r="G10" i="23"/>
  <c r="G38" i="23" s="1"/>
  <c r="K4" i="21" s="1"/>
  <c r="G11" i="23"/>
  <c r="G13" i="23"/>
  <c r="I11" i="23"/>
  <c r="I13" i="23"/>
  <c r="I10" i="23"/>
  <c r="I38" i="23" s="1"/>
  <c r="Q4" i="21" s="1"/>
  <c r="R4" i="21" s="1"/>
  <c r="R5" i="21" s="1"/>
  <c r="H11" i="23"/>
  <c r="H10" i="23"/>
  <c r="H38" i="23" s="1"/>
  <c r="N4" i="21" s="1"/>
  <c r="O4" i="21" s="1"/>
  <c r="O5" i="21" s="1"/>
  <c r="H13" i="23"/>
  <c r="N17" i="26"/>
  <c r="N20" i="26" s="1"/>
  <c r="O17" i="26"/>
  <c r="Q17" i="26" s="1"/>
  <c r="Q20" i="26" s="1"/>
  <c r="Q56" i="26" s="1"/>
  <c r="I12" i="23" s="1"/>
  <c r="Q27" i="18"/>
  <c r="N27" i="18"/>
  <c r="K27" i="18"/>
  <c r="H27" i="18"/>
  <c r="D12" i="21"/>
  <c r="F12" i="21" s="1"/>
  <c r="P12" i="21"/>
  <c r="R12" i="21" s="1"/>
  <c r="M12" i="21"/>
  <c r="M13" i="21" s="1"/>
  <c r="J12" i="21"/>
  <c r="L12" i="21" s="1"/>
  <c r="G12" i="21"/>
  <c r="I12" i="21" s="1"/>
  <c r="K55" i="18"/>
  <c r="K49" i="18"/>
  <c r="H49" i="18"/>
  <c r="F37" i="18"/>
  <c r="I37" i="18" s="1"/>
  <c r="Q57" i="18"/>
  <c r="Q55" i="18"/>
  <c r="Q49" i="18"/>
  <c r="Q51" i="18" s="1"/>
  <c r="Q46" i="18"/>
  <c r="Q44" i="18"/>
  <c r="Q43" i="18"/>
  <c r="Q42" i="18"/>
  <c r="N57" i="18"/>
  <c r="N55" i="18"/>
  <c r="N49" i="18"/>
  <c r="N51" i="18" s="1"/>
  <c r="N46" i="18"/>
  <c r="N44" i="18"/>
  <c r="N43" i="18"/>
  <c r="N42" i="18"/>
  <c r="O43" i="18"/>
  <c r="O25" i="18"/>
  <c r="O24" i="18"/>
  <c r="O23" i="18"/>
  <c r="O22" i="18"/>
  <c r="O21" i="18"/>
  <c r="O20" i="18"/>
  <c r="O19" i="18"/>
  <c r="O18" i="18"/>
  <c r="O17" i="18"/>
  <c r="O16" i="18"/>
  <c r="O15" i="18"/>
  <c r="O14" i="18"/>
  <c r="L14" i="18"/>
  <c r="L43" i="18"/>
  <c r="L25" i="18"/>
  <c r="L24" i="18"/>
  <c r="L23" i="18"/>
  <c r="L22" i="18"/>
  <c r="L21" i="18"/>
  <c r="L20" i="18"/>
  <c r="L19" i="18"/>
  <c r="L18" i="18"/>
  <c r="L17" i="18"/>
  <c r="L16" i="18"/>
  <c r="L15" i="18"/>
  <c r="I8" i="1"/>
  <c r="K37" i="18" l="1"/>
  <c r="L37" i="18"/>
  <c r="H37" i="18"/>
  <c r="F38" i="23"/>
  <c r="H4" i="21" s="1"/>
  <c r="I4" i="21" s="1"/>
  <c r="F14" i="23"/>
  <c r="F15" i="23" s="1"/>
  <c r="F25" i="23"/>
  <c r="P13" i="21"/>
  <c r="I10" i="1"/>
  <c r="H10" i="1"/>
  <c r="O12" i="21"/>
  <c r="D13" i="21"/>
  <c r="G25" i="23"/>
  <c r="G14" i="23"/>
  <c r="G15" i="23" s="1"/>
  <c r="H25" i="23"/>
  <c r="I25" i="23"/>
  <c r="E26" i="23"/>
  <c r="E18" i="23"/>
  <c r="I14" i="23"/>
  <c r="I15" i="23" s="1"/>
  <c r="N56" i="26"/>
  <c r="H12" i="23" s="1"/>
  <c r="H14" i="23" s="1"/>
  <c r="H15" i="23" s="1"/>
  <c r="G13" i="21"/>
  <c r="J13" i="21"/>
  <c r="L4" i="21"/>
  <c r="F4" i="21"/>
  <c r="H55" i="18"/>
  <c r="K57" i="18"/>
  <c r="H57" i="18"/>
  <c r="E57" i="18"/>
  <c r="K51" i="18"/>
  <c r="H51" i="18"/>
  <c r="E51" i="18"/>
  <c r="F15" i="18"/>
  <c r="I15" i="18" s="1"/>
  <c r="F16" i="18"/>
  <c r="F17" i="18"/>
  <c r="F18" i="18"/>
  <c r="F19" i="18"/>
  <c r="F20" i="18"/>
  <c r="F21" i="18"/>
  <c r="F22" i="18"/>
  <c r="F23" i="18"/>
  <c r="F24" i="18"/>
  <c r="F25" i="18"/>
  <c r="I25" i="18" s="1"/>
  <c r="I43" i="18"/>
  <c r="F43" i="18"/>
  <c r="E15" i="18"/>
  <c r="E14" i="18"/>
  <c r="E25" i="18"/>
  <c r="N37" i="18" l="1"/>
  <c r="N39" i="18" s="1"/>
  <c r="N62" i="18" s="1"/>
  <c r="H12" i="1" s="1"/>
  <c r="H40" i="23" s="1"/>
  <c r="H42" i="23" s="1"/>
  <c r="O37" i="18"/>
  <c r="Q37" i="18" s="1"/>
  <c r="Q39" i="18" s="1"/>
  <c r="Q62" i="18" s="1"/>
  <c r="I12" i="1" s="1"/>
  <c r="I40" i="23" s="1"/>
  <c r="I42" i="23" s="1"/>
  <c r="H13" i="1"/>
  <c r="I13" i="1"/>
  <c r="F18" i="23"/>
  <c r="E19" i="23"/>
  <c r="E22" i="23" s="1"/>
  <c r="G18" i="23"/>
  <c r="H18" i="23"/>
  <c r="I18" i="23"/>
  <c r="G26" i="23"/>
  <c r="G24" i="23"/>
  <c r="F24" i="23"/>
  <c r="F26" i="23"/>
  <c r="I23" i="18"/>
  <c r="I19" i="18"/>
  <c r="I17" i="18"/>
  <c r="I22" i="18"/>
  <c r="I18" i="18"/>
  <c r="I20" i="18"/>
  <c r="I21" i="18"/>
  <c r="I16" i="18"/>
  <c r="I24" i="18"/>
  <c r="I41" i="23" l="1"/>
  <c r="H41" i="23"/>
  <c r="H19" i="23"/>
  <c r="H22" i="23" s="1"/>
  <c r="I19" i="23"/>
  <c r="I22" i="23" s="1"/>
  <c r="G19" i="23"/>
  <c r="G22" i="23" s="1"/>
  <c r="F19" i="23"/>
  <c r="F22" i="23" s="1"/>
  <c r="E20" i="23"/>
  <c r="I24" i="23"/>
  <c r="I26" i="23"/>
  <c r="H24" i="23"/>
  <c r="H26" i="23"/>
  <c r="F1" i="1"/>
  <c r="G1" i="1" s="1"/>
  <c r="H1" i="1" s="1"/>
  <c r="I1" i="1" s="1"/>
  <c r="G8" i="1"/>
  <c r="F8" i="1"/>
  <c r="G20" i="23" l="1"/>
  <c r="G27" i="23" s="1"/>
  <c r="H20" i="23"/>
  <c r="H27" i="23" s="1"/>
  <c r="F20" i="23"/>
  <c r="F27" i="23" s="1"/>
  <c r="I20" i="23"/>
  <c r="I27" i="23" s="1"/>
  <c r="E13" i="21"/>
  <c r="F13" i="21" s="1"/>
  <c r="F14" i="21" s="1"/>
  <c r="E11" i="1" s="1"/>
  <c r="N13" i="21"/>
  <c r="O13" i="21" s="1"/>
  <c r="O14" i="21" s="1"/>
  <c r="H11" i="1" s="1"/>
  <c r="K13" i="21"/>
  <c r="L13" i="21" s="1"/>
  <c r="L14" i="21" s="1"/>
  <c r="G11" i="1" s="1"/>
  <c r="Q13" i="21"/>
  <c r="R13" i="21" s="1"/>
  <c r="R14" i="21" s="1"/>
  <c r="I11" i="1" s="1"/>
  <c r="H13" i="21"/>
  <c r="I13" i="21" s="1"/>
  <c r="I14" i="21" s="1"/>
  <c r="F11" i="1" s="1"/>
  <c r="AD20" i="21"/>
  <c r="AG20" i="21"/>
  <c r="AA20" i="21"/>
  <c r="X20" i="21"/>
  <c r="H26" i="1" l="1"/>
  <c r="H15" i="1"/>
  <c r="H16" i="1" s="1"/>
  <c r="I26" i="1"/>
  <c r="I15" i="1"/>
  <c r="I16" i="1" s="1"/>
  <c r="U20" i="21"/>
  <c r="I25" i="1" l="1"/>
  <c r="I27" i="1"/>
  <c r="I19" i="1"/>
  <c r="H27" i="1"/>
  <c r="H19" i="1"/>
  <c r="K44" i="18"/>
  <c r="K42" i="18"/>
  <c r="H44" i="18"/>
  <c r="H42" i="18"/>
  <c r="H20" i="1" l="1"/>
  <c r="I20" i="1"/>
  <c r="I23" i="1" s="1"/>
  <c r="O20" i="21"/>
  <c r="I5" i="21"/>
  <c r="F10" i="1" s="1"/>
  <c r="R20" i="21"/>
  <c r="I21" i="1" l="1"/>
  <c r="I28" i="1" s="1"/>
  <c r="H21" i="1"/>
  <c r="H28" i="1" s="1"/>
  <c r="F13" i="1"/>
  <c r="X5" i="21"/>
  <c r="L5" i="21"/>
  <c r="G6" i="17"/>
  <c r="G7" i="17"/>
  <c r="G8" i="17"/>
  <c r="E5" i="17"/>
  <c r="G5" i="17" s="1"/>
  <c r="E4" i="17"/>
  <c r="E10" i="17" s="1"/>
  <c r="C43" i="18"/>
  <c r="E43" i="18" s="1"/>
  <c r="E37" i="18"/>
  <c r="E56" i="18"/>
  <c r="E54" i="18"/>
  <c r="E50" i="18"/>
  <c r="E44" i="18"/>
  <c r="E42" i="18"/>
  <c r="E24" i="18"/>
  <c r="E22" i="18"/>
  <c r="E21" i="18"/>
  <c r="E23" i="18"/>
  <c r="E20" i="18"/>
  <c r="E19" i="18"/>
  <c r="E18" i="18"/>
  <c r="E27" i="18" l="1"/>
  <c r="G10" i="1"/>
  <c r="E7" i="23"/>
  <c r="E5" i="1"/>
  <c r="H43" i="18"/>
  <c r="H46" i="18" s="1"/>
  <c r="K43" i="18"/>
  <c r="K46" i="18" s="1"/>
  <c r="AA5" i="21"/>
  <c r="E16" i="18"/>
  <c r="E46" i="18"/>
  <c r="K39" i="18"/>
  <c r="E39" i="18"/>
  <c r="H39" i="18"/>
  <c r="U5" i="21"/>
  <c r="G4" i="17"/>
  <c r="G10" i="17" s="1"/>
  <c r="F5" i="21"/>
  <c r="E10" i="1" s="1"/>
  <c r="E62" i="18" l="1"/>
  <c r="E12" i="1" s="1"/>
  <c r="E40" i="23" s="1"/>
  <c r="H5" i="1"/>
  <c r="H8" i="1" s="1"/>
  <c r="E8" i="1"/>
  <c r="G13" i="1"/>
  <c r="E13" i="1"/>
  <c r="E24" i="23"/>
  <c r="E35" i="23"/>
  <c r="F35" i="23" s="1"/>
  <c r="G35" i="23" s="1"/>
  <c r="H35" i="23" s="1"/>
  <c r="I35" i="23" s="1"/>
  <c r="I37" i="23" s="1"/>
  <c r="E29" i="23"/>
  <c r="F17" i="21"/>
  <c r="F20" i="21" s="1"/>
  <c r="L17" i="21"/>
  <c r="L20" i="21" s="1"/>
  <c r="I17" i="21"/>
  <c r="I20" i="21" s="1"/>
  <c r="AD5" i="21"/>
  <c r="AG5" i="21"/>
  <c r="E26" i="1" l="1"/>
  <c r="E15" i="1"/>
  <c r="E16" i="1" s="1"/>
  <c r="E27" i="1" s="1"/>
  <c r="I36" i="23"/>
  <c r="Q41" i="23" s="1"/>
  <c r="H25" i="1"/>
  <c r="H23" i="1"/>
  <c r="E42" i="23"/>
  <c r="K62" i="18"/>
  <c r="G12" i="1" s="1"/>
  <c r="H62" i="18"/>
  <c r="F12" i="1" s="1"/>
  <c r="E19" i="1" l="1"/>
  <c r="E20" i="1" s="1"/>
  <c r="E21" i="1" s="1"/>
  <c r="E25" i="1"/>
  <c r="Q33" i="23"/>
  <c r="Q24" i="23"/>
  <c r="F40" i="23"/>
  <c r="F42" i="23" s="1"/>
  <c r="F26" i="1"/>
  <c r="F15" i="1"/>
  <c r="F16" i="1" s="1"/>
  <c r="G40" i="23"/>
  <c r="G41" i="23" s="1"/>
  <c r="G26" i="1"/>
  <c r="G15" i="1"/>
  <c r="G16" i="1" s="1"/>
  <c r="E41" i="23"/>
  <c r="E23" i="1" l="1"/>
  <c r="F41" i="23"/>
  <c r="G42" i="23"/>
  <c r="F27" i="1"/>
  <c r="F25" i="1"/>
  <c r="F19" i="1"/>
  <c r="G27" i="1"/>
  <c r="G25" i="1"/>
  <c r="G19" i="1"/>
  <c r="F20" i="1" l="1"/>
  <c r="F23" i="1" s="1"/>
  <c r="G20" i="1"/>
  <c r="G23" i="1" s="1"/>
  <c r="E37" i="1" l="1"/>
  <c r="E36" i="1"/>
  <c r="J54" i="1" s="1"/>
  <c r="F21" i="1"/>
  <c r="F28" i="1" s="1"/>
  <c r="G21" i="1"/>
  <c r="G28" i="1" s="1"/>
  <c r="E30" i="1"/>
  <c r="J36" i="1" l="1"/>
  <c r="J45" i="1"/>
</calcChain>
</file>

<file path=xl/sharedStrings.xml><?xml version="1.0" encoding="utf-8"?>
<sst xmlns="http://schemas.openxmlformats.org/spreadsheetml/2006/main" count="471" uniqueCount="211">
  <si>
    <t>Year</t>
  </si>
  <si>
    <t>2020-21 P</t>
  </si>
  <si>
    <t>2021-22 P</t>
  </si>
  <si>
    <t>2022-23 P</t>
  </si>
  <si>
    <t>2023-24 P</t>
  </si>
  <si>
    <t>2024-25 P</t>
  </si>
  <si>
    <t>2025-26 P</t>
  </si>
  <si>
    <t>2026-27 P</t>
  </si>
  <si>
    <t>2027-28 P</t>
  </si>
  <si>
    <t>2028-29 P</t>
  </si>
  <si>
    <t>Capital Expenditure</t>
  </si>
  <si>
    <t>Office infrastructure</t>
  </si>
  <si>
    <t>Total Capex (A)</t>
  </si>
  <si>
    <t>Operational Expenditure</t>
  </si>
  <si>
    <t>Revenue (B)</t>
  </si>
  <si>
    <t>COGS</t>
  </si>
  <si>
    <t>General and admin expenses</t>
  </si>
  <si>
    <t xml:space="preserve"> Marketing</t>
  </si>
  <si>
    <t>Total Expenses (C)</t>
  </si>
  <si>
    <t>Net cash flow after operations (B-C)</t>
  </si>
  <si>
    <t>Depreciation</t>
  </si>
  <si>
    <t>Total Cashflow</t>
  </si>
  <si>
    <t>Break Even Units &amp; Sales</t>
  </si>
  <si>
    <t>Free Cash Flow (Operating CF - Capex)</t>
  </si>
  <si>
    <t>Gross Margin</t>
  </si>
  <si>
    <t>Operating Margin (EBIT)</t>
  </si>
  <si>
    <t>Discount Factor</t>
  </si>
  <si>
    <t>Net Present Value NPV</t>
  </si>
  <si>
    <t xml:space="preserve"> Cash Flow</t>
  </si>
  <si>
    <t>Cumulative Cash Flow</t>
  </si>
  <si>
    <t>Payback Period</t>
  </si>
  <si>
    <t xml:space="preserve">2020-21 </t>
  </si>
  <si>
    <t xml:space="preserve">2021-22 </t>
  </si>
  <si>
    <t xml:space="preserve">2022-23 </t>
  </si>
  <si>
    <t xml:space="preserve">2023-24 </t>
  </si>
  <si>
    <t xml:space="preserve">2024-25 </t>
  </si>
  <si>
    <t xml:space="preserve">2025-26 </t>
  </si>
  <si>
    <t xml:space="preserve">2026-27 </t>
  </si>
  <si>
    <t xml:space="preserve">2027-28 </t>
  </si>
  <si>
    <t xml:space="preserve">2028-29 </t>
  </si>
  <si>
    <t>Revenue</t>
  </si>
  <si>
    <t>Nos.</t>
  </si>
  <si>
    <t>Rate</t>
  </si>
  <si>
    <t>Amount</t>
  </si>
  <si>
    <t>Unit</t>
  </si>
  <si>
    <t>Total</t>
  </si>
  <si>
    <t xml:space="preserve">Variable </t>
  </si>
  <si>
    <t>Labour</t>
  </si>
  <si>
    <t>Transport</t>
  </si>
  <si>
    <t>Corporate office</t>
  </si>
  <si>
    <t>LARSEN &amp; TOUBRO LIMITED</t>
  </si>
  <si>
    <t>Power Transmission &amp; Distribution IC</t>
  </si>
  <si>
    <t>Transmission Lines BU</t>
  </si>
  <si>
    <t>DETAILED WORKING FOR OVER HEADS</t>
  </si>
  <si>
    <t>S.No</t>
  </si>
  <si>
    <t>DESCRIPTION</t>
  </si>
  <si>
    <t>RATE( PPA)</t>
  </si>
  <si>
    <t>QTY (Annual)</t>
  </si>
  <si>
    <t>AMOUNT</t>
  </si>
  <si>
    <t>Staff Expenses</t>
  </si>
  <si>
    <t>Corporate Office</t>
  </si>
  <si>
    <t>Manager - Operations</t>
  </si>
  <si>
    <t>Accounts Manager</t>
  </si>
  <si>
    <t>TOTAL</t>
  </si>
  <si>
    <t>Other Rates &amp; Taxes</t>
  </si>
  <si>
    <t>Labour Licence Fees</t>
  </si>
  <si>
    <t>VAT</t>
  </si>
  <si>
    <t>Water &amp; Power &amp; Rent &amp; Cafetria(Office and Plant)</t>
  </si>
  <si>
    <t>Computer &amp; Printer maintenace charges</t>
  </si>
  <si>
    <t>Broadband</t>
  </si>
  <si>
    <t>Stationery Expenses</t>
  </si>
  <si>
    <t>REPAIR &amp; MAINTAINANCE</t>
  </si>
  <si>
    <t xml:space="preserve">Office </t>
  </si>
  <si>
    <t>Hire charges &amp; Rental charges</t>
  </si>
  <si>
    <t>CSR  ACTIVITIES</t>
  </si>
  <si>
    <t>TRAINING ACTIVITIES</t>
  </si>
  <si>
    <t>Miscellaneous</t>
  </si>
  <si>
    <t>GRAND TOTAL</t>
  </si>
  <si>
    <t>Nos</t>
  </si>
  <si>
    <t>Item Description ( CAPITAL EXPENDITURE )</t>
  </si>
  <si>
    <t>Rate/unit</t>
  </si>
  <si>
    <t>Useful years</t>
  </si>
  <si>
    <t>Depreciation / year</t>
  </si>
  <si>
    <t>Office Infrastructure</t>
  </si>
  <si>
    <t>Laptops &amp; PC</t>
  </si>
  <si>
    <t>Printers</t>
  </si>
  <si>
    <t>Office Furniture</t>
  </si>
  <si>
    <t>Stationary</t>
  </si>
  <si>
    <t>Cafeteria</t>
  </si>
  <si>
    <t>Marketing Campaign Type</t>
  </si>
  <si>
    <t>Expense/amnum</t>
  </si>
  <si>
    <t xml:space="preserve">News paper </t>
  </si>
  <si>
    <t>Journal</t>
  </si>
  <si>
    <t>Public Events</t>
  </si>
  <si>
    <t>Sponsorships</t>
  </si>
  <si>
    <t>Press releases</t>
  </si>
  <si>
    <t>Seminars</t>
  </si>
  <si>
    <t>Conferences</t>
  </si>
  <si>
    <t>Client Events</t>
  </si>
  <si>
    <t>Sponsored Content</t>
  </si>
  <si>
    <t>LinkedIn</t>
  </si>
  <si>
    <t>Google</t>
  </si>
  <si>
    <t>Facebook</t>
  </si>
  <si>
    <t>Website</t>
  </si>
  <si>
    <t>Email newsletter</t>
  </si>
  <si>
    <t>2029-30 P</t>
  </si>
  <si>
    <t>Material</t>
  </si>
  <si>
    <t xml:space="preserve">2029-30 </t>
  </si>
  <si>
    <t>ML Senior Engineer</t>
  </si>
  <si>
    <t>Human Resource Executive</t>
  </si>
  <si>
    <t xml:space="preserve">PRINTING &amp; STATIONARY </t>
  </si>
  <si>
    <t xml:space="preserve">Tax </t>
  </si>
  <si>
    <t>Profit before tax</t>
  </si>
  <si>
    <t>Profit after tax</t>
  </si>
  <si>
    <t>-</t>
  </si>
  <si>
    <t>Profit Margin</t>
  </si>
  <si>
    <t>Total manufacturing cost</t>
  </si>
  <si>
    <t>Price</t>
  </si>
  <si>
    <t>Total consumable cost (new devices)</t>
  </si>
  <si>
    <t>Sales</t>
  </si>
  <si>
    <t>Franchise Fee</t>
  </si>
  <si>
    <t>3 seater sofa</t>
  </si>
  <si>
    <t>Recliner</t>
  </si>
  <si>
    <t>Tables</t>
  </si>
  <si>
    <t>EEG device</t>
  </si>
  <si>
    <t xml:space="preserve">Exo skeleton </t>
  </si>
  <si>
    <t xml:space="preserve">Others </t>
  </si>
  <si>
    <t>Patients per set</t>
  </si>
  <si>
    <t>Therapy session</t>
  </si>
  <si>
    <t>Power</t>
  </si>
  <si>
    <t>General and Admin</t>
  </si>
  <si>
    <t>Physiotherapist</t>
  </si>
  <si>
    <t>Reception</t>
  </si>
  <si>
    <t>Therapy staff</t>
  </si>
  <si>
    <t>Security</t>
  </si>
  <si>
    <t>https://biotech-solutions.com/company-detail/77</t>
  </si>
  <si>
    <t>Recoverix</t>
  </si>
  <si>
    <t>https://neuromtl.com/wp-content/uploads/2018/04/recoverix-franchise-en.pdf</t>
  </si>
  <si>
    <t>Physiotheraphy</t>
  </si>
  <si>
    <t>https://www.vaidam.com/cost/neurorehabilitation-cost-in-india#treatment-cost</t>
  </si>
  <si>
    <t>Salvage value</t>
  </si>
  <si>
    <t xml:space="preserve"> </t>
  </si>
  <si>
    <t>https://health.economictimes.indiatimes.com/news/industry/survey-report-on-the-importance-of-stroke-rehabilitation-at-home/62576892</t>
  </si>
  <si>
    <t>Accounts</t>
  </si>
  <si>
    <t>Capital employed</t>
  </si>
  <si>
    <t>Return on investment</t>
  </si>
  <si>
    <t>Device cost</t>
  </si>
  <si>
    <t>Sellingprice per device BrainAlive</t>
  </si>
  <si>
    <t>Franchise fee</t>
  </si>
  <si>
    <t>Device Cost</t>
  </si>
  <si>
    <t>Patients per annum</t>
  </si>
  <si>
    <t>Patients per annum/device</t>
  </si>
  <si>
    <t>Device target per annum</t>
  </si>
  <si>
    <t>Franchise partner target / annum</t>
  </si>
  <si>
    <t>Patients target /annum</t>
  </si>
  <si>
    <t>Franchise partner trainer</t>
  </si>
  <si>
    <t>Tech Support</t>
  </si>
  <si>
    <t xml:space="preserve">Device and franchise </t>
  </si>
  <si>
    <t>Reserch capital</t>
  </si>
  <si>
    <t>Therapy price</t>
  </si>
  <si>
    <t>ROI (annualised)</t>
  </si>
  <si>
    <t>Revenue growth</t>
  </si>
  <si>
    <t>Same store sales growth --&gt;</t>
  </si>
  <si>
    <t xml:space="preserve">New partner sales growth --&gt; </t>
  </si>
  <si>
    <t>Devices.</t>
  </si>
  <si>
    <t xml:space="preserve">Franchise Fee </t>
  </si>
  <si>
    <t>Reserch capital phase 2</t>
  </si>
  <si>
    <t xml:space="preserve">Marketing </t>
  </si>
  <si>
    <t>Franchise size (No. of patients / device)</t>
  </si>
  <si>
    <t>Consumables (Electrodes, gel etc. 3% of revenue)</t>
  </si>
  <si>
    <t>cost saving</t>
  </si>
  <si>
    <t>Physiotherapy</t>
  </si>
  <si>
    <t>Exo skeleton</t>
  </si>
  <si>
    <t>Therapist</t>
  </si>
  <si>
    <t>Physio consultation</t>
  </si>
  <si>
    <t>Percentage savings</t>
  </si>
  <si>
    <t>Market size (Franchise Partners)</t>
  </si>
  <si>
    <t>Business Head</t>
  </si>
  <si>
    <t>Franchise partners</t>
  </si>
  <si>
    <t>Device manufacture cost</t>
  </si>
  <si>
    <t>Market size (Stroke patients)</t>
  </si>
  <si>
    <t xml:space="preserve">Stroke market growth </t>
  </si>
  <si>
    <t xml:space="preserve">Franchise Market Growth </t>
  </si>
  <si>
    <t>Annual stroke incidence</t>
  </si>
  <si>
    <t>Population ( in crores)</t>
  </si>
  <si>
    <t>Percentae population with locomotor disability</t>
  </si>
  <si>
    <t>Population disabled  ( in crores)</t>
  </si>
  <si>
    <t>http://www.mospi.gov.in/sites/default/files/NSS7626d/Report_583_Final.pdf</t>
  </si>
  <si>
    <t>http://mospi.nic.in/sites/default/files/publication_reports/485_final.pdf</t>
  </si>
  <si>
    <t>https://www.archives-pmr.org/article/0003-9993(94)90161-9/pdf</t>
  </si>
  <si>
    <t>Severe UE paresis | Week 4 (9%)</t>
  </si>
  <si>
    <t>Mild UE paresis | Week 4  (14%)</t>
  </si>
  <si>
    <t>Unrecovered after 2 months - Severe</t>
  </si>
  <si>
    <t>Unrecovered after 2 months - Mild</t>
  </si>
  <si>
    <t>Total rehabilitation requirement</t>
  </si>
  <si>
    <t>Upper limb 75%</t>
  </si>
  <si>
    <t>Selling cost</t>
  </si>
  <si>
    <t xml:space="preserve">Software </t>
  </si>
  <si>
    <t>2500/month</t>
  </si>
  <si>
    <t>maintanance</t>
  </si>
  <si>
    <t>500/month</t>
  </si>
  <si>
    <t xml:space="preserve">8 years </t>
  </si>
  <si>
    <t xml:space="preserve">Disabled due to stroke 7.5% </t>
  </si>
  <si>
    <t>http://ispub.com/IJE/6/2/4308</t>
  </si>
  <si>
    <t>return</t>
  </si>
  <si>
    <t>price</t>
  </si>
  <si>
    <t>cost</t>
  </si>
  <si>
    <t>breakeven market size</t>
  </si>
  <si>
    <t>No. of hours of therapy per patient</t>
  </si>
  <si>
    <t>Total working hours per annum</t>
  </si>
  <si>
    <t>Maximum capacity per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</si>
</sst>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₹&quot;#,##0_);[Red]\(&quot;₹&quot;#,##0\)"/>
    <numFmt numFmtId="44" formatCode="_(&quot;₹&quot;* #,##0.00_);_(&quot;₹&quot;* \(#,##0.00\);_(&quot;₹&quot;* &quot;-&quot;??_);_(@_)"/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  <numFmt numFmtId="166" formatCode="#,##0;\(#,##0\)"/>
    <numFmt numFmtId="167" formatCode="_ [$₹-4009]\ * #,##0_ ;_ [$₹-4009]\ * \-#,##0_ ;_ [$₹-4009]\ * &quot;-&quot;??_ ;_ @_ "/>
    <numFmt numFmtId="168" formatCode="_(&quot;₹&quot;* #,##0_);_(&quot;₹&quot;* \(#,##0\);_(&quot;₹&quot;* &quot;-&quot;??_);_(@_)"/>
    <numFmt numFmtId="169" formatCode="0.0%"/>
    <numFmt numFmtId="170" formatCode="_ [$₹-439]* #,##0_ ;_ [$₹-439]* \-#,##0_ ;_ [$₹-439]* &quot;-&quot;??_ ;_ @_ "/>
    <numFmt numFmtId="171" formatCode="_(* #,##0_);_(* \(#,##0\);_(* &quot;-&quot;??_);_(@_)"/>
  </numFmts>
  <fonts count="27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6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2"/>
      <color indexed="10"/>
      <name val="Arial"/>
      <family val="2"/>
    </font>
    <font>
      <sz val="12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b/>
      <u/>
      <sz val="11"/>
      <color rgb="FF000000"/>
      <name val="Calibri"/>
      <family val="2"/>
    </font>
    <font>
      <sz val="14"/>
      <color rgb="FF000000"/>
      <name val="Calibri"/>
      <family val="2"/>
    </font>
    <font>
      <sz val="10"/>
      <name val="Arial"/>
      <family val="2"/>
    </font>
    <font>
      <sz val="14"/>
      <name val="Calibri"/>
      <family val="2"/>
    </font>
    <font>
      <b/>
      <sz val="11"/>
      <color rgb="FFFF0000"/>
      <name val="Calibri"/>
      <family val="2"/>
    </font>
    <font>
      <b/>
      <sz val="16"/>
      <color rgb="FF000000"/>
      <name val="Calibri"/>
      <family val="2"/>
    </font>
    <font>
      <u/>
      <sz val="11"/>
      <color indexed="8"/>
      <name val="Calibri"/>
      <family val="2"/>
    </font>
    <font>
      <u/>
      <sz val="11"/>
      <color theme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8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44" fontId="6" fillId="0" borderId="0" applyFont="0" applyFill="0" applyBorder="0" applyAlignment="0" applyProtection="0"/>
    <xf numFmtId="0" fontId="7" fillId="0" borderId="0"/>
    <xf numFmtId="0" fontId="9" fillId="0" borderId="0"/>
    <xf numFmtId="0" fontId="9" fillId="0" borderId="0" applyNumberFormat="0" applyFont="0" applyFill="0" applyBorder="0" applyAlignment="0" applyProtection="0">
      <alignment vertical="top"/>
    </xf>
    <xf numFmtId="43" fontId="9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375">
    <xf numFmtId="0" fontId="0" fillId="0" borderId="0" xfId="0"/>
    <xf numFmtId="0" fontId="0" fillId="0" borderId="1" xfId="0" applyBorder="1" applyAlignment="1">
      <alignment horizontal="center" vertical="center"/>
    </xf>
    <xf numFmtId="0" fontId="9" fillId="0" borderId="0" xfId="4" applyAlignment="1"/>
    <xf numFmtId="0" fontId="8" fillId="0" borderId="0" xfId="4" applyFont="1" applyAlignment="1"/>
    <xf numFmtId="1" fontId="8" fillId="0" borderId="0" xfId="4" applyNumberFormat="1" applyFont="1" applyAlignment="1"/>
    <xf numFmtId="0" fontId="8" fillId="0" borderId="16" xfId="4" applyFont="1" applyBorder="1" applyAlignment="1">
      <alignment horizontal="center"/>
    </xf>
    <xf numFmtId="0" fontId="8" fillId="0" borderId="26" xfId="4" applyFont="1" applyBorder="1" applyAlignment="1">
      <alignment horizontal="center"/>
    </xf>
    <xf numFmtId="0" fontId="8" fillId="0" borderId="26" xfId="4" applyFont="1" applyBorder="1" applyAlignment="1">
      <alignment horizontal="left"/>
    </xf>
    <xf numFmtId="0" fontId="8" fillId="0" borderId="14" xfId="4" applyFont="1" applyBorder="1" applyAlignment="1">
      <alignment horizontal="center"/>
    </xf>
    <xf numFmtId="0" fontId="10" fillId="0" borderId="14" xfId="4" applyFont="1" applyBorder="1" applyAlignment="1">
      <alignment horizontal="left"/>
    </xf>
    <xf numFmtId="0" fontId="10" fillId="0" borderId="14" xfId="4" applyFont="1" applyBorder="1" applyAlignment="1">
      <alignment horizontal="center"/>
    </xf>
    <xf numFmtId="1" fontId="10" fillId="0" borderId="14" xfId="4" applyNumberFormat="1" applyFont="1" applyBorder="1" applyAlignment="1">
      <alignment horizontal="center"/>
    </xf>
    <xf numFmtId="0" fontId="10" fillId="0" borderId="0" xfId="4" applyFont="1" applyAlignment="1"/>
    <xf numFmtId="0" fontId="8" fillId="0" borderId="19" xfId="4" applyFont="1" applyBorder="1" applyAlignment="1">
      <alignment horizontal="center"/>
    </xf>
    <xf numFmtId="0" fontId="10" fillId="0" borderId="19" xfId="4" applyFont="1" applyBorder="1" applyAlignment="1">
      <alignment horizontal="left"/>
    </xf>
    <xf numFmtId="0" fontId="10" fillId="0" borderId="19" xfId="4" applyFont="1" applyBorder="1" applyAlignment="1">
      <alignment horizontal="center"/>
    </xf>
    <xf numFmtId="0" fontId="8" fillId="0" borderId="27" xfId="4" applyFont="1" applyBorder="1" applyAlignment="1">
      <alignment horizontal="center"/>
    </xf>
    <xf numFmtId="0" fontId="8" fillId="0" borderId="27" xfId="4" applyFont="1" applyBorder="1" applyAlignment="1">
      <alignment horizontal="left"/>
    </xf>
    <xf numFmtId="0" fontId="8" fillId="0" borderId="19" xfId="4" applyFont="1" applyBorder="1" applyAlignment="1">
      <alignment horizontal="left"/>
    </xf>
    <xf numFmtId="0" fontId="8" fillId="0" borderId="14" xfId="4" applyFont="1" applyBorder="1" applyAlignment="1">
      <alignment horizontal="left"/>
    </xf>
    <xf numFmtId="1" fontId="8" fillId="0" borderId="14" xfId="4" applyNumberFormat="1" applyFont="1" applyBorder="1" applyAlignment="1">
      <alignment horizontal="center"/>
    </xf>
    <xf numFmtId="1" fontId="10" fillId="3" borderId="14" xfId="4" applyNumberFormat="1" applyFont="1" applyFill="1" applyBorder="1" applyAlignment="1">
      <alignment horizontal="center"/>
    </xf>
    <xf numFmtId="1" fontId="8" fillId="0" borderId="27" xfId="4" applyNumberFormat="1" applyFont="1" applyBorder="1" applyAlignment="1">
      <alignment horizontal="center"/>
    </xf>
    <xf numFmtId="1" fontId="8" fillId="0" borderId="19" xfId="4" applyNumberFormat="1" applyFont="1" applyBorder="1" applyAlignment="1">
      <alignment horizontal="center"/>
    </xf>
    <xf numFmtId="0" fontId="10" fillId="3" borderId="14" xfId="4" applyFont="1" applyFill="1" applyBorder="1" applyAlignment="1"/>
    <xf numFmtId="0" fontId="8" fillId="0" borderId="14" xfId="4" applyFont="1" applyBorder="1" applyAlignment="1"/>
    <xf numFmtId="0" fontId="12" fillId="0" borderId="14" xfId="4" applyFont="1" applyBorder="1" applyAlignment="1"/>
    <xf numFmtId="0" fontId="8" fillId="3" borderId="14" xfId="4" applyFont="1" applyFill="1" applyBorder="1" applyAlignment="1">
      <alignment horizontal="center"/>
    </xf>
    <xf numFmtId="1" fontId="8" fillId="3" borderId="14" xfId="4" applyNumberFormat="1" applyFont="1" applyFill="1" applyBorder="1" applyAlignment="1">
      <alignment horizontal="center"/>
    </xf>
    <xf numFmtId="0" fontId="8" fillId="3" borderId="0" xfId="4" applyFont="1" applyFill="1" applyAlignment="1"/>
    <xf numFmtId="0" fontId="10" fillId="0" borderId="14" xfId="4" applyFont="1" applyBorder="1" applyAlignment="1"/>
    <xf numFmtId="0" fontId="8" fillId="0" borderId="27" xfId="4" applyFont="1" applyBorder="1" applyAlignment="1"/>
    <xf numFmtId="1" fontId="10" fillId="0" borderId="27" xfId="4" applyNumberFormat="1" applyFont="1" applyBorder="1" applyAlignment="1">
      <alignment horizontal="center"/>
    </xf>
    <xf numFmtId="1" fontId="10" fillId="0" borderId="19" xfId="4" applyNumberFormat="1" applyFont="1" applyBorder="1" applyAlignment="1">
      <alignment horizontal="center"/>
    </xf>
    <xf numFmtId="0" fontId="13" fillId="0" borderId="0" xfId="4" applyFont="1" applyAlignment="1"/>
    <xf numFmtId="0" fontId="13" fillId="0" borderId="14" xfId="4" applyFont="1" applyBorder="1" applyAlignment="1"/>
    <xf numFmtId="0" fontId="14" fillId="0" borderId="19" xfId="4" applyFont="1" applyBorder="1" applyAlignment="1">
      <alignment horizontal="center"/>
    </xf>
    <xf numFmtId="1" fontId="15" fillId="0" borderId="14" xfId="4" applyNumberFormat="1" applyFont="1" applyBorder="1" applyAlignment="1">
      <alignment horizontal="center"/>
    </xf>
    <xf numFmtId="0" fontId="13" fillId="0" borderId="0" xfId="4" applyFont="1" applyAlignment="1">
      <alignment horizontal="left"/>
    </xf>
    <xf numFmtId="1" fontId="9" fillId="0" borderId="0" xfId="4" applyNumberFormat="1" applyAlignment="1"/>
    <xf numFmtId="0" fontId="8" fillId="0" borderId="28" xfId="4" applyFont="1" applyBorder="1" applyAlignment="1">
      <alignment horizontal="center"/>
    </xf>
    <xf numFmtId="0" fontId="8" fillId="0" borderId="29" xfId="4" applyFont="1" applyBorder="1" applyAlignment="1">
      <alignment horizontal="left"/>
    </xf>
    <xf numFmtId="1" fontId="8" fillId="0" borderId="29" xfId="4" applyNumberFormat="1" applyFont="1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7" fillId="0" borderId="14" xfId="2" applyBorder="1"/>
    <xf numFmtId="0" fontId="7" fillId="0" borderId="32" xfId="2" applyBorder="1"/>
    <xf numFmtId="0" fontId="7" fillId="0" borderId="34" xfId="2" applyBorder="1"/>
    <xf numFmtId="0" fontId="0" fillId="0" borderId="35" xfId="0" applyBorder="1"/>
    <xf numFmtId="0" fontId="8" fillId="0" borderId="18" xfId="4" applyFont="1" applyBorder="1" applyAlignment="1">
      <alignment horizontal="center"/>
    </xf>
    <xf numFmtId="0" fontId="11" fillId="0" borderId="18" xfId="4" applyFont="1" applyBorder="1" applyAlignment="1">
      <alignment horizontal="left"/>
    </xf>
    <xf numFmtId="1" fontId="11" fillId="0" borderId="18" xfId="4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5" borderId="0" xfId="2" applyFill="1"/>
    <xf numFmtId="165" fontId="4" fillId="0" borderId="41" xfId="0" applyNumberFormat="1" applyFont="1" applyBorder="1" applyAlignment="1">
      <alignment horizontal="center" vertical="center"/>
    </xf>
    <xf numFmtId="165" fontId="0" fillId="0" borderId="3" xfId="0" applyNumberFormat="1" applyFont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165" fontId="4" fillId="0" borderId="42" xfId="0" applyNumberFormat="1" applyFont="1" applyBorder="1" applyAlignment="1">
      <alignment horizontal="center" vertical="center"/>
    </xf>
    <xf numFmtId="165" fontId="0" fillId="0" borderId="40" xfId="0" applyNumberFormat="1" applyFont="1" applyBorder="1" applyAlignment="1">
      <alignment horizontal="center" vertical="center"/>
    </xf>
    <xf numFmtId="165" fontId="0" fillId="0" borderId="39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7" xfId="0" applyNumberFormat="1" applyFont="1" applyBorder="1" applyAlignment="1">
      <alignment horizontal="right" vertical="center"/>
    </xf>
    <xf numFmtId="165" fontId="0" fillId="0" borderId="3" xfId="0" applyNumberFormat="1" applyFont="1" applyBorder="1" applyAlignment="1">
      <alignment horizontal="right" vertical="center"/>
    </xf>
    <xf numFmtId="165" fontId="0" fillId="0" borderId="40" xfId="0" applyNumberFormat="1" applyFont="1" applyBorder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" fillId="6" borderId="10" xfId="0" applyFont="1" applyFill="1" applyBorder="1" applyAlignment="1">
      <alignment horizontal="right" vertical="center"/>
    </xf>
    <xf numFmtId="0" fontId="1" fillId="6" borderId="10" xfId="0" applyFont="1" applyFill="1" applyBorder="1" applyAlignment="1">
      <alignment horizontal="center" vertical="center"/>
    </xf>
    <xf numFmtId="165" fontId="0" fillId="6" borderId="47" xfId="0" applyNumberForma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 vertical="center"/>
    </xf>
    <xf numFmtId="165" fontId="4" fillId="0" borderId="48" xfId="0" applyNumberFormat="1" applyFont="1" applyBorder="1" applyAlignment="1">
      <alignment horizontal="center" vertical="center"/>
    </xf>
    <xf numFmtId="165" fontId="4" fillId="0" borderId="49" xfId="0" applyNumberFormat="1" applyFont="1" applyBorder="1" applyAlignment="1">
      <alignment horizontal="center" vertical="center"/>
    </xf>
    <xf numFmtId="165" fontId="0" fillId="0" borderId="50" xfId="0" applyNumberFormat="1" applyFont="1" applyBorder="1" applyAlignment="1">
      <alignment horizontal="center" vertical="center"/>
    </xf>
    <xf numFmtId="165" fontId="0" fillId="0" borderId="50" xfId="0" applyNumberFormat="1" applyFont="1" applyBorder="1" applyAlignment="1">
      <alignment horizontal="right" vertical="center"/>
    </xf>
    <xf numFmtId="165" fontId="0" fillId="0" borderId="51" xfId="0" applyNumberFormat="1" applyFont="1" applyBorder="1" applyAlignment="1">
      <alignment horizontal="center" vertical="center"/>
    </xf>
    <xf numFmtId="165" fontId="2" fillId="5" borderId="0" xfId="0" applyNumberFormat="1" applyFont="1" applyFill="1" applyBorder="1" applyAlignment="1">
      <alignment vertical="center"/>
    </xf>
    <xf numFmtId="165" fontId="19" fillId="0" borderId="7" xfId="0" applyNumberFormat="1" applyFont="1" applyBorder="1" applyAlignment="1">
      <alignment horizontal="left" vertical="center"/>
    </xf>
    <xf numFmtId="165" fontId="0" fillId="0" borderId="7" xfId="0" applyNumberFormat="1" applyFont="1" applyBorder="1" applyAlignment="1">
      <alignment horizontal="left" vertical="center"/>
    </xf>
    <xf numFmtId="0" fontId="0" fillId="0" borderId="52" xfId="0" applyBorder="1" applyAlignment="1">
      <alignment horizontal="center" vertical="center"/>
    </xf>
    <xf numFmtId="0" fontId="17" fillId="5" borderId="10" xfId="2" applyFont="1" applyFill="1" applyBorder="1"/>
    <xf numFmtId="0" fontId="7" fillId="5" borderId="10" xfId="2" applyFill="1" applyBorder="1"/>
    <xf numFmtId="0" fontId="7" fillId="0" borderId="17" xfId="2" applyBorder="1"/>
    <xf numFmtId="0" fontId="7" fillId="7" borderId="10" xfId="2" applyFill="1" applyBorder="1"/>
    <xf numFmtId="0" fontId="7" fillId="7" borderId="17" xfId="2" applyFill="1" applyBorder="1"/>
    <xf numFmtId="0" fontId="0" fillId="5" borderId="0" xfId="0" applyFill="1"/>
    <xf numFmtId="0" fontId="18" fillId="5" borderId="0" xfId="2" applyFont="1" applyFill="1"/>
    <xf numFmtId="0" fontId="5" fillId="7" borderId="10" xfId="0" applyFont="1" applyFill="1" applyBorder="1"/>
    <xf numFmtId="0" fontId="18" fillId="7" borderId="45" xfId="2" applyFont="1" applyFill="1" applyBorder="1"/>
    <xf numFmtId="0" fontId="7" fillId="7" borderId="8" xfId="2" applyFill="1" applyBorder="1"/>
    <xf numFmtId="0" fontId="17" fillId="7" borderId="46" xfId="2" applyFont="1" applyFill="1" applyBorder="1"/>
    <xf numFmtId="0" fontId="17" fillId="7" borderId="17" xfId="2" applyFont="1" applyFill="1" applyBorder="1"/>
    <xf numFmtId="170" fontId="0" fillId="0" borderId="51" xfId="0" applyNumberFormat="1" applyBorder="1" applyAlignment="1">
      <alignment horizontal="center" vertical="center"/>
    </xf>
    <xf numFmtId="0" fontId="21" fillId="0" borderId="0" xfId="4" applyFont="1" applyAlignment="1"/>
    <xf numFmtId="0" fontId="1" fillId="6" borderId="59" xfId="0" applyFont="1" applyFill="1" applyBorder="1" applyAlignment="1">
      <alignment horizontal="right" vertical="center"/>
    </xf>
    <xf numFmtId="0" fontId="1" fillId="6" borderId="59" xfId="0" applyFont="1" applyFill="1" applyBorder="1" applyAlignment="1">
      <alignment horizontal="center" vertical="center"/>
    </xf>
    <xf numFmtId="0" fontId="1" fillId="6" borderId="60" xfId="0" applyFont="1" applyFill="1" applyBorder="1" applyAlignment="1">
      <alignment horizontal="center" vertical="center"/>
    </xf>
    <xf numFmtId="165" fontId="0" fillId="0" borderId="48" xfId="0" applyNumberFormat="1" applyFont="1" applyBorder="1" applyAlignment="1">
      <alignment horizontal="center" vertical="center"/>
    </xf>
    <xf numFmtId="165" fontId="0" fillId="0" borderId="61" xfId="0" applyNumberFormat="1" applyFont="1" applyBorder="1" applyAlignment="1">
      <alignment horizontal="left" vertical="center"/>
    </xf>
    <xf numFmtId="165" fontId="4" fillId="0" borderId="61" xfId="0" applyNumberFormat="1" applyFont="1" applyBorder="1" applyAlignment="1">
      <alignment horizontal="center" vertical="center"/>
    </xf>
    <xf numFmtId="0" fontId="5" fillId="0" borderId="0" xfId="0" applyFont="1" applyFill="1"/>
    <xf numFmtId="0" fontId="17" fillId="8" borderId="20" xfId="2" applyFont="1" applyFill="1" applyBorder="1"/>
    <xf numFmtId="0" fontId="5" fillId="8" borderId="21" xfId="0" applyFont="1" applyFill="1" applyBorder="1"/>
    <xf numFmtId="0" fontId="5" fillId="8" borderId="31" xfId="0" applyFont="1" applyFill="1" applyBorder="1"/>
    <xf numFmtId="0" fontId="0" fillId="0" borderId="0" xfId="0" applyFill="1"/>
    <xf numFmtId="165" fontId="0" fillId="0" borderId="4" xfId="0" applyNumberFormat="1" applyFill="1" applyBorder="1"/>
    <xf numFmtId="165" fontId="0" fillId="0" borderId="5" xfId="0" applyNumberFormat="1" applyFill="1" applyBorder="1"/>
    <xf numFmtId="0" fontId="0" fillId="0" borderId="0" xfId="0" applyFont="1" applyFill="1"/>
    <xf numFmtId="165" fontId="0" fillId="0" borderId="26" xfId="0" applyNumberFormat="1" applyFont="1" applyFill="1" applyBorder="1"/>
    <xf numFmtId="9" fontId="0" fillId="0" borderId="26" xfId="0" applyNumberFormat="1" applyFont="1" applyFill="1" applyBorder="1"/>
    <xf numFmtId="165" fontId="0" fillId="0" borderId="0" xfId="0" applyNumberFormat="1" applyFill="1" applyBorder="1"/>
    <xf numFmtId="0" fontId="0" fillId="0" borderId="61" xfId="0" applyFont="1" applyFill="1" applyBorder="1" applyAlignment="1">
      <alignment vertical="center"/>
    </xf>
    <xf numFmtId="165" fontId="0" fillId="0" borderId="67" xfId="0" applyNumberFormat="1" applyFill="1" applyBorder="1"/>
    <xf numFmtId="2" fontId="0" fillId="0" borderId="24" xfId="0" applyNumberFormat="1" applyFont="1" applyFill="1" applyBorder="1"/>
    <xf numFmtId="0" fontId="0" fillId="0" borderId="31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4" xfId="0" applyFont="1" applyFill="1" applyBorder="1" applyAlignment="1">
      <alignment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165" fontId="0" fillId="9" borderId="64" xfId="0" applyNumberFormat="1" applyFont="1" applyFill="1" applyBorder="1"/>
    <xf numFmtId="165" fontId="5" fillId="9" borderId="61" xfId="0" applyNumberFormat="1" applyFont="1" applyFill="1" applyBorder="1" applyAlignment="1">
      <alignment vertical="center"/>
    </xf>
    <xf numFmtId="165" fontId="0" fillId="9" borderId="26" xfId="0" applyNumberFormat="1" applyFont="1" applyFill="1" applyBorder="1" applyAlignment="1">
      <alignment vertical="center"/>
    </xf>
    <xf numFmtId="165" fontId="0" fillId="9" borderId="4" xfId="0" applyNumberFormat="1" applyFill="1" applyBorder="1" applyAlignment="1">
      <alignment vertical="center"/>
    </xf>
    <xf numFmtId="165" fontId="0" fillId="9" borderId="5" xfId="0" applyNumberFormat="1" applyFill="1" applyBorder="1" applyAlignment="1">
      <alignment vertical="center"/>
    </xf>
    <xf numFmtId="165" fontId="0" fillId="9" borderId="67" xfId="0" applyNumberFormat="1" applyFill="1" applyBorder="1" applyAlignment="1">
      <alignment vertical="center"/>
    </xf>
    <xf numFmtId="165" fontId="5" fillId="9" borderId="32" xfId="0" applyNumberFormat="1" applyFont="1" applyFill="1" applyBorder="1" applyAlignment="1">
      <alignment wrapText="1"/>
    </xf>
    <xf numFmtId="165" fontId="0" fillId="9" borderId="14" xfId="0" applyNumberFormat="1" applyFont="1" applyFill="1" applyBorder="1"/>
    <xf numFmtId="171" fontId="0" fillId="9" borderId="14" xfId="8" applyNumberFormat="1" applyFont="1" applyFill="1" applyBorder="1" applyAlignment="1">
      <alignment vertical="center"/>
    </xf>
    <xf numFmtId="165" fontId="0" fillId="0" borderId="61" xfId="0" applyNumberFormat="1" applyFont="1" applyFill="1" applyBorder="1" applyAlignment="1"/>
    <xf numFmtId="165" fontId="5" fillId="9" borderId="68" xfId="0" applyNumberFormat="1" applyFont="1" applyFill="1" applyBorder="1" applyAlignment="1"/>
    <xf numFmtId="0" fontId="5" fillId="9" borderId="32" xfId="0" applyFont="1" applyFill="1" applyBorder="1" applyAlignment="1">
      <alignment vertical="center" wrapText="1"/>
    </xf>
    <xf numFmtId="0" fontId="5" fillId="9" borderId="69" xfId="0" applyFont="1" applyFill="1" applyBorder="1" applyAlignment="1">
      <alignment vertical="center" wrapText="1"/>
    </xf>
    <xf numFmtId="49" fontId="0" fillId="0" borderId="61" xfId="0" applyNumberFormat="1" applyFont="1" applyFill="1" applyBorder="1" applyAlignment="1"/>
    <xf numFmtId="49" fontId="0" fillId="0" borderId="62" xfId="0" applyNumberFormat="1" applyFont="1" applyFill="1" applyBorder="1" applyAlignment="1"/>
    <xf numFmtId="49" fontId="0" fillId="0" borderId="0" xfId="0" applyNumberFormat="1" applyFont="1" applyFill="1" applyAlignment="1"/>
    <xf numFmtId="0" fontId="0" fillId="0" borderId="0" xfId="0" applyFont="1" applyFill="1" applyAlignment="1"/>
    <xf numFmtId="0" fontId="0" fillId="0" borderId="30" xfId="0" applyFont="1" applyFill="1" applyBorder="1" applyAlignment="1">
      <alignment horizontal="center"/>
    </xf>
    <xf numFmtId="0" fontId="10" fillId="0" borderId="14" xfId="4" applyFont="1" applyBorder="1" applyAlignment="1">
      <alignment horizontal="right"/>
    </xf>
    <xf numFmtId="1" fontId="10" fillId="0" borderId="14" xfId="4" applyNumberFormat="1" applyFont="1" applyBorder="1" applyAlignment="1">
      <alignment horizontal="right"/>
    </xf>
    <xf numFmtId="1" fontId="10" fillId="0" borderId="19" xfId="4" applyNumberFormat="1" applyFont="1" applyBorder="1" applyAlignment="1">
      <alignment horizontal="right"/>
    </xf>
    <xf numFmtId="1" fontId="8" fillId="0" borderId="14" xfId="4" applyNumberFormat="1" applyFont="1" applyBorder="1" applyAlignment="1">
      <alignment horizontal="right"/>
    </xf>
    <xf numFmtId="1" fontId="11" fillId="0" borderId="18" xfId="4" applyNumberFormat="1" applyFont="1" applyBorder="1" applyAlignment="1">
      <alignment horizontal="right"/>
    </xf>
    <xf numFmtId="1" fontId="8" fillId="0" borderId="27" xfId="4" applyNumberFormat="1" applyFont="1" applyBorder="1" applyAlignment="1">
      <alignment horizontal="right"/>
    </xf>
    <xf numFmtId="1" fontId="8" fillId="0" borderId="19" xfId="4" applyNumberFormat="1" applyFont="1" applyBorder="1" applyAlignment="1">
      <alignment horizontal="right"/>
    </xf>
    <xf numFmtId="169" fontId="12" fillId="0" borderId="14" xfId="6" applyNumberFormat="1" applyFont="1" applyBorder="1" applyAlignment="1">
      <alignment horizontal="right"/>
    </xf>
    <xf numFmtId="169" fontId="12" fillId="3" borderId="14" xfId="6" applyNumberFormat="1" applyFont="1" applyFill="1" applyBorder="1" applyAlignment="1">
      <alignment horizontal="right"/>
    </xf>
    <xf numFmtId="1" fontId="11" fillId="3" borderId="14" xfId="4" applyNumberFormat="1" applyFont="1" applyFill="1" applyBorder="1" applyAlignment="1">
      <alignment horizontal="right"/>
    </xf>
    <xf numFmtId="1" fontId="10" fillId="0" borderId="27" xfId="4" applyNumberFormat="1" applyFont="1" applyBorder="1" applyAlignment="1">
      <alignment horizontal="right"/>
    </xf>
    <xf numFmtId="1" fontId="10" fillId="3" borderId="14" xfId="4" applyNumberFormat="1" applyFont="1" applyFill="1" applyBorder="1" applyAlignment="1">
      <alignment horizontal="right"/>
    </xf>
    <xf numFmtId="1" fontId="15" fillId="0" borderId="14" xfId="4" applyNumberFormat="1" applyFont="1" applyBorder="1" applyAlignment="1">
      <alignment horizontal="right"/>
    </xf>
    <xf numFmtId="1" fontId="10" fillId="0" borderId="14" xfId="6" applyNumberFormat="1" applyFont="1" applyBorder="1" applyAlignment="1">
      <alignment horizontal="center"/>
    </xf>
    <xf numFmtId="0" fontId="9" fillId="0" borderId="0" xfId="4" applyFont="1" applyAlignment="1"/>
    <xf numFmtId="1" fontId="7" fillId="0" borderId="14" xfId="2" applyNumberFormat="1" applyBorder="1"/>
    <xf numFmtId="167" fontId="7" fillId="7" borderId="17" xfId="2" applyNumberFormat="1" applyFill="1" applyBorder="1"/>
    <xf numFmtId="171" fontId="0" fillId="0" borderId="3" xfId="0" applyNumberFormat="1" applyFont="1" applyBorder="1" applyAlignment="1">
      <alignment horizontal="center" vertical="center"/>
    </xf>
    <xf numFmtId="165" fontId="0" fillId="0" borderId="70" xfId="0" applyNumberFormat="1" applyFont="1" applyBorder="1" applyAlignment="1">
      <alignment horizontal="center" vertical="center"/>
    </xf>
    <xf numFmtId="168" fontId="8" fillId="0" borderId="27" xfId="1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165" fontId="0" fillId="0" borderId="57" xfId="0" applyNumberFormat="1" applyFont="1" applyBorder="1" applyAlignment="1">
      <alignment horizontal="center" vertical="center"/>
    </xf>
    <xf numFmtId="0" fontId="8" fillId="0" borderId="0" xfId="3" applyFont="1" applyAlignment="1">
      <alignment horizontal="center"/>
    </xf>
    <xf numFmtId="1" fontId="8" fillId="0" borderId="0" xfId="4" applyNumberFormat="1" applyFont="1" applyAlignment="1">
      <alignment horizontal="center"/>
    </xf>
    <xf numFmtId="0" fontId="8" fillId="0" borderId="0" xfId="4" applyFont="1" applyAlignment="1">
      <alignment horizontal="left"/>
    </xf>
    <xf numFmtId="165" fontId="0" fillId="0" borderId="57" xfId="0" applyNumberFormat="1" applyFont="1" applyBorder="1" applyAlignment="1">
      <alignment horizontal="center" vertical="center"/>
    </xf>
    <xf numFmtId="0" fontId="8" fillId="0" borderId="0" xfId="3" applyFont="1" applyAlignment="1">
      <alignment horizontal="center"/>
    </xf>
    <xf numFmtId="1" fontId="8" fillId="0" borderId="0" xfId="4" applyNumberFormat="1" applyFont="1" applyAlignment="1">
      <alignment horizontal="center"/>
    </xf>
    <xf numFmtId="0" fontId="8" fillId="0" borderId="0" xfId="4" applyFont="1" applyAlignment="1">
      <alignment horizontal="left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3" applyFont="1" applyAlignment="1">
      <alignment horizontal="center"/>
    </xf>
    <xf numFmtId="1" fontId="8" fillId="0" borderId="0" xfId="4" applyNumberFormat="1" applyFont="1" applyAlignment="1">
      <alignment horizontal="center"/>
    </xf>
    <xf numFmtId="0" fontId="8" fillId="0" borderId="0" xfId="4" applyFont="1" applyAlignment="1">
      <alignment horizontal="left"/>
    </xf>
    <xf numFmtId="0" fontId="1" fillId="0" borderId="67" xfId="0" applyFont="1" applyFill="1" applyBorder="1" applyAlignment="1">
      <alignment horizontal="center" vertical="center"/>
    </xf>
    <xf numFmtId="0" fontId="10" fillId="0" borderId="19" xfId="4" applyFont="1" applyBorder="1" applyAlignment="1">
      <alignment horizontal="right"/>
    </xf>
    <xf numFmtId="9" fontId="8" fillId="0" borderId="0" xfId="4" applyNumberFormat="1" applyFont="1" applyAlignment="1"/>
    <xf numFmtId="0" fontId="1" fillId="2" borderId="55" xfId="0" applyFont="1" applyFill="1" applyBorder="1" applyAlignment="1">
      <alignment vertical="center"/>
    </xf>
    <xf numFmtId="0" fontId="1" fillId="2" borderId="56" xfId="0" applyFont="1" applyFill="1" applyBorder="1" applyAlignment="1">
      <alignment vertical="center"/>
    </xf>
    <xf numFmtId="167" fontId="8" fillId="0" borderId="27" xfId="1" applyNumberFormat="1" applyFont="1" applyBorder="1" applyAlignment="1">
      <alignment horizontal="center"/>
    </xf>
    <xf numFmtId="167" fontId="8" fillId="0" borderId="27" xfId="4" applyNumberFormat="1" applyFont="1" applyBorder="1" applyAlignment="1">
      <alignment horizontal="center"/>
    </xf>
    <xf numFmtId="0" fontId="8" fillId="0" borderId="26" xfId="4" applyFont="1" applyBorder="1" applyAlignment="1">
      <alignment horizontal="center" vertical="center"/>
    </xf>
    <xf numFmtId="1" fontId="10" fillId="0" borderId="27" xfId="4" applyNumberFormat="1" applyFont="1" applyBorder="1" applyAlignment="1">
      <alignment horizontal="center" vertical="center"/>
    </xf>
    <xf numFmtId="1" fontId="10" fillId="0" borderId="19" xfId="4" applyNumberFormat="1" applyFont="1" applyBorder="1" applyAlignment="1">
      <alignment horizontal="center" vertical="center"/>
    </xf>
    <xf numFmtId="1" fontId="10" fillId="0" borderId="14" xfId="4" applyNumberFormat="1" applyFont="1" applyBorder="1" applyAlignment="1">
      <alignment horizontal="center" vertical="center"/>
    </xf>
    <xf numFmtId="1" fontId="10" fillId="0" borderId="14" xfId="6" applyNumberFormat="1" applyFont="1" applyBorder="1" applyAlignment="1">
      <alignment horizontal="center" vertical="center"/>
    </xf>
    <xf numFmtId="1" fontId="8" fillId="0" borderId="14" xfId="4" applyNumberFormat="1" applyFont="1" applyBorder="1" applyAlignment="1">
      <alignment horizontal="center" vertical="center"/>
    </xf>
    <xf numFmtId="1" fontId="8" fillId="0" borderId="27" xfId="4" applyNumberFormat="1" applyFont="1" applyBorder="1" applyAlignment="1">
      <alignment horizontal="center" vertical="center"/>
    </xf>
    <xf numFmtId="1" fontId="8" fillId="0" borderId="19" xfId="4" applyNumberFormat="1" applyFont="1" applyBorder="1" applyAlignment="1">
      <alignment horizontal="center" vertical="center"/>
    </xf>
    <xf numFmtId="1" fontId="8" fillId="0" borderId="29" xfId="4" applyNumberFormat="1" applyFont="1" applyBorder="1" applyAlignment="1">
      <alignment horizontal="center" vertical="center"/>
    </xf>
    <xf numFmtId="0" fontId="8" fillId="0" borderId="0" xfId="3" applyFont="1" applyAlignment="1">
      <alignment horizontal="center" vertical="center"/>
    </xf>
    <xf numFmtId="1" fontId="8" fillId="0" borderId="0" xfId="4" applyNumberFormat="1" applyFont="1" applyAlignment="1">
      <alignment horizontal="center" vertical="center"/>
    </xf>
    <xf numFmtId="167" fontId="8" fillId="0" borderId="27" xfId="1" applyNumberFormat="1" applyFont="1" applyBorder="1" applyAlignment="1">
      <alignment horizontal="center" vertical="center"/>
    </xf>
    <xf numFmtId="0" fontId="8" fillId="0" borderId="0" xfId="4" applyFont="1" applyAlignment="1">
      <alignment horizontal="center" vertical="center"/>
    </xf>
    <xf numFmtId="0" fontId="10" fillId="0" borderId="14" xfId="4" applyFont="1" applyBorder="1" applyAlignment="1">
      <alignment horizontal="center" vertical="center"/>
    </xf>
    <xf numFmtId="0" fontId="10" fillId="0" borderId="19" xfId="4" applyFont="1" applyBorder="1" applyAlignment="1">
      <alignment horizontal="center" vertical="center"/>
    </xf>
    <xf numFmtId="1" fontId="11" fillId="0" borderId="18" xfId="4" applyNumberFormat="1" applyFont="1" applyBorder="1" applyAlignment="1">
      <alignment horizontal="center" vertical="center"/>
    </xf>
    <xf numFmtId="169" fontId="12" fillId="0" borderId="14" xfId="6" applyNumberFormat="1" applyFont="1" applyBorder="1" applyAlignment="1">
      <alignment horizontal="center" vertical="center"/>
    </xf>
    <xf numFmtId="169" fontId="12" fillId="3" borderId="14" xfId="6" applyNumberFormat="1" applyFont="1" applyFill="1" applyBorder="1" applyAlignment="1">
      <alignment horizontal="center" vertical="center"/>
    </xf>
    <xf numFmtId="0" fontId="13" fillId="0" borderId="14" xfId="4" applyFont="1" applyBorder="1" applyAlignment="1">
      <alignment horizontal="center" vertical="center"/>
    </xf>
    <xf numFmtId="1" fontId="15" fillId="0" borderId="14" xfId="4" applyNumberFormat="1" applyFont="1" applyBorder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9" fillId="0" borderId="0" xfId="4" applyFont="1" applyAlignment="1">
      <alignment horizontal="center" vertical="center"/>
    </xf>
    <xf numFmtId="0" fontId="21" fillId="0" borderId="0" xfId="4" applyFont="1" applyAlignment="1">
      <alignment horizontal="center" vertical="center"/>
    </xf>
    <xf numFmtId="167" fontId="8" fillId="0" borderId="27" xfId="4" applyNumberFormat="1" applyFont="1" applyBorder="1" applyAlignment="1">
      <alignment horizontal="center" vertical="center"/>
    </xf>
    <xf numFmtId="168" fontId="0" fillId="0" borderId="25" xfId="1" applyNumberFormat="1" applyFont="1" applyBorder="1" applyAlignment="1">
      <alignment horizontal="center" vertical="center"/>
    </xf>
    <xf numFmtId="168" fontId="0" fillId="0" borderId="51" xfId="1" applyNumberFormat="1" applyFont="1" applyBorder="1" applyAlignment="1">
      <alignment horizontal="center" vertical="center"/>
    </xf>
    <xf numFmtId="168" fontId="0" fillId="0" borderId="50" xfId="1" applyNumberFormat="1" applyFont="1" applyBorder="1" applyAlignment="1">
      <alignment horizontal="right" vertical="center"/>
    </xf>
    <xf numFmtId="165" fontId="0" fillId="0" borderId="72" xfId="0" applyNumberFormat="1" applyFont="1" applyBorder="1" applyAlignment="1">
      <alignment horizontal="center" vertical="center"/>
    </xf>
    <xf numFmtId="165" fontId="0" fillId="0" borderId="71" xfId="0" applyNumberFormat="1" applyFont="1" applyBorder="1" applyAlignment="1">
      <alignment vertical="center"/>
    </xf>
    <xf numFmtId="165" fontId="0" fillId="0" borderId="72" xfId="0" applyNumberFormat="1" applyFont="1" applyBorder="1" applyAlignment="1">
      <alignment vertical="center"/>
    </xf>
    <xf numFmtId="165" fontId="5" fillId="0" borderId="57" xfId="0" applyNumberFormat="1" applyFont="1" applyBorder="1" applyAlignment="1">
      <alignment horizontal="center" vertical="center"/>
    </xf>
    <xf numFmtId="165" fontId="0" fillId="6" borderId="73" xfId="0" applyNumberFormat="1" applyFill="1" applyBorder="1" applyAlignment="1">
      <alignment horizontal="center" vertical="center"/>
    </xf>
    <xf numFmtId="165" fontId="23" fillId="0" borderId="61" xfId="0" applyNumberFormat="1" applyFont="1" applyBorder="1" applyAlignment="1">
      <alignment horizontal="center" vertical="center"/>
    </xf>
    <xf numFmtId="0" fontId="0" fillId="5" borderId="61" xfId="0" applyFill="1" applyBorder="1" applyAlignment="1">
      <alignment horizontal="center" vertical="center"/>
    </xf>
    <xf numFmtId="0" fontId="1" fillId="6" borderId="74" xfId="0" applyFont="1" applyFill="1" applyBorder="1" applyAlignment="1">
      <alignment horizontal="right" vertical="center"/>
    </xf>
    <xf numFmtId="165" fontId="3" fillId="6" borderId="7" xfId="0" applyNumberFormat="1" applyFont="1" applyFill="1" applyBorder="1" applyAlignment="1">
      <alignment horizontal="center" vertical="center"/>
    </xf>
    <xf numFmtId="165" fontId="3" fillId="6" borderId="58" xfId="0" applyNumberFormat="1" applyFont="1" applyFill="1" applyBorder="1" applyAlignment="1">
      <alignment horizontal="center" vertical="center"/>
    </xf>
    <xf numFmtId="165" fontId="19" fillId="0" borderId="41" xfId="0" applyNumberFormat="1" applyFont="1" applyBorder="1" applyAlignment="1">
      <alignment horizontal="left" vertical="center"/>
    </xf>
    <xf numFmtId="165" fontId="0" fillId="0" borderId="75" xfId="0" applyNumberFormat="1" applyFont="1" applyBorder="1" applyAlignment="1">
      <alignment horizontal="center" vertical="center"/>
    </xf>
    <xf numFmtId="165" fontId="5" fillId="0" borderId="12" xfId="0" applyNumberFormat="1" applyFont="1" applyBorder="1" applyAlignment="1">
      <alignment horizontal="center" vertical="center"/>
    </xf>
    <xf numFmtId="165" fontId="5" fillId="0" borderId="76" xfId="0" applyNumberFormat="1" applyFont="1" applyBorder="1" applyAlignment="1">
      <alignment horizontal="right" vertical="center"/>
    </xf>
    <xf numFmtId="165" fontId="5" fillId="0" borderId="77" xfId="0" applyNumberFormat="1" applyFont="1" applyBorder="1" applyAlignment="1">
      <alignment horizontal="center" vertical="center"/>
    </xf>
    <xf numFmtId="0" fontId="1" fillId="6" borderId="43" xfId="0" applyFont="1" applyFill="1" applyBorder="1" applyAlignment="1">
      <alignment horizontal="right" vertical="center"/>
    </xf>
    <xf numFmtId="0" fontId="1" fillId="6" borderId="78" xfId="0" applyFont="1" applyFill="1" applyBorder="1" applyAlignment="1">
      <alignment horizontal="right" vertical="center"/>
    </xf>
    <xf numFmtId="0" fontId="1" fillId="6" borderId="79" xfId="0" applyFont="1" applyFill="1" applyBorder="1" applyAlignment="1">
      <alignment horizontal="center" vertical="center"/>
    </xf>
    <xf numFmtId="0" fontId="1" fillId="6" borderId="79" xfId="0" applyFont="1" applyFill="1" applyBorder="1" applyAlignment="1">
      <alignment horizontal="right" vertical="center"/>
    </xf>
    <xf numFmtId="0" fontId="1" fillId="6" borderId="80" xfId="0" applyFont="1" applyFill="1" applyBorder="1" applyAlignment="1">
      <alignment horizontal="center" vertical="center"/>
    </xf>
    <xf numFmtId="9" fontId="0" fillId="0" borderId="26" xfId="9" applyFont="1" applyFill="1" applyBorder="1"/>
    <xf numFmtId="171" fontId="0" fillId="0" borderId="26" xfId="9" applyNumberFormat="1" applyFont="1" applyFill="1" applyBorder="1"/>
    <xf numFmtId="165" fontId="5" fillId="0" borderId="61" xfId="0" applyNumberFormat="1" applyFont="1" applyFill="1" applyBorder="1" applyAlignment="1"/>
    <xf numFmtId="168" fontId="5" fillId="0" borderId="26" xfId="1" applyNumberFormat="1" applyFont="1" applyFill="1" applyBorder="1"/>
    <xf numFmtId="168" fontId="5" fillId="9" borderId="18" xfId="1" applyNumberFormat="1" applyFont="1" applyFill="1" applyBorder="1" applyAlignment="1">
      <alignment vertical="center"/>
    </xf>
    <xf numFmtId="165" fontId="0" fillId="0" borderId="16" xfId="0" applyNumberFormat="1" applyFont="1" applyFill="1" applyBorder="1"/>
    <xf numFmtId="166" fontId="0" fillId="0" borderId="21" xfId="0" applyNumberFormat="1" applyFont="1" applyFill="1" applyBorder="1"/>
    <xf numFmtId="9" fontId="0" fillId="0" borderId="16" xfId="9" applyFont="1" applyFill="1" applyBorder="1"/>
    <xf numFmtId="6" fontId="0" fillId="0" borderId="16" xfId="0" applyNumberFormat="1" applyFont="1" applyFill="1" applyBorder="1"/>
    <xf numFmtId="166" fontId="0" fillId="0" borderId="81" xfId="0" applyNumberFormat="1" applyFont="1" applyFill="1" applyBorder="1"/>
    <xf numFmtId="0" fontId="0" fillId="0" borderId="16" xfId="0" applyFill="1" applyBorder="1"/>
    <xf numFmtId="165" fontId="0" fillId="0" borderId="16" xfId="0" applyNumberFormat="1" applyFill="1" applyBorder="1"/>
    <xf numFmtId="0" fontId="0" fillId="0" borderId="63" xfId="0" applyFill="1" applyBorder="1"/>
    <xf numFmtId="165" fontId="0" fillId="0" borderId="0" xfId="0" applyNumberFormat="1" applyFont="1" applyFill="1"/>
    <xf numFmtId="165" fontId="0" fillId="0" borderId="0" xfId="0" applyNumberFormat="1" applyFill="1"/>
    <xf numFmtId="165" fontId="5" fillId="0" borderId="13" xfId="0" applyNumberFormat="1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right" vertical="center"/>
    </xf>
    <xf numFmtId="165" fontId="5" fillId="0" borderId="0" xfId="0" applyNumberFormat="1" applyFont="1" applyBorder="1" applyAlignment="1">
      <alignment horizontal="center" vertical="center"/>
    </xf>
    <xf numFmtId="1" fontId="0" fillId="0" borderId="0" xfId="0" applyNumberFormat="1" applyFont="1" applyAlignment="1">
      <alignment horizontal="right" vertical="center"/>
    </xf>
    <xf numFmtId="0" fontId="1" fillId="2" borderId="11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165" fontId="24" fillId="5" borderId="13" xfId="0" applyNumberFormat="1" applyFont="1" applyFill="1" applyBorder="1" applyAlignment="1">
      <alignment horizontal="center" vertical="center"/>
    </xf>
    <xf numFmtId="165" fontId="1" fillId="2" borderId="11" xfId="0" applyNumberFormat="1" applyFont="1" applyFill="1" applyBorder="1" applyAlignment="1">
      <alignment vertical="center"/>
    </xf>
    <xf numFmtId="49" fontId="5" fillId="0" borderId="61" xfId="0" applyNumberFormat="1" applyFont="1" applyFill="1" applyBorder="1" applyAlignment="1"/>
    <xf numFmtId="9" fontId="5" fillId="0" borderId="16" xfId="9" applyFont="1" applyFill="1" applyBorder="1"/>
    <xf numFmtId="16" fontId="0" fillId="0" borderId="0" xfId="0" quotePrefix="1" applyNumberFormat="1" applyAlignment="1">
      <alignment horizontal="center" vertical="center"/>
    </xf>
    <xf numFmtId="0" fontId="8" fillId="0" borderId="0" xfId="3" applyFont="1" applyAlignment="1">
      <alignment horizontal="center"/>
    </xf>
    <xf numFmtId="1" fontId="8" fillId="0" borderId="0" xfId="4" applyNumberFormat="1" applyFont="1" applyAlignment="1">
      <alignment horizontal="center"/>
    </xf>
    <xf numFmtId="0" fontId="8" fillId="0" borderId="0" xfId="4" applyFont="1" applyAlignment="1">
      <alignment horizontal="left"/>
    </xf>
    <xf numFmtId="0" fontId="25" fillId="0" borderId="32" xfId="2" applyFont="1" applyBorder="1"/>
    <xf numFmtId="0" fontId="7" fillId="0" borderId="32" xfId="2" applyBorder="1" applyAlignment="1">
      <alignment horizontal="left" indent="1"/>
    </xf>
    <xf numFmtId="9" fontId="0" fillId="0" borderId="0" xfId="0" applyNumberFormat="1"/>
    <xf numFmtId="10" fontId="0" fillId="0" borderId="0" xfId="0" applyNumberFormat="1" applyFont="1" applyFill="1"/>
    <xf numFmtId="0" fontId="5" fillId="10" borderId="0" xfId="0" applyFont="1" applyFill="1"/>
    <xf numFmtId="1" fontId="0" fillId="0" borderId="0" xfId="0" applyNumberFormat="1" applyFont="1" applyFill="1"/>
    <xf numFmtId="49" fontId="5" fillId="0" borderId="0" xfId="0" applyNumberFormat="1" applyFont="1" applyFill="1" applyAlignment="1"/>
    <xf numFmtId="1" fontId="5" fillId="0" borderId="0" xfId="0" applyNumberFormat="1" applyFont="1" applyFill="1"/>
    <xf numFmtId="9" fontId="3" fillId="0" borderId="43" xfId="0" applyNumberFormat="1" applyFont="1" applyBorder="1" applyAlignment="1">
      <alignment horizontal="right" vertical="center"/>
    </xf>
    <xf numFmtId="0" fontId="0" fillId="0" borderId="14" xfId="0" applyBorder="1"/>
    <xf numFmtId="10" fontId="0" fillId="0" borderId="14" xfId="0" applyNumberFormat="1" applyBorder="1"/>
    <xf numFmtId="10" fontId="0" fillId="0" borderId="14" xfId="9" applyNumberFormat="1" applyFont="1" applyBorder="1"/>
    <xf numFmtId="10" fontId="5" fillId="0" borderId="14" xfId="9" applyNumberFormat="1" applyFont="1" applyBorder="1"/>
    <xf numFmtId="10" fontId="0" fillId="0" borderId="14" xfId="9" applyNumberFormat="1" applyFont="1" applyFill="1" applyBorder="1"/>
    <xf numFmtId="0" fontId="0" fillId="0" borderId="14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10" fontId="5" fillId="0" borderId="33" xfId="9" applyNumberFormat="1" applyFont="1" applyBorder="1"/>
    <xf numFmtId="10" fontId="0" fillId="0" borderId="33" xfId="9" applyNumberFormat="1" applyFont="1" applyFill="1" applyBorder="1"/>
    <xf numFmtId="0" fontId="0" fillId="0" borderId="33" xfId="0" applyFill="1" applyBorder="1"/>
    <xf numFmtId="0" fontId="5" fillId="0" borderId="14" xfId="0" applyFont="1" applyBorder="1"/>
    <xf numFmtId="0" fontId="5" fillId="0" borderId="33" xfId="0" applyFont="1" applyBorder="1"/>
    <xf numFmtId="0" fontId="5" fillId="0" borderId="32" xfId="0" applyFont="1" applyBorder="1"/>
    <xf numFmtId="10" fontId="5" fillId="0" borderId="14" xfId="0" applyNumberFormat="1" applyFont="1" applyBorder="1"/>
    <xf numFmtId="9" fontId="5" fillId="0" borderId="14" xfId="0" applyNumberFormat="1" applyFont="1" applyBorder="1"/>
    <xf numFmtId="9" fontId="0" fillId="0" borderId="0" xfId="9" applyFont="1" applyFill="1"/>
    <xf numFmtId="9" fontId="0" fillId="0" borderId="14" xfId="9" applyFont="1" applyFill="1" applyBorder="1"/>
    <xf numFmtId="169" fontId="0" fillId="0" borderId="14" xfId="0" applyNumberFormat="1" applyBorder="1"/>
    <xf numFmtId="9" fontId="0" fillId="0" borderId="14" xfId="0" applyNumberFormat="1" applyFill="1" applyBorder="1"/>
    <xf numFmtId="9" fontId="0" fillId="0" borderId="14" xfId="9" applyFont="1" applyBorder="1"/>
    <xf numFmtId="165" fontId="0" fillId="0" borderId="30" xfId="0" applyNumberFormat="1" applyFill="1" applyBorder="1"/>
    <xf numFmtId="0" fontId="0" fillId="0" borderId="32" xfId="0" applyFill="1" applyBorder="1"/>
    <xf numFmtId="169" fontId="0" fillId="0" borderId="33" xfId="0" applyNumberFormat="1" applyBorder="1"/>
    <xf numFmtId="9" fontId="0" fillId="0" borderId="33" xfId="9" applyFont="1" applyBorder="1"/>
    <xf numFmtId="9" fontId="0" fillId="0" borderId="35" xfId="0" applyNumberFormat="1" applyFill="1" applyBorder="1"/>
    <xf numFmtId="9" fontId="0" fillId="0" borderId="35" xfId="9" applyFont="1" applyFill="1" applyBorder="1"/>
    <xf numFmtId="9" fontId="0" fillId="0" borderId="35" xfId="9" applyFont="1" applyBorder="1"/>
    <xf numFmtId="9" fontId="0" fillId="0" borderId="25" xfId="9" applyFont="1" applyBorder="1"/>
    <xf numFmtId="1" fontId="0" fillId="0" borderId="14" xfId="9" applyNumberFormat="1" applyFont="1" applyFill="1" applyBorder="1"/>
    <xf numFmtId="1" fontId="0" fillId="0" borderId="35" xfId="9" applyNumberFormat="1" applyFont="1" applyFill="1" applyBorder="1"/>
    <xf numFmtId="164" fontId="0" fillId="0" borderId="30" xfId="0" applyNumberFormat="1" applyBorder="1"/>
    <xf numFmtId="9" fontId="0" fillId="0" borderId="31" xfId="0" applyNumberFormat="1" applyFill="1" applyBorder="1"/>
    <xf numFmtId="9" fontId="0" fillId="0" borderId="22" xfId="0" applyNumberFormat="1" applyFill="1" applyBorder="1"/>
    <xf numFmtId="0" fontId="0" fillId="0" borderId="34" xfId="0" applyBorder="1"/>
    <xf numFmtId="0" fontId="0" fillId="0" borderId="32" xfId="0" applyFill="1" applyBorder="1" applyAlignment="1">
      <alignment vertical="center" textRotation="90"/>
    </xf>
    <xf numFmtId="49" fontId="0" fillId="0" borderId="30" xfId="0" applyNumberFormat="1" applyFont="1" applyFill="1" applyBorder="1" applyAlignment="1"/>
    <xf numFmtId="9" fontId="0" fillId="0" borderId="22" xfId="9" applyFont="1" applyFill="1" applyBorder="1"/>
    <xf numFmtId="0" fontId="0" fillId="0" borderId="32" xfId="0" applyFont="1" applyFill="1" applyBorder="1" applyAlignment="1"/>
    <xf numFmtId="9" fontId="0" fillId="0" borderId="33" xfId="9" applyFont="1" applyFill="1" applyBorder="1"/>
    <xf numFmtId="0" fontId="0" fillId="0" borderId="33" xfId="0" applyFont="1" applyFill="1" applyBorder="1"/>
    <xf numFmtId="49" fontId="0" fillId="0" borderId="32" xfId="0" applyNumberFormat="1" applyFont="1" applyFill="1" applyBorder="1" applyAlignment="1"/>
    <xf numFmtId="9" fontId="0" fillId="0" borderId="33" xfId="0" applyNumberFormat="1" applyFont="1" applyFill="1" applyBorder="1"/>
    <xf numFmtId="49" fontId="0" fillId="0" borderId="34" xfId="0" applyNumberFormat="1" applyFont="1" applyFill="1" applyBorder="1" applyAlignment="1"/>
    <xf numFmtId="0" fontId="0" fillId="0" borderId="25" xfId="0" applyFont="1" applyFill="1" applyBorder="1"/>
    <xf numFmtId="0" fontId="0" fillId="11" borderId="32" xfId="0" applyFont="1" applyFill="1" applyBorder="1" applyAlignment="1"/>
    <xf numFmtId="0" fontId="0" fillId="11" borderId="33" xfId="0" applyFont="1" applyFill="1" applyBorder="1"/>
    <xf numFmtId="0" fontId="26" fillId="0" borderId="0" xfId="10"/>
    <xf numFmtId="10" fontId="0" fillId="0" borderId="0" xfId="9" applyNumberFormat="1" applyFont="1" applyFill="1"/>
    <xf numFmtId="49" fontId="0" fillId="0" borderId="14" xfId="0" applyNumberFormat="1" applyFont="1" applyFill="1" applyBorder="1" applyAlignment="1"/>
    <xf numFmtId="0" fontId="0" fillId="0" borderId="14" xfId="0" applyFont="1" applyFill="1" applyBorder="1"/>
    <xf numFmtId="9" fontId="0" fillId="0" borderId="14" xfId="0" applyNumberFormat="1" applyBorder="1"/>
    <xf numFmtId="10" fontId="0" fillId="0" borderId="0" xfId="0" applyNumberFormat="1" applyFill="1"/>
    <xf numFmtId="0" fontId="5" fillId="0" borderId="18" xfId="0" applyFont="1" applyBorder="1"/>
    <xf numFmtId="10" fontId="0" fillId="0" borderId="18" xfId="9" applyNumberFormat="1" applyFont="1" applyFill="1" applyBorder="1"/>
    <xf numFmtId="10" fontId="0" fillId="0" borderId="82" xfId="9" applyNumberFormat="1" applyFont="1" applyFill="1" applyBorder="1"/>
    <xf numFmtId="10" fontId="0" fillId="0" borderId="35" xfId="9" applyNumberFormat="1" applyFont="1" applyFill="1" applyBorder="1"/>
    <xf numFmtId="10" fontId="0" fillId="0" borderId="25" xfId="9" applyNumberFormat="1" applyFont="1" applyFill="1" applyBorder="1"/>
    <xf numFmtId="0" fontId="0" fillId="0" borderId="3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2" xfId="0" applyFill="1" applyBorder="1" applyAlignment="1">
      <alignment horizontal="center" vertical="center" textRotation="90"/>
    </xf>
    <xf numFmtId="0" fontId="0" fillId="0" borderId="34" xfId="0" applyFill="1" applyBorder="1" applyAlignment="1">
      <alignment horizontal="center" vertical="center" textRotation="90"/>
    </xf>
    <xf numFmtId="0" fontId="0" fillId="0" borderId="32" xfId="0" applyFill="1" applyBorder="1" applyAlignment="1">
      <alignment horizontal="center" vertical="center" textRotation="90" wrapText="1"/>
    </xf>
    <xf numFmtId="0" fontId="0" fillId="0" borderId="34" xfId="0" applyFill="1" applyBorder="1" applyAlignment="1">
      <alignment horizontal="center" vertical="center" textRotation="90" wrapText="1"/>
    </xf>
    <xf numFmtId="0" fontId="20" fillId="8" borderId="38" xfId="0" applyFont="1" applyFill="1" applyBorder="1" applyAlignment="1">
      <alignment horizontal="center" vertical="center"/>
    </xf>
    <xf numFmtId="0" fontId="22" fillId="8" borderId="65" xfId="0" applyFont="1" applyFill="1" applyBorder="1" applyAlignment="1"/>
    <xf numFmtId="0" fontId="3" fillId="8" borderId="38" xfId="0" applyFont="1" applyFill="1" applyBorder="1" applyAlignment="1">
      <alignment horizontal="center" vertical="center"/>
    </xf>
    <xf numFmtId="0" fontId="3" fillId="8" borderId="65" xfId="0" applyFont="1" applyFill="1" applyBorder="1" applyAlignment="1">
      <alignment horizontal="center" vertical="center"/>
    </xf>
    <xf numFmtId="165" fontId="20" fillId="8" borderId="38" xfId="0" applyNumberFormat="1" applyFont="1" applyFill="1" applyBorder="1" applyAlignment="1">
      <alignment horizontal="center" vertical="center"/>
    </xf>
    <xf numFmtId="165" fontId="20" fillId="8" borderId="65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6" borderId="4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4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165" fontId="3" fillId="6" borderId="9" xfId="0" applyNumberFormat="1" applyFont="1" applyFill="1" applyBorder="1" applyAlignment="1">
      <alignment horizontal="center" vertical="center"/>
    </xf>
    <xf numFmtId="165" fontId="3" fillId="6" borderId="54" xfId="0" applyNumberFormat="1" applyFont="1" applyFill="1" applyBorder="1" applyAlignment="1">
      <alignment horizontal="center" vertical="center"/>
    </xf>
    <xf numFmtId="165" fontId="5" fillId="6" borderId="9" xfId="0" applyNumberFormat="1" applyFont="1" applyFill="1" applyBorder="1" applyAlignment="1">
      <alignment horizontal="center" vertical="center"/>
    </xf>
    <xf numFmtId="165" fontId="5" fillId="6" borderId="54" xfId="0" applyNumberFormat="1" applyFont="1" applyFill="1" applyBorder="1" applyAlignment="1">
      <alignment horizontal="center" vertical="center"/>
    </xf>
    <xf numFmtId="0" fontId="1" fillId="6" borderId="53" xfId="0" applyFont="1" applyFill="1" applyBorder="1" applyAlignment="1">
      <alignment horizontal="right" vertical="center" wrapText="1"/>
    </xf>
    <xf numFmtId="0" fontId="1" fillId="6" borderId="44" xfId="0" applyFont="1" applyFill="1" applyBorder="1" applyAlignment="1">
      <alignment horizontal="right" vertical="center" wrapText="1"/>
    </xf>
    <xf numFmtId="0" fontId="1" fillId="2" borderId="55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/>
    </xf>
    <xf numFmtId="0" fontId="8" fillId="0" borderId="21" xfId="4" applyFont="1" applyBorder="1" applyAlignment="1">
      <alignment horizontal="center" vertical="center"/>
    </xf>
    <xf numFmtId="0" fontId="8" fillId="0" borderId="24" xfId="4" applyFont="1" applyBorder="1" applyAlignment="1">
      <alignment horizontal="center" vertical="center"/>
    </xf>
    <xf numFmtId="0" fontId="8" fillId="0" borderId="20" xfId="4" applyFont="1" applyBorder="1" applyAlignment="1">
      <alignment horizontal="center" vertical="center"/>
    </xf>
    <xf numFmtId="0" fontId="8" fillId="0" borderId="23" xfId="4" applyFont="1" applyBorder="1" applyAlignment="1">
      <alignment horizontal="center" vertical="center"/>
    </xf>
    <xf numFmtId="0" fontId="8" fillId="0" borderId="15" xfId="3" applyFont="1" applyBorder="1" applyAlignment="1">
      <alignment horizontal="center"/>
    </xf>
    <xf numFmtId="0" fontId="8" fillId="0" borderId="0" xfId="3" applyFont="1" applyAlignment="1">
      <alignment horizontal="center"/>
    </xf>
    <xf numFmtId="1" fontId="8" fillId="0" borderId="0" xfId="4" applyNumberFormat="1" applyFont="1" applyAlignment="1">
      <alignment horizontal="center"/>
    </xf>
    <xf numFmtId="0" fontId="8" fillId="0" borderId="0" xfId="4" applyFont="1" applyAlignment="1">
      <alignment horizontal="left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22" xfId="0" applyBorder="1" applyAlignment="1">
      <alignment horizontal="center"/>
    </xf>
    <xf numFmtId="0" fontId="5" fillId="0" borderId="32" xfId="0" applyFont="1" applyBorder="1" applyAlignment="1">
      <alignment horizontal="center" vertical="center" textRotation="90" wrapText="1"/>
    </xf>
    <xf numFmtId="0" fontId="5" fillId="0" borderId="69" xfId="0" applyFont="1" applyBorder="1" applyAlignment="1">
      <alignment horizontal="center" vertical="center" textRotation="90" wrapText="1"/>
    </xf>
    <xf numFmtId="0" fontId="5" fillId="0" borderId="34" xfId="0" applyFont="1" applyBorder="1" applyAlignment="1">
      <alignment horizontal="center" vertical="center" textRotation="90" wrapText="1"/>
    </xf>
    <xf numFmtId="0" fontId="3" fillId="8" borderId="66" xfId="0" applyFont="1" applyFill="1" applyBorder="1" applyAlignment="1">
      <alignment horizontal="center" vertical="center"/>
    </xf>
    <xf numFmtId="165" fontId="20" fillId="8" borderId="66" xfId="0" applyNumberFormat="1" applyFont="1" applyFill="1" applyBorder="1" applyAlignment="1">
      <alignment horizontal="center" vertical="center"/>
    </xf>
    <xf numFmtId="0" fontId="22" fillId="8" borderId="66" xfId="0" applyFont="1" applyFill="1" applyBorder="1" applyAlignment="1"/>
    <xf numFmtId="0" fontId="5" fillId="0" borderId="32" xfId="0" applyFont="1" applyBorder="1" applyAlignment="1">
      <alignment horizontal="center" vertical="center" textRotation="90"/>
    </xf>
  </cellXfs>
  <cellStyles count="11">
    <cellStyle name="Comma" xfId="8" builtinId="3"/>
    <cellStyle name="Comma 3" xfId="5" xr:uid="{D6DFB183-65CE-5240-84CE-496482DEEDDA}"/>
    <cellStyle name="Currency" xfId="1" builtinId="4"/>
    <cellStyle name="Hyperlink" xfId="10" builtinId="8"/>
    <cellStyle name="Normal" xfId="0" builtinId="0"/>
    <cellStyle name="Normal 2" xfId="2" xr:uid="{D276D61A-D844-4D49-BA54-653091475B32}"/>
    <cellStyle name="Normal 3" xfId="4" xr:uid="{D6886E99-66C0-3944-B6F3-B3A89AFF1205}"/>
    <cellStyle name="Normal 35 2 2" xfId="7" xr:uid="{AAB5D661-FF51-4142-9C07-73C62FFB5B42}"/>
    <cellStyle name="Normal_ACE SWTL 2" xfId="3" xr:uid="{BD2B411E-A0FD-DD4C-82D9-9E79C66E7FD7}"/>
    <cellStyle name="Per cent" xfId="9" builtinId="5"/>
    <cellStyle name="Percent 16" xfId="6" xr:uid="{28F5CA2B-833F-9944-B806-8561943E0378}"/>
  </cellStyles>
  <dxfs count="12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0</xdr:row>
      <xdr:rowOff>76200</xdr:rowOff>
    </xdr:from>
    <xdr:to>
      <xdr:col>1</xdr:col>
      <xdr:colOff>676275</xdr:colOff>
      <xdr:row>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B2AD4E-9CA3-FC41-A99A-F17BE6F36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7050" y="76200"/>
          <a:ext cx="504825" cy="47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171450</xdr:colOff>
      <xdr:row>0</xdr:row>
      <xdr:rowOff>76200</xdr:rowOff>
    </xdr:from>
    <xdr:to>
      <xdr:col>1</xdr:col>
      <xdr:colOff>676275</xdr:colOff>
      <xdr:row>2</xdr:row>
      <xdr:rowOff>142875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A61120EC-4C5B-BD43-8D15-C4DF5EC86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7050" y="76200"/>
          <a:ext cx="504825" cy="47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171450</xdr:colOff>
      <xdr:row>0</xdr:row>
      <xdr:rowOff>76200</xdr:rowOff>
    </xdr:from>
    <xdr:to>
      <xdr:col>1</xdr:col>
      <xdr:colOff>676275</xdr:colOff>
      <xdr:row>2</xdr:row>
      <xdr:rowOff>142875</xdr:rowOff>
    </xdr:to>
    <xdr:pic>
      <xdr:nvPicPr>
        <xdr:cNvPr id="7" name="Picture 2">
          <a:extLst>
            <a:ext uri="{FF2B5EF4-FFF2-40B4-BE49-F238E27FC236}">
              <a16:creationId xmlns:a16="http://schemas.microsoft.com/office/drawing/2014/main" id="{8452FEE5-A663-9546-9A2F-67A7C3B75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7050" y="76200"/>
          <a:ext cx="504825" cy="47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171450</xdr:colOff>
      <xdr:row>0</xdr:row>
      <xdr:rowOff>76200</xdr:rowOff>
    </xdr:from>
    <xdr:to>
      <xdr:col>1</xdr:col>
      <xdr:colOff>676275</xdr:colOff>
      <xdr:row>2</xdr:row>
      <xdr:rowOff>142875</xdr:rowOff>
    </xdr:to>
    <xdr:pic>
      <xdr:nvPicPr>
        <xdr:cNvPr id="9" name="Picture 2">
          <a:extLst>
            <a:ext uri="{FF2B5EF4-FFF2-40B4-BE49-F238E27FC236}">
              <a16:creationId xmlns:a16="http://schemas.microsoft.com/office/drawing/2014/main" id="{D654A18B-5805-F744-921B-73B0112A4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7050" y="76200"/>
          <a:ext cx="504825" cy="47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0</xdr:row>
      <xdr:rowOff>76200</xdr:rowOff>
    </xdr:from>
    <xdr:to>
      <xdr:col>1</xdr:col>
      <xdr:colOff>676275</xdr:colOff>
      <xdr:row>2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432F29-DAD9-5141-8A4F-DF29D9BC6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250" y="76200"/>
          <a:ext cx="504825" cy="47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171450</xdr:colOff>
      <xdr:row>0</xdr:row>
      <xdr:rowOff>76200</xdr:rowOff>
    </xdr:from>
    <xdr:to>
      <xdr:col>1</xdr:col>
      <xdr:colOff>676275</xdr:colOff>
      <xdr:row>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F88CB9-6676-9347-B79C-9F8894C78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250" y="76200"/>
          <a:ext cx="504825" cy="47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171450</xdr:colOff>
      <xdr:row>0</xdr:row>
      <xdr:rowOff>76200</xdr:rowOff>
    </xdr:from>
    <xdr:to>
      <xdr:col>1</xdr:col>
      <xdr:colOff>676275</xdr:colOff>
      <xdr:row>2</xdr:row>
      <xdr:rowOff>142875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78B1C400-432F-4149-A241-7435F429A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250" y="76200"/>
          <a:ext cx="504825" cy="47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171450</xdr:colOff>
      <xdr:row>0</xdr:row>
      <xdr:rowOff>76200</xdr:rowOff>
    </xdr:from>
    <xdr:to>
      <xdr:col>1</xdr:col>
      <xdr:colOff>676275</xdr:colOff>
      <xdr:row>2</xdr:row>
      <xdr:rowOff>142875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5F5A9753-779D-9D4F-AE23-546F97CFA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250" y="76200"/>
          <a:ext cx="504825" cy="47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2057400</xdr:colOff>
      <xdr:row>21</xdr:row>
      <xdr:rowOff>38100</xdr:rowOff>
    </xdr:from>
    <xdr:to>
      <xdr:col>1</xdr:col>
      <xdr:colOff>89255</xdr:colOff>
      <xdr:row>43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9EA7E8-F85D-5F49-87E2-C0D5DAA50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4051300"/>
          <a:ext cx="5766155" cy="4279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drcdatacenter3/Users/DG/AppData/Local/Microsoft/Windows/Temporary%20Internet%20Files/Content.Outlook/S2E86Z62/d/cwco/CWCOMAR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drcdatacenter3/Users/P.VINOTH/Downloads/PAPTL%20ACE_final_29.08.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 FEB 03"/>
      <sheetName val="CWCO FEB 03"/>
      <sheetName val="Chart1"/>
      <sheetName val="OH FEB 03"/>
      <sheetName val="MAT FEB 03"/>
      <sheetName val="P&amp;M AFA"/>
      <sheetName val="P&amp;M DEPN"/>
      <sheetName val="LAB FEB'03"/>
      <sheetName val="SC Cost FEB 03"/>
      <sheetName val="FEB03 LEDGER"/>
      <sheetName val="FEB03 LEDGER (2)"/>
      <sheetName val="JAN 03 LEDGER (2)"/>
      <sheetName val="CP distribution for CEMA"/>
      <sheetName val="Sheet1"/>
      <sheetName val="CP MAR 03"/>
      <sheetName val="CWCO MAR 03"/>
      <sheetName val="MAR03 LEDGER"/>
      <sheetName val="MAR03 LEDGER (2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E Supply &amp; Erection (3)"/>
      <sheetName val="ACE Supply &amp; Erection (2)"/>
      <sheetName val="ACE Supply  (2)"/>
      <sheetName val="Supply Component workings (2)"/>
      <sheetName val="ACE Erection (2)"/>
      <sheetName val="Erection Component working (2)"/>
      <sheetName val="ACE Supply &amp; Erection"/>
      <sheetName val="ACE Supply "/>
      <sheetName val="Supply Component workings"/>
      <sheetName val="ACE Erection"/>
      <sheetName val="Assumptions Sheet"/>
      <sheetName val="Erection Component working"/>
      <sheetName val="Direct Cost"/>
      <sheetName val="Indirect Cost (OH)"/>
      <sheetName val="Detail Survey"/>
      <sheetName val="Store"/>
      <sheetName val="Check Survey"/>
      <sheetName val="Revetment"/>
      <sheetName val="Excavation - Normal Soil"/>
      <sheetName val="Excavation - WET,PS,FS,BC "/>
      <sheetName val="Excavaion - SDR"/>
      <sheetName val="Excavaion - MR DMR"/>
      <sheetName val="Excavaion - MR DMR - Blas"/>
      <sheetName val="Excavation - HR BLAS"/>
      <sheetName val="Excavation - HR-CHE"/>
      <sheetName val="Concreting - M20 "/>
      <sheetName val="Concreting -    M10"/>
      <sheetName val="Reinforcement Steel  - Bending"/>
      <sheetName val="Reinforcement Steel  - Placemen"/>
      <sheetName val="Reinforcement Steel - Total"/>
      <sheetName val="Stub Setting"/>
      <sheetName val="Tower Erection"/>
      <sheetName val="Tack Welding"/>
      <sheetName val="Pipe Type Earthing"/>
      <sheetName val="Counterpoise Earthing"/>
      <sheetName val="Fixing of Tower Accessories"/>
      <sheetName val="Stringing - Machine"/>
      <sheetName val="Stringing - OPGW"/>
      <sheetName val="Stringing - Manual"/>
      <sheetName val="Stringing Tools Reqt"/>
      <sheetName val="Sheet3"/>
      <sheetName val="Soil Investigation"/>
      <sheetName val="Concrete Breakup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37">
          <cell r="G37">
            <v>8885685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56">
          <cell r="C56">
            <v>300000</v>
          </cell>
        </row>
      </sheetData>
      <sheetData sheetId="26"/>
      <sheetData sheetId="27"/>
      <sheetData sheetId="28"/>
      <sheetData sheetId="29"/>
      <sheetData sheetId="30"/>
      <sheetData sheetId="31">
        <row r="23">
          <cell r="C23">
            <v>2000000</v>
          </cell>
        </row>
      </sheetData>
      <sheetData sheetId="32"/>
      <sheetData sheetId="33"/>
      <sheetData sheetId="34"/>
      <sheetData sheetId="35"/>
      <sheetData sheetId="36">
        <row r="25">
          <cell r="G25">
            <v>1242200</v>
          </cell>
        </row>
      </sheetData>
      <sheetData sheetId="37"/>
      <sheetData sheetId="38">
        <row r="23">
          <cell r="G23">
            <v>1377200</v>
          </cell>
        </row>
      </sheetData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16E0-D8F8-C746-A263-60AD135DAFA2}">
  <sheetPr>
    <tabColor rgb="FF974806"/>
  </sheetPr>
  <dimension ref="C1:P77"/>
  <sheetViews>
    <sheetView topLeftCell="A24" workbookViewId="0">
      <pane xSplit="4" topLeftCell="E1" activePane="topRight" state="frozen"/>
      <selection pane="topRight" activeCell="E42" sqref="E42"/>
    </sheetView>
  </sheetViews>
  <sheetFormatPr baseColWidth="10" defaultColWidth="14.5" defaultRowHeight="15" customHeight="1" x14ac:dyDescent="0.2"/>
  <cols>
    <col min="1" max="3" width="8.6640625" customWidth="1"/>
    <col min="4" max="4" width="38.83203125" style="140" customWidth="1"/>
    <col min="5" max="5" width="19" style="112" customWidth="1"/>
    <col min="6" max="6" width="17.6640625" style="109" customWidth="1"/>
    <col min="7" max="9" width="19.5" style="109" customWidth="1"/>
    <col min="11" max="15" width="9.83203125" customWidth="1"/>
  </cols>
  <sheetData>
    <row r="1" spans="4:14" x14ac:dyDescent="0.2">
      <c r="D1" s="141" t="s">
        <v>0</v>
      </c>
      <c r="E1" s="119">
        <v>1</v>
      </c>
      <c r="F1" s="120">
        <f>E1+1</f>
        <v>2</v>
      </c>
      <c r="G1" s="120">
        <f t="shared" ref="G1:I1" si="0">F1+1</f>
        <v>3</v>
      </c>
      <c r="H1" s="120">
        <f t="shared" si="0"/>
        <v>4</v>
      </c>
      <c r="I1" s="120">
        <f t="shared" si="0"/>
        <v>5</v>
      </c>
    </row>
    <row r="2" spans="4:14" ht="17" thickBot="1" x14ac:dyDescent="0.25">
      <c r="D2" s="121"/>
      <c r="E2" s="122" t="s">
        <v>1</v>
      </c>
      <c r="F2" s="122" t="s">
        <v>2</v>
      </c>
      <c r="G2" s="122" t="s">
        <v>3</v>
      </c>
      <c r="H2" s="122" t="s">
        <v>4</v>
      </c>
      <c r="I2" s="122" t="s">
        <v>5</v>
      </c>
    </row>
    <row r="3" spans="4:14" ht="17" thickBot="1" x14ac:dyDescent="0.25">
      <c r="D3" s="116"/>
      <c r="E3" s="162"/>
      <c r="F3" s="162"/>
      <c r="G3" s="162"/>
      <c r="H3" s="162"/>
      <c r="I3" s="162"/>
    </row>
    <row r="4" spans="4:14" ht="20" thickBot="1" x14ac:dyDescent="0.25">
      <c r="D4" s="336" t="s">
        <v>10</v>
      </c>
      <c r="E4" s="337"/>
      <c r="F4" s="337"/>
      <c r="G4" s="337"/>
      <c r="H4" s="337"/>
      <c r="I4" s="337"/>
    </row>
    <row r="5" spans="4:14" x14ac:dyDescent="0.2">
      <c r="D5" s="133" t="s">
        <v>11</v>
      </c>
      <c r="E5" s="113">
        <f>CAPEX!E10</f>
        <v>1210000</v>
      </c>
      <c r="F5" s="110"/>
      <c r="G5" s="111"/>
      <c r="H5" s="111">
        <f>E5</f>
        <v>1210000</v>
      </c>
      <c r="I5" s="111"/>
    </row>
    <row r="6" spans="4:14" x14ac:dyDescent="0.2">
      <c r="D6" s="133" t="s">
        <v>158</v>
      </c>
      <c r="E6" s="113">
        <v>5000000</v>
      </c>
      <c r="F6" s="110"/>
      <c r="G6" s="111"/>
      <c r="H6" s="111"/>
      <c r="I6" s="111"/>
    </row>
    <row r="7" spans="4:14" x14ac:dyDescent="0.2">
      <c r="D7" s="133" t="s">
        <v>166</v>
      </c>
      <c r="E7" s="113">
        <v>5000000</v>
      </c>
      <c r="F7" s="115"/>
      <c r="G7" s="115"/>
      <c r="H7" s="115"/>
      <c r="I7" s="115"/>
    </row>
    <row r="8" spans="4:14" ht="16" thickBot="1" x14ac:dyDescent="0.25">
      <c r="D8" s="134" t="s">
        <v>12</v>
      </c>
      <c r="E8" s="124">
        <f>SUM(E5:E7)</f>
        <v>11210000</v>
      </c>
      <c r="F8" s="124">
        <f t="shared" ref="F8:I8" si="1">SUM(F5:F6)</f>
        <v>0</v>
      </c>
      <c r="G8" s="124">
        <f t="shared" si="1"/>
        <v>0</v>
      </c>
      <c r="H8" s="124">
        <f t="shared" si="1"/>
        <v>1210000</v>
      </c>
      <c r="I8" s="124">
        <f t="shared" si="1"/>
        <v>0</v>
      </c>
    </row>
    <row r="9" spans="4:14" ht="20" thickBot="1" x14ac:dyDescent="0.25">
      <c r="D9" s="338" t="s">
        <v>13</v>
      </c>
      <c r="E9" s="339"/>
      <c r="F9" s="339"/>
      <c r="G9" s="339"/>
      <c r="H9" s="339"/>
      <c r="I9" s="339"/>
    </row>
    <row r="10" spans="4:14" ht="15.75" customHeight="1" x14ac:dyDescent="0.2">
      <c r="D10" s="125" t="s">
        <v>40</v>
      </c>
      <c r="E10" s="126">
        <f>'Revenue &amp; COGS'!F5</f>
        <v>21000000</v>
      </c>
      <c r="F10" s="127">
        <f>'Revenue &amp; COGS'!I5</f>
        <v>27125000</v>
      </c>
      <c r="G10" s="128">
        <f>'Revenue &amp; COGS'!L5</f>
        <v>35054687.5</v>
      </c>
      <c r="H10" s="128">
        <f>'Revenue &amp; COGS'!O5</f>
        <v>45325683.59375</v>
      </c>
      <c r="I10" s="128">
        <f>'Revenue &amp; COGS'!R5</f>
        <v>58635467.529296875</v>
      </c>
    </row>
    <row r="11" spans="4:14" x14ac:dyDescent="0.2">
      <c r="D11" s="133" t="s">
        <v>15</v>
      </c>
      <c r="E11" s="113">
        <f>'Revenue &amp; COGS'!F14</f>
        <v>2100000</v>
      </c>
      <c r="F11" s="110">
        <f>'Revenue &amp; COGS'!I14</f>
        <v>2625000</v>
      </c>
      <c r="G11" s="111">
        <f>'Revenue &amp; COGS'!L14</f>
        <v>3281250</v>
      </c>
      <c r="H11" s="111">
        <f>'Revenue &amp; COGS'!O14</f>
        <v>4101562.5</v>
      </c>
      <c r="I11" s="111">
        <f>'Revenue &amp; COGS'!R14</f>
        <v>5126953.125</v>
      </c>
    </row>
    <row r="12" spans="4:14" x14ac:dyDescent="0.2">
      <c r="D12" s="133" t="s">
        <v>16</v>
      </c>
      <c r="E12" s="113">
        <f>'GEN &amp; ADMIN'!E62</f>
        <v>9618000</v>
      </c>
      <c r="F12" s="110">
        <f>'GEN &amp; ADMIN'!H62</f>
        <v>10667920</v>
      </c>
      <c r="G12" s="111">
        <f>'GEN &amp; ADMIN'!K62</f>
        <v>11865793.600000001</v>
      </c>
      <c r="H12" s="111">
        <f>'GEN &amp; ADMIN'!N62</f>
        <v>12863525.600000001</v>
      </c>
      <c r="I12" s="111">
        <f>'GEN &amp; ADMIN'!Q62</f>
        <v>13956488.080000002</v>
      </c>
    </row>
    <row r="13" spans="4:14" x14ac:dyDescent="0.2">
      <c r="D13" s="133" t="s">
        <v>17</v>
      </c>
      <c r="E13" s="113">
        <f>20% *E10</f>
        <v>4200000</v>
      </c>
      <c r="F13" s="113">
        <f>15% *F10</f>
        <v>4068750</v>
      </c>
      <c r="G13" s="113">
        <f>10% *G10</f>
        <v>3505468.75</v>
      </c>
      <c r="H13" s="113">
        <f>10% *H10</f>
        <v>4532568.359375</v>
      </c>
      <c r="I13" s="113">
        <f>10% *I10</f>
        <v>5863546.7529296875</v>
      </c>
    </row>
    <row r="14" spans="4:14" x14ac:dyDescent="0.2">
      <c r="D14" s="133"/>
      <c r="E14" s="113"/>
      <c r="F14" s="110"/>
      <c r="G14" s="111"/>
      <c r="H14" s="111"/>
      <c r="I14" s="111"/>
    </row>
    <row r="15" spans="4:14" ht="16" x14ac:dyDescent="0.2">
      <c r="D15" s="130" t="s">
        <v>18</v>
      </c>
      <c r="E15" s="131">
        <f>SUM(E11:E14)</f>
        <v>15918000</v>
      </c>
      <c r="F15" s="131">
        <f t="shared" ref="F15:I15" si="2">SUM(F11:F14)</f>
        <v>17361670</v>
      </c>
      <c r="G15" s="131">
        <f t="shared" si="2"/>
        <v>18652512.350000001</v>
      </c>
      <c r="H15" s="131">
        <f t="shared" si="2"/>
        <v>21497656.459375001</v>
      </c>
      <c r="I15" s="131">
        <f t="shared" si="2"/>
        <v>24946987.957929689</v>
      </c>
      <c r="M15" t="s">
        <v>204</v>
      </c>
      <c r="N15" t="s">
        <v>207</v>
      </c>
    </row>
    <row r="16" spans="4:14" s="109" customFormat="1" ht="15.75" customHeight="1" x14ac:dyDescent="0.2">
      <c r="D16" s="135" t="s">
        <v>19</v>
      </c>
      <c r="E16" s="132">
        <f>E10-E15</f>
        <v>5082000</v>
      </c>
      <c r="F16" s="132">
        <f t="shared" ref="F16:I16" si="3">F10-F15</f>
        <v>9763330</v>
      </c>
      <c r="G16" s="132">
        <f t="shared" si="3"/>
        <v>16402175.149999999</v>
      </c>
      <c r="H16" s="132">
        <f t="shared" si="3"/>
        <v>23828027.134374999</v>
      </c>
      <c r="I16" s="132">
        <f t="shared" si="3"/>
        <v>33688479.571367189</v>
      </c>
      <c r="M16" s="109" t="s">
        <v>205</v>
      </c>
    </row>
    <row r="17" spans="3:13" ht="15.75" customHeight="1" x14ac:dyDescent="0.2">
      <c r="D17" s="133" t="s">
        <v>20</v>
      </c>
      <c r="E17" s="113">
        <f>'Revenue &amp; COGS'!F20</f>
        <v>403333.33333333337</v>
      </c>
      <c r="F17" s="110">
        <f>'Revenue &amp; COGS'!I20</f>
        <v>403333.33333333337</v>
      </c>
      <c r="G17" s="111">
        <f>'Revenue &amp; COGS'!L20</f>
        <v>403333.33333333337</v>
      </c>
      <c r="H17" s="111">
        <f>'Revenue &amp; COGS'!O17</f>
        <v>403333.33333333337</v>
      </c>
      <c r="I17" s="111">
        <f>'Revenue &amp; COGS'!R17</f>
        <v>403333.33333333337</v>
      </c>
      <c r="M17" t="s">
        <v>206</v>
      </c>
    </row>
    <row r="18" spans="3:13" ht="15.75" customHeight="1" x14ac:dyDescent="0.2">
      <c r="D18" s="133" t="s">
        <v>140</v>
      </c>
      <c r="E18" s="231"/>
      <c r="F18" s="231"/>
      <c r="G18" s="231"/>
      <c r="H18" s="231"/>
      <c r="I18" s="231">
        <f>CAPEX!H10</f>
        <v>403333.33333333331</v>
      </c>
    </row>
    <row r="19" spans="3:13" ht="15.75" customHeight="1" x14ac:dyDescent="0.2">
      <c r="D19" s="133" t="s">
        <v>112</v>
      </c>
      <c r="E19" s="231">
        <f>E16-E17</f>
        <v>4678666.666666667</v>
      </c>
      <c r="F19" s="231">
        <f t="shared" ref="F19:I19" si="4">F16-F17</f>
        <v>9359996.666666666</v>
      </c>
      <c r="G19" s="231">
        <f t="shared" si="4"/>
        <v>15998841.816666665</v>
      </c>
      <c r="H19" s="231">
        <f t="shared" si="4"/>
        <v>23424693.801041666</v>
      </c>
      <c r="I19" s="231">
        <f t="shared" si="4"/>
        <v>33285146.238033857</v>
      </c>
    </row>
    <row r="20" spans="3:13" ht="15.75" customHeight="1" x14ac:dyDescent="0.2">
      <c r="C20" s="261">
        <v>0.25</v>
      </c>
      <c r="D20" s="133" t="s">
        <v>111</v>
      </c>
      <c r="E20" s="113">
        <f>E19*$C$20</f>
        <v>1169666.6666666667</v>
      </c>
      <c r="F20" s="113">
        <f t="shared" ref="F20:I20" si="5">F19*$C$20</f>
        <v>2339999.1666666665</v>
      </c>
      <c r="G20" s="113">
        <f t="shared" si="5"/>
        <v>3999710.4541666661</v>
      </c>
      <c r="H20" s="113">
        <f t="shared" si="5"/>
        <v>5856173.4502604166</v>
      </c>
      <c r="I20" s="113">
        <f t="shared" si="5"/>
        <v>8321286.5595084643</v>
      </c>
    </row>
    <row r="21" spans="3:13" ht="15.75" customHeight="1" x14ac:dyDescent="0.2">
      <c r="D21" s="232" t="s">
        <v>113</v>
      </c>
      <c r="E21" s="233">
        <f>E19-E20</f>
        <v>3509000</v>
      </c>
      <c r="F21" s="233">
        <f t="shared" ref="F21:I21" si="6">F19-F20</f>
        <v>7019997.5</v>
      </c>
      <c r="G21" s="233">
        <f t="shared" si="6"/>
        <v>11999131.362499999</v>
      </c>
      <c r="H21" s="233">
        <f t="shared" si="6"/>
        <v>17568520.350781251</v>
      </c>
      <c r="I21" s="233">
        <f t="shared" si="6"/>
        <v>24963859.678525392</v>
      </c>
    </row>
    <row r="22" spans="3:13" ht="15.75" customHeight="1" x14ac:dyDescent="0.2">
      <c r="D22" s="133"/>
      <c r="E22" s="113"/>
      <c r="F22" s="115"/>
      <c r="G22" s="115"/>
      <c r="H22" s="115"/>
      <c r="I22" s="115"/>
    </row>
    <row r="23" spans="3:13" ht="15.75" customHeight="1" thickBot="1" x14ac:dyDescent="0.25">
      <c r="D23" s="136" t="s">
        <v>21</v>
      </c>
      <c r="E23" s="234">
        <f>E16-E20</f>
        <v>3912333.333333333</v>
      </c>
      <c r="F23" s="234">
        <f>F16-F20-F8</f>
        <v>7423330.833333334</v>
      </c>
      <c r="G23" s="234">
        <f t="shared" ref="G23:I23" si="7">G16-G20-G8</f>
        <v>12402464.695833333</v>
      </c>
      <c r="H23" s="234">
        <f t="shared" si="7"/>
        <v>16761853.684114583</v>
      </c>
      <c r="I23" s="234">
        <f t="shared" si="7"/>
        <v>25367193.011858724</v>
      </c>
    </row>
    <row r="24" spans="3:13" ht="20" thickBot="1" x14ac:dyDescent="0.3">
      <c r="D24" s="334" t="s">
        <v>22</v>
      </c>
      <c r="E24" s="335"/>
      <c r="F24" s="335"/>
      <c r="G24" s="335"/>
      <c r="H24" s="335"/>
      <c r="I24" s="335"/>
    </row>
    <row r="25" spans="3:13" ht="15.75" customHeight="1" x14ac:dyDescent="0.2">
      <c r="D25" s="137" t="s">
        <v>23</v>
      </c>
      <c r="E25" s="236">
        <f>E16-E8</f>
        <v>-6128000</v>
      </c>
      <c r="F25" s="239">
        <f>F16-F8</f>
        <v>9763330</v>
      </c>
      <c r="G25" s="239">
        <f>G16-G8</f>
        <v>16402175.149999999</v>
      </c>
      <c r="H25" s="239">
        <f>H16-H8</f>
        <v>22618027.134374999</v>
      </c>
      <c r="I25" s="239">
        <f>I16-I8</f>
        <v>33688479.571367189</v>
      </c>
    </row>
    <row r="26" spans="3:13" ht="15.75" customHeight="1" x14ac:dyDescent="0.2">
      <c r="D26" s="253" t="s">
        <v>24</v>
      </c>
      <c r="E26" s="254">
        <f>(E10-E11-E12)/E10</f>
        <v>0.442</v>
      </c>
      <c r="F26" s="254">
        <f t="shared" ref="F26:I26" si="8">(F10-F11-F12)/F10</f>
        <v>0.50993843317972354</v>
      </c>
      <c r="G26" s="254">
        <f t="shared" si="8"/>
        <v>0.56790247809226646</v>
      </c>
      <c r="H26" s="254">
        <f t="shared" si="8"/>
        <v>0.62570695564006162</v>
      </c>
      <c r="I26" s="254">
        <f t="shared" si="8"/>
        <v>0.67454099013596047</v>
      </c>
    </row>
    <row r="27" spans="3:13" ht="15.75" customHeight="1" x14ac:dyDescent="0.2">
      <c r="D27" s="137" t="s">
        <v>25</v>
      </c>
      <c r="E27" s="237">
        <f>(E16-E17)/E10</f>
        <v>0.22279365079365082</v>
      </c>
      <c r="F27" s="237">
        <f>(F16-F17)/F10</f>
        <v>0.34506900153609826</v>
      </c>
      <c r="G27" s="237">
        <f>(G16-G17)/G10</f>
        <v>0.4563966464304286</v>
      </c>
      <c r="H27" s="237">
        <f>(H16-H17)/H10</f>
        <v>0.51680839523558164</v>
      </c>
      <c r="I27" s="237">
        <f>(I16-I17)/I10</f>
        <v>0.56766233204166272</v>
      </c>
    </row>
    <row r="28" spans="3:13" ht="15.75" customHeight="1" x14ac:dyDescent="0.2">
      <c r="D28" s="253" t="s">
        <v>115</v>
      </c>
      <c r="E28" s="254" t="s">
        <v>141</v>
      </c>
      <c r="F28" s="254">
        <f>F21/F10</f>
        <v>0.25880175115207371</v>
      </c>
      <c r="G28" s="254">
        <f>G21/G10</f>
        <v>0.34229748482282146</v>
      </c>
      <c r="H28" s="254">
        <f>H21/H10</f>
        <v>0.3876062964266862</v>
      </c>
      <c r="I28" s="254">
        <f>I21/I10</f>
        <v>0.42574674903124704</v>
      </c>
    </row>
    <row r="29" spans="3:13" ht="15.75" customHeight="1" x14ac:dyDescent="0.2">
      <c r="D29" s="137" t="s">
        <v>26</v>
      </c>
      <c r="E29" s="114">
        <v>0.1</v>
      </c>
      <c r="F29" s="240"/>
      <c r="G29" s="240"/>
      <c r="H29" s="240"/>
      <c r="I29" s="240"/>
    </row>
    <row r="30" spans="3:13" ht="15.75" customHeight="1" x14ac:dyDescent="0.2">
      <c r="D30" s="137" t="s">
        <v>27</v>
      </c>
      <c r="E30" s="238">
        <f>NPV(E29,E23,F23,G23,H23,I23)-E8</f>
        <v>34999408.770416252</v>
      </c>
      <c r="F30" s="240"/>
      <c r="G30" s="240"/>
      <c r="H30" s="240"/>
      <c r="I30" s="240"/>
    </row>
    <row r="31" spans="3:13" ht="15.75" customHeight="1" x14ac:dyDescent="0.2">
      <c r="D31" s="137" t="s">
        <v>28</v>
      </c>
      <c r="E31" s="113"/>
      <c r="F31" s="235"/>
      <c r="G31" s="235"/>
      <c r="H31" s="235"/>
      <c r="I31" s="235"/>
    </row>
    <row r="32" spans="3:13" ht="15.75" customHeight="1" x14ac:dyDescent="0.2">
      <c r="D32" s="137" t="s">
        <v>29</v>
      </c>
      <c r="E32" s="113"/>
      <c r="F32" s="241"/>
      <c r="G32" s="241"/>
      <c r="H32" s="241"/>
      <c r="I32" s="241"/>
    </row>
    <row r="33" spans="4:16" ht="15.75" customHeight="1" thickBot="1" x14ac:dyDescent="0.25">
      <c r="D33" s="138" t="s">
        <v>30</v>
      </c>
      <c r="E33" s="118"/>
      <c r="F33" s="242"/>
      <c r="G33" s="242"/>
      <c r="H33" s="242"/>
      <c r="I33" s="242"/>
    </row>
    <row r="34" spans="4:16" ht="15.75" customHeight="1" thickBot="1" x14ac:dyDescent="0.25">
      <c r="D34" s="139"/>
    </row>
    <row r="35" spans="4:16" ht="15.75" customHeight="1" thickBot="1" x14ac:dyDescent="0.25">
      <c r="D35" s="139"/>
      <c r="E35" s="243"/>
      <c r="F35" s="244"/>
      <c r="G35" s="244"/>
      <c r="H35" s="244"/>
      <c r="I35" s="291"/>
      <c r="J35" s="275"/>
      <c r="K35" s="328" t="s">
        <v>161</v>
      </c>
      <c r="L35" s="328"/>
      <c r="M35" s="328"/>
      <c r="N35" s="328"/>
      <c r="O35" s="329"/>
    </row>
    <row r="36" spans="4:16" ht="15.75" customHeight="1" x14ac:dyDescent="0.2">
      <c r="D36" s="306" t="s">
        <v>160</v>
      </c>
      <c r="E36" s="307">
        <f>((SUM(E23:I23)-E8)/E8)/5</f>
        <v>0.97515032218507236</v>
      </c>
      <c r="F36" s="243"/>
      <c r="G36" s="243"/>
      <c r="I36" s="292"/>
      <c r="J36" s="287">
        <f>E36</f>
        <v>0.97515032218507236</v>
      </c>
      <c r="K36" s="287">
        <v>0.05</v>
      </c>
      <c r="L36" s="288">
        <f>K36+5%</f>
        <v>0.1</v>
      </c>
      <c r="M36" s="288">
        <f t="shared" ref="M36:O36" si="9">L36+5%</f>
        <v>0.15000000000000002</v>
      </c>
      <c r="N36" s="288">
        <f t="shared" si="9"/>
        <v>0.2</v>
      </c>
      <c r="O36" s="293">
        <f t="shared" si="9"/>
        <v>0.25</v>
      </c>
    </row>
    <row r="37" spans="4:16" ht="15.75" customHeight="1" x14ac:dyDescent="0.2">
      <c r="D37" s="308"/>
      <c r="E37" s="309">
        <f>((SUM(E23:I23)-E8)/E8)</f>
        <v>4.875751610925362</v>
      </c>
      <c r="I37" s="330" t="s">
        <v>120</v>
      </c>
      <c r="J37" s="289">
        <v>0.05</v>
      </c>
      <c r="K37" s="287">
        <f t="dataTable" ref="K37:O42" dt2D="1" dtr="1" r1="E46" r2="E43" ca="1"/>
        <v>-7.7063116181093266E-2</v>
      </c>
      <c r="L37" s="290">
        <v>2.5972268848382302E-2</v>
      </c>
      <c r="M37" s="290">
        <v>0.13950136006953379</v>
      </c>
      <c r="N37" s="290">
        <v>0.26427975203687176</v>
      </c>
      <c r="O37" s="294">
        <v>0.4010906818128156</v>
      </c>
    </row>
    <row r="38" spans="4:16" ht="15.75" customHeight="1" x14ac:dyDescent="0.2">
      <c r="D38" s="315"/>
      <c r="E38" s="316"/>
      <c r="F38" s="109" t="s">
        <v>196</v>
      </c>
      <c r="G38" s="109" t="s">
        <v>197</v>
      </c>
      <c r="H38" s="109" t="s">
        <v>199</v>
      </c>
      <c r="I38" s="330"/>
      <c r="J38" s="289">
        <f>J37+1%</f>
        <v>6.0000000000000005E-2</v>
      </c>
      <c r="K38" s="287">
        <v>4.8610845260059432E-2</v>
      </c>
      <c r="L38" s="290">
        <v>0.16578693240693765</v>
      </c>
      <c r="M38" s="290">
        <v>0.2949056565467173</v>
      </c>
      <c r="N38" s="290">
        <v>0.43682736629200108</v>
      </c>
      <c r="O38" s="294">
        <v>0.59244389527023444</v>
      </c>
    </row>
    <row r="39" spans="4:16" ht="15.75" customHeight="1" x14ac:dyDescent="0.2">
      <c r="D39" s="311" t="s">
        <v>146</v>
      </c>
      <c r="E39" s="310">
        <v>100000</v>
      </c>
      <c r="F39" s="109">
        <v>56000</v>
      </c>
      <c r="G39" s="109" t="s">
        <v>198</v>
      </c>
      <c r="H39" s="109" t="s">
        <v>200</v>
      </c>
      <c r="I39" s="330"/>
      <c r="J39" s="289">
        <f t="shared" ref="J39:J42" si="10">J38+1%</f>
        <v>7.0000000000000007E-2</v>
      </c>
      <c r="K39" s="287">
        <v>0.17428480670121221</v>
      </c>
      <c r="L39" s="290">
        <v>0.30560159596549319</v>
      </c>
      <c r="M39" s="290">
        <v>0.45030995302390087</v>
      </c>
      <c r="N39" s="290">
        <v>0.60937498054713035</v>
      </c>
      <c r="O39" s="294">
        <v>0.7837971087276534</v>
      </c>
    </row>
    <row r="40" spans="4:16" ht="15.75" customHeight="1" x14ac:dyDescent="0.2">
      <c r="D40" s="311" t="s">
        <v>179</v>
      </c>
      <c r="E40" s="310">
        <f>30000</f>
        <v>30000</v>
      </c>
      <c r="G40" s="109">
        <f>12*2500</f>
        <v>30000</v>
      </c>
      <c r="I40" s="330"/>
      <c r="J40" s="289">
        <f t="shared" si="10"/>
        <v>0.08</v>
      </c>
      <c r="K40" s="287">
        <v>0.29995876814236488</v>
      </c>
      <c r="L40" s="290">
        <v>0.44541625952404862</v>
      </c>
      <c r="M40" s="290">
        <v>0.60571424950108455</v>
      </c>
      <c r="N40" s="290">
        <v>0.78192259480225967</v>
      </c>
      <c r="O40" s="294">
        <v>0.97515032218507236</v>
      </c>
    </row>
    <row r="41" spans="4:16" ht="15.75" customHeight="1" x14ac:dyDescent="0.2">
      <c r="D41" s="311" t="s">
        <v>159</v>
      </c>
      <c r="E41" s="310">
        <v>20000</v>
      </c>
      <c r="F41" s="109">
        <f>E41/20</f>
        <v>1000</v>
      </c>
      <c r="I41" s="330"/>
      <c r="J41" s="289">
        <f t="shared" si="10"/>
        <v>0.09</v>
      </c>
      <c r="K41" s="287">
        <v>0.42563272958351767</v>
      </c>
      <c r="L41" s="290">
        <v>0.58523092308260416</v>
      </c>
      <c r="M41" s="290">
        <v>0.76111854597826822</v>
      </c>
      <c r="N41" s="290">
        <v>0.95447020905738922</v>
      </c>
      <c r="O41" s="294">
        <v>1.1665035356424915</v>
      </c>
    </row>
    <row r="42" spans="4:16" ht="15.75" customHeight="1" thickBot="1" x14ac:dyDescent="0.25">
      <c r="D42" s="315"/>
      <c r="E42" s="316"/>
      <c r="I42" s="331"/>
      <c r="J42" s="295">
        <f t="shared" si="10"/>
        <v>9.9999999999999992E-2</v>
      </c>
      <c r="K42" s="296">
        <v>0.55130669102467045</v>
      </c>
      <c r="L42" s="297">
        <v>0.72504558664115948</v>
      </c>
      <c r="M42" s="297">
        <v>0.9165228424554519</v>
      </c>
      <c r="N42" s="297">
        <v>1.1270178233125185</v>
      </c>
      <c r="O42" s="298">
        <v>1.3578567490999105</v>
      </c>
    </row>
    <row r="43" spans="4:16" ht="15.75" customHeight="1" x14ac:dyDescent="0.2">
      <c r="D43" s="311" t="s">
        <v>148</v>
      </c>
      <c r="E43" s="312">
        <v>0.08</v>
      </c>
      <c r="F43" s="109">
        <f>8%*E41</f>
        <v>1600</v>
      </c>
    </row>
    <row r="44" spans="4:16" ht="15.75" customHeight="1" thickBot="1" x14ac:dyDescent="0.25">
      <c r="D44" s="311" t="s">
        <v>168</v>
      </c>
      <c r="E44" s="310">
        <v>125</v>
      </c>
    </row>
    <row r="45" spans="4:16" ht="15.75" customHeight="1" x14ac:dyDescent="0.2">
      <c r="D45" s="311" t="s">
        <v>176</v>
      </c>
      <c r="E45" s="310">
        <v>35</v>
      </c>
      <c r="I45" s="332" t="s">
        <v>179</v>
      </c>
      <c r="J45" s="301">
        <f>E36</f>
        <v>0.97515032218507236</v>
      </c>
      <c r="K45" s="302">
        <v>0.05</v>
      </c>
      <c r="L45" s="302">
        <f>K45+1%</f>
        <v>6.0000000000000005E-2</v>
      </c>
      <c r="M45" s="302">
        <f>L45+1%</f>
        <v>7.0000000000000007E-2</v>
      </c>
      <c r="N45" s="302">
        <f>M45+1%</f>
        <v>0.08</v>
      </c>
      <c r="O45" s="302">
        <f>N45+1%</f>
        <v>0.09</v>
      </c>
      <c r="P45" s="303">
        <f>O45+1%</f>
        <v>9.9999999999999992E-2</v>
      </c>
    </row>
    <row r="46" spans="4:16" ht="15.75" customHeight="1" x14ac:dyDescent="0.2">
      <c r="D46" s="311" t="s">
        <v>182</v>
      </c>
      <c r="E46" s="312">
        <v>0.25</v>
      </c>
      <c r="I46" s="332"/>
      <c r="J46" s="276">
        <v>30000</v>
      </c>
      <c r="K46" s="290">
        <f t="dataTable" ref="K46:P50" dt2D="1" dtr="1" r1="E43" r2="E40" ca="1"/>
        <v>0.4010906818128156</v>
      </c>
      <c r="L46" s="290">
        <v>0.59244389527023444</v>
      </c>
      <c r="M46" s="290">
        <v>0.7837971087276534</v>
      </c>
      <c r="N46" s="290">
        <v>0.97515032218507236</v>
      </c>
      <c r="O46" s="290">
        <v>1.1665035356424915</v>
      </c>
      <c r="P46" s="294">
        <v>1.3578567490999105</v>
      </c>
    </row>
    <row r="47" spans="4:16" ht="15.75" customHeight="1" x14ac:dyDescent="0.2">
      <c r="D47" s="315"/>
      <c r="E47" s="316"/>
      <c r="I47" s="332" t="s">
        <v>120</v>
      </c>
      <c r="J47" s="276">
        <f>J46+10000</f>
        <v>40000</v>
      </c>
      <c r="K47" s="290">
        <v>0.32421839981013956</v>
      </c>
      <c r="L47" s="290">
        <v>0.51557161326755829</v>
      </c>
      <c r="M47" s="290">
        <v>0.70692482672497725</v>
      </c>
      <c r="N47" s="290">
        <v>0.89827804018239621</v>
      </c>
      <c r="O47" s="290">
        <v>1.0896312536398152</v>
      </c>
      <c r="P47" s="294">
        <v>1.2809844670972343</v>
      </c>
    </row>
    <row r="48" spans="4:16" ht="15.75" customHeight="1" x14ac:dyDescent="0.2">
      <c r="D48" s="308"/>
      <c r="E48" s="310"/>
      <c r="I48" s="332"/>
      <c r="J48" s="276">
        <f t="shared" ref="J48:J50" si="11">J47+10000</f>
        <v>50000</v>
      </c>
      <c r="K48" s="290">
        <v>0.24734611780746335</v>
      </c>
      <c r="L48" s="290">
        <v>0.43869933126488209</v>
      </c>
      <c r="M48" s="290">
        <v>0.63005254472230099</v>
      </c>
      <c r="N48" s="290">
        <v>0.82140575817971995</v>
      </c>
      <c r="O48" s="290">
        <v>1.012758971637139</v>
      </c>
      <c r="P48" s="294">
        <v>1.2041121850945582</v>
      </c>
    </row>
    <row r="49" spans="4:16" ht="15.75" customHeight="1" x14ac:dyDescent="0.2">
      <c r="D49" s="311" t="s">
        <v>180</v>
      </c>
      <c r="E49" s="310">
        <f>E45*E44*2</f>
        <v>8750</v>
      </c>
      <c r="F49" s="318">
        <f>(E49/(E71))</f>
        <v>3.9489123567108944E-2</v>
      </c>
      <c r="I49" s="332"/>
      <c r="J49" s="276">
        <f t="shared" si="11"/>
        <v>60000</v>
      </c>
      <c r="K49" s="290">
        <v>0.17047383580478717</v>
      </c>
      <c r="L49" s="290">
        <v>0.36182704926220594</v>
      </c>
      <c r="M49" s="290">
        <v>0.55318026271962484</v>
      </c>
      <c r="N49" s="290">
        <v>0.7445334761770438</v>
      </c>
      <c r="O49" s="290">
        <v>0.93588668963446298</v>
      </c>
      <c r="P49" s="294">
        <v>1.127239903091882</v>
      </c>
    </row>
    <row r="50" spans="4:16" ht="15.75" customHeight="1" thickBot="1" x14ac:dyDescent="0.25">
      <c r="D50" s="311" t="s">
        <v>181</v>
      </c>
      <c r="E50" s="312">
        <v>0.05</v>
      </c>
      <c r="I50" s="333"/>
      <c r="J50" s="304">
        <f t="shared" si="11"/>
        <v>70000</v>
      </c>
      <c r="K50" s="297">
        <v>9.3601553802110965E-2</v>
      </c>
      <c r="L50" s="297">
        <v>0.28495476725952973</v>
      </c>
      <c r="M50" s="297">
        <v>0.4763079807169488</v>
      </c>
      <c r="N50" s="297">
        <v>0.66766119417436764</v>
      </c>
      <c r="O50" s="297">
        <v>0.85901440763178649</v>
      </c>
      <c r="P50" s="298">
        <v>1.0503676210892057</v>
      </c>
    </row>
    <row r="51" spans="4:16" ht="15.75" customHeight="1" thickBot="1" x14ac:dyDescent="0.25">
      <c r="D51" s="313"/>
      <c r="E51" s="314"/>
      <c r="I51" s="305"/>
    </row>
    <row r="52" spans="4:16" ht="15.75" customHeight="1" thickBot="1" x14ac:dyDescent="0.25">
      <c r="D52" s="139"/>
      <c r="I52" s="305"/>
    </row>
    <row r="53" spans="4:16" ht="15.75" customHeight="1" x14ac:dyDescent="0.2">
      <c r="D53" s="139"/>
      <c r="I53" s="291"/>
      <c r="J53" s="275"/>
      <c r="K53" s="328"/>
      <c r="L53" s="328"/>
      <c r="M53" s="328"/>
      <c r="N53" s="328"/>
      <c r="O53" s="329"/>
    </row>
    <row r="54" spans="4:16" ht="15.75" customHeight="1" x14ac:dyDescent="0.2">
      <c r="D54" s="139"/>
      <c r="I54" s="292"/>
      <c r="J54" s="287">
        <f>E36</f>
        <v>0.97515032218507236</v>
      </c>
      <c r="K54" s="287">
        <v>0.05</v>
      </c>
      <c r="L54" s="288">
        <f>K54+5%</f>
        <v>0.1</v>
      </c>
      <c r="M54" s="288">
        <f t="shared" ref="M54" si="12">L54+5%</f>
        <v>0.15000000000000002</v>
      </c>
      <c r="N54" s="288">
        <f t="shared" ref="N54" si="13">M54+5%</f>
        <v>0.2</v>
      </c>
      <c r="O54" s="293">
        <f t="shared" ref="O54" si="14">N54+5%</f>
        <v>0.25</v>
      </c>
    </row>
    <row r="55" spans="4:16" ht="15.75" customHeight="1" x14ac:dyDescent="0.2">
      <c r="D55" s="139"/>
      <c r="E55" s="262"/>
      <c r="I55" s="330" t="s">
        <v>178</v>
      </c>
      <c r="J55" s="299">
        <v>30</v>
      </c>
      <c r="K55" s="287">
        <f t="dataTable" ref="K55:O60" dt2D="1" dtr="1" r1="E46" r2="E45" ca="1"/>
        <v>0.11400918805389068</v>
      </c>
      <c r="L55" s="290">
        <v>0.23868703780961947</v>
      </c>
      <c r="M55" s="290">
        <v>0.37608531493279324</v>
      </c>
      <c r="N55" s="290">
        <v>0.52712103947665756</v>
      </c>
      <c r="O55" s="294">
        <v>0.6927448058047827</v>
      </c>
    </row>
    <row r="56" spans="4:16" ht="15" customHeight="1" x14ac:dyDescent="0.2">
      <c r="I56" s="330"/>
      <c r="J56" s="299">
        <f>J55+5</f>
        <v>35</v>
      </c>
      <c r="K56" s="287">
        <v>0.29995876814236488</v>
      </c>
      <c r="L56" s="290">
        <v>0.44541625952404862</v>
      </c>
      <c r="M56" s="290">
        <v>0.60571424950108455</v>
      </c>
      <c r="N56" s="290">
        <v>0.78192259480225967</v>
      </c>
      <c r="O56" s="294">
        <v>0.97515032218507236</v>
      </c>
    </row>
    <row r="57" spans="4:16" ht="15" customHeight="1" x14ac:dyDescent="0.2">
      <c r="D57" s="139"/>
      <c r="E57" s="264"/>
      <c r="F57" s="317"/>
      <c r="I57" s="330"/>
      <c r="J57" s="299">
        <f t="shared" ref="J57:J60" si="15">J56+5</f>
        <v>40</v>
      </c>
      <c r="K57" s="287">
        <v>0.48590834823083934</v>
      </c>
      <c r="L57" s="290">
        <v>0.65214548123847771</v>
      </c>
      <c r="M57" s="290">
        <v>0.83534318406937624</v>
      </c>
      <c r="N57" s="290">
        <v>1.0367241501278619</v>
      </c>
      <c r="O57" s="294">
        <v>1.2575558385653622</v>
      </c>
    </row>
    <row r="58" spans="4:16" ht="15" customHeight="1" x14ac:dyDescent="0.2">
      <c r="I58" s="330"/>
      <c r="J58" s="299">
        <f t="shared" si="15"/>
        <v>45</v>
      </c>
      <c r="K58" s="287">
        <v>0.67185792831931368</v>
      </c>
      <c r="L58" s="290">
        <v>0.85887470295290702</v>
      </c>
      <c r="M58" s="290">
        <v>1.0649721186376671</v>
      </c>
      <c r="N58" s="290">
        <v>1.2915257054534637</v>
      </c>
      <c r="O58" s="294">
        <v>1.5399613549456517</v>
      </c>
    </row>
    <row r="59" spans="4:16" ht="15" customHeight="1" x14ac:dyDescent="0.2">
      <c r="D59" s="139" t="s">
        <v>185</v>
      </c>
      <c r="E59" s="262">
        <v>1.4999999999999999E-2</v>
      </c>
      <c r="F59" s="109" t="s">
        <v>187</v>
      </c>
      <c r="I59" s="330"/>
      <c r="J59" s="299">
        <f t="shared" si="15"/>
        <v>50</v>
      </c>
      <c r="K59" s="287">
        <v>0.85780750840778786</v>
      </c>
      <c r="L59" s="290">
        <v>1.0656039246673363</v>
      </c>
      <c r="M59" s="290">
        <v>1.2946010532059584</v>
      </c>
      <c r="N59" s="290">
        <v>1.5463272607790659</v>
      </c>
      <c r="O59" s="294">
        <v>1.8223668713259413</v>
      </c>
    </row>
    <row r="60" spans="4:16" ht="15" customHeight="1" thickBot="1" x14ac:dyDescent="0.25">
      <c r="D60" s="139" t="s">
        <v>184</v>
      </c>
      <c r="E60" s="112">
        <v>135</v>
      </c>
      <c r="I60" s="331"/>
      <c r="J60" s="300">
        <f t="shared" si="15"/>
        <v>55</v>
      </c>
      <c r="K60" s="296">
        <v>1.0437570884962619</v>
      </c>
      <c r="L60" s="297">
        <v>1.2723331463817653</v>
      </c>
      <c r="M60" s="297">
        <v>1.5242299877742498</v>
      </c>
      <c r="N60" s="297">
        <v>1.8011288161046686</v>
      </c>
      <c r="O60" s="298">
        <v>2.1047723877062312</v>
      </c>
    </row>
    <row r="61" spans="4:16" ht="15" customHeight="1" x14ac:dyDescent="0.2">
      <c r="D61" s="139" t="s">
        <v>186</v>
      </c>
      <c r="E61" s="112">
        <f>E59*E60</f>
        <v>2.0249999999999999</v>
      </c>
    </row>
    <row r="62" spans="4:16" ht="15" customHeight="1" x14ac:dyDescent="0.2">
      <c r="D62" s="139" t="s">
        <v>202</v>
      </c>
      <c r="E62" s="112">
        <f>E61*0.075*10000000</f>
        <v>1518749.9999999998</v>
      </c>
      <c r="F62" s="109" t="s">
        <v>188</v>
      </c>
    </row>
    <row r="63" spans="4:16" ht="15" customHeight="1" x14ac:dyDescent="0.2">
      <c r="D63" s="139" t="s">
        <v>195</v>
      </c>
      <c r="E63" s="264">
        <f>E62*75%</f>
        <v>1139062.4999999998</v>
      </c>
      <c r="F63" s="109" t="s">
        <v>203</v>
      </c>
    </row>
    <row r="66" spans="3:8" ht="15" customHeight="1" x14ac:dyDescent="0.2">
      <c r="C66" s="268"/>
      <c r="D66" s="319" t="s">
        <v>183</v>
      </c>
      <c r="E66" s="320">
        <v>1800000</v>
      </c>
    </row>
    <row r="67" spans="3:8" ht="15" customHeight="1" x14ac:dyDescent="0.2">
      <c r="C67" s="321">
        <v>0.09</v>
      </c>
      <c r="D67" s="319" t="s">
        <v>190</v>
      </c>
      <c r="E67" s="320">
        <f>E66*C67</f>
        <v>162000</v>
      </c>
    </row>
    <row r="68" spans="3:8" ht="15" customHeight="1" x14ac:dyDescent="0.2">
      <c r="C68" s="321">
        <v>0.14000000000000001</v>
      </c>
      <c r="D68" s="319" t="s">
        <v>191</v>
      </c>
      <c r="E68" s="320">
        <f>E66*C68</f>
        <v>252000.00000000003</v>
      </c>
      <c r="F68" s="109" t="s">
        <v>189</v>
      </c>
    </row>
    <row r="69" spans="3:8" ht="15" customHeight="1" x14ac:dyDescent="0.2">
      <c r="C69" s="321">
        <v>0.73</v>
      </c>
      <c r="D69" s="319" t="s">
        <v>192</v>
      </c>
      <c r="E69" s="320">
        <f>C69*E67</f>
        <v>118260</v>
      </c>
      <c r="F69" s="322">
        <f>C67*C69</f>
        <v>6.5699999999999995E-2</v>
      </c>
    </row>
    <row r="70" spans="3:8" ht="15" customHeight="1" x14ac:dyDescent="0.2">
      <c r="C70" s="321">
        <v>0.41</v>
      </c>
      <c r="D70" s="319" t="s">
        <v>193</v>
      </c>
      <c r="E70" s="320">
        <f>E68*C70</f>
        <v>103320</v>
      </c>
      <c r="F70" s="322">
        <f>C68*C70</f>
        <v>5.74E-2</v>
      </c>
    </row>
    <row r="71" spans="3:8" ht="15" customHeight="1" x14ac:dyDescent="0.2">
      <c r="C71" s="268"/>
      <c r="D71" s="319" t="s">
        <v>194</v>
      </c>
      <c r="E71" s="320">
        <f>E70+E69</f>
        <v>221580</v>
      </c>
      <c r="F71" s="109">
        <f>E71/E63</f>
        <v>0.19452839506172845</v>
      </c>
    </row>
    <row r="73" spans="3:8" ht="15" customHeight="1" x14ac:dyDescent="0.2">
      <c r="D73" s="139"/>
      <c r="E73" s="262"/>
    </row>
    <row r="74" spans="3:8" ht="15" customHeight="1" x14ac:dyDescent="0.2">
      <c r="F74" s="109">
        <f>E49/220000</f>
        <v>3.9772727272727272E-2</v>
      </c>
      <c r="H74" s="109">
        <f>171*E44</f>
        <v>21375</v>
      </c>
    </row>
    <row r="75" spans="3:8" ht="15" customHeight="1" x14ac:dyDescent="0.2">
      <c r="D75" s="139"/>
      <c r="E75" s="264"/>
      <c r="H75" s="109">
        <f>H74/G77</f>
        <v>7.5583860494012584E-2</v>
      </c>
    </row>
    <row r="76" spans="3:8" ht="15" customHeight="1" x14ac:dyDescent="0.2">
      <c r="F76" s="109">
        <f>(1.05^5)</f>
        <v>1.2762815625000001</v>
      </c>
    </row>
    <row r="77" spans="3:8" ht="15" customHeight="1" x14ac:dyDescent="0.2">
      <c r="F77" s="109">
        <f>1.8*F76*1000000</f>
        <v>2297306.8125000005</v>
      </c>
      <c r="G77" s="109">
        <f>F77*12.31%</f>
        <v>282798.46861875005</v>
      </c>
    </row>
  </sheetData>
  <mergeCells count="8">
    <mergeCell ref="K53:O53"/>
    <mergeCell ref="I55:I60"/>
    <mergeCell ref="I45:I50"/>
    <mergeCell ref="D24:I24"/>
    <mergeCell ref="D4:I4"/>
    <mergeCell ref="D9:I9"/>
    <mergeCell ref="I37:I42"/>
    <mergeCell ref="K35:O35"/>
  </mergeCells>
  <conditionalFormatting sqref="E16">
    <cfRule type="cellIs" dxfId="11" priority="24" operator="lessThan">
      <formula>0</formula>
    </cfRule>
  </conditionalFormatting>
  <conditionalFormatting sqref="F16:I16">
    <cfRule type="cellIs" dxfId="10" priority="9" operator="lessThan">
      <formula>0</formula>
    </cfRule>
  </conditionalFormatting>
  <conditionalFormatting sqref="K37:O4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6:O5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{82FB1A2C-9901-F344-8376-C6F8139D0E08}</x14:id>
        </ext>
      </extLst>
    </cfRule>
  </conditionalFormatting>
  <conditionalFormatting sqref="K55:O6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6:P5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{C3714EDA-EB28-594B-9A1A-18E4B311C6C5}</x14:id>
        </ext>
      </extLst>
    </cfRule>
  </conditionalFormatting>
  <pageMargins left="0.7" right="0.7" top="0.75" bottom="0.75" header="0" footer="0"/>
  <pageSetup orientation="portrait"/>
  <ignoredErrors>
    <ignoredError sqref="E69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2FB1A2C-9901-F344-8376-C6F8139D0E0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K46:O50</xm:sqref>
        </x14:conditionalFormatting>
        <x14:conditionalFormatting xmlns:xm="http://schemas.microsoft.com/office/excel/2006/main">
          <x14:cfRule type="dataBar" id="{C3714EDA-EB28-594B-9A1A-18E4B311C6C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P46:P50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B9CA-311E-144E-9F89-805FEBE7382F}">
  <sheetPr>
    <tabColor rgb="FF92D050"/>
  </sheetPr>
  <dimension ref="A1:AG39"/>
  <sheetViews>
    <sheetView zoomScaleNormal="100" workbookViewId="0">
      <pane xSplit="3" ySplit="7" topLeftCell="D8" activePane="bottomRight" state="frozen"/>
      <selection pane="topRight" activeCell="D1" sqref="D1"/>
      <selection pane="bottomLeft" activeCell="A9" sqref="A9"/>
      <selection pane="bottomRight" activeCell="G31" sqref="G31"/>
    </sheetView>
  </sheetViews>
  <sheetFormatPr baseColWidth="10" defaultColWidth="11.5" defaultRowHeight="15" x14ac:dyDescent="0.2"/>
  <cols>
    <col min="1" max="1" width="10.33203125" style="57" customWidth="1"/>
    <col min="2" max="2" width="43.33203125" style="66" bestFit="1" customWidth="1"/>
    <col min="3" max="3" width="8.33203125" style="70" customWidth="1"/>
    <col min="4" max="4" width="7.33203125" style="70" bestFit="1" customWidth="1"/>
    <col min="5" max="5" width="9.83203125" style="66" bestFit="1" customWidth="1"/>
    <col min="6" max="6" width="15.83203125" style="66" bestFit="1" customWidth="1"/>
    <col min="7" max="7" width="13.83203125" style="70" bestFit="1" customWidth="1"/>
    <col min="8" max="8" width="9.83203125" style="66" bestFit="1" customWidth="1"/>
    <col min="9" max="9" width="14.1640625" style="66" bestFit="1" customWidth="1"/>
    <col min="10" max="10" width="7.33203125" style="70" bestFit="1" customWidth="1"/>
    <col min="11" max="11" width="9.83203125" style="66" bestFit="1" customWidth="1"/>
    <col min="12" max="12" width="13.1640625" style="66" customWidth="1"/>
    <col min="13" max="13" width="7.33203125" style="70" bestFit="1" customWidth="1"/>
    <col min="14" max="14" width="9.83203125" style="66" customWidth="1"/>
    <col min="15" max="15" width="14" style="66" customWidth="1"/>
    <col min="16" max="16" width="7.33203125" style="70" bestFit="1" customWidth="1"/>
    <col min="17" max="17" width="9.83203125" style="66" customWidth="1"/>
    <col min="18" max="18" width="13.5" style="66" customWidth="1"/>
    <col min="19" max="19" width="6.1640625" style="70" hidden="1" customWidth="1"/>
    <col min="20" max="20" width="9.83203125" style="66" hidden="1" customWidth="1"/>
    <col min="21" max="21" width="13.5" style="66" hidden="1" customWidth="1"/>
    <col min="22" max="22" width="6.1640625" style="70" hidden="1" customWidth="1"/>
    <col min="23" max="23" width="9.83203125" style="66" hidden="1" customWidth="1"/>
    <col min="24" max="24" width="13.5" style="66" hidden="1" customWidth="1"/>
    <col min="25" max="25" width="6.1640625" style="70" hidden="1" customWidth="1"/>
    <col min="26" max="26" width="9.83203125" style="66" hidden="1" customWidth="1"/>
    <col min="27" max="27" width="13.5" style="66" hidden="1" customWidth="1"/>
    <col min="28" max="28" width="6.1640625" style="70" hidden="1" customWidth="1"/>
    <col min="29" max="29" width="9.83203125" style="66" hidden="1" customWidth="1"/>
    <col min="30" max="30" width="13.5" style="66" hidden="1" customWidth="1"/>
    <col min="31" max="31" width="6.1640625" style="70" hidden="1" customWidth="1"/>
    <col min="32" max="32" width="9.83203125" style="66" hidden="1" customWidth="1"/>
    <col min="33" max="33" width="13.5" style="66" hidden="1" customWidth="1"/>
    <col min="34" max="16384" width="11.5" style="57"/>
  </cols>
  <sheetData>
    <row r="1" spans="1:33" ht="19" x14ac:dyDescent="0.2">
      <c r="A1" s="84"/>
      <c r="B1" s="1" t="s">
        <v>163</v>
      </c>
      <c r="C1" s="267">
        <f>'Final Financial'!E46</f>
        <v>0.25</v>
      </c>
      <c r="D1" s="345" t="s">
        <v>31</v>
      </c>
      <c r="E1" s="346"/>
      <c r="F1" s="347"/>
      <c r="G1" s="345" t="s">
        <v>32</v>
      </c>
      <c r="H1" s="346"/>
      <c r="I1" s="347"/>
      <c r="J1" s="345" t="s">
        <v>33</v>
      </c>
      <c r="K1" s="346"/>
      <c r="L1" s="347"/>
      <c r="M1" s="345" t="s">
        <v>34</v>
      </c>
      <c r="N1" s="346"/>
      <c r="O1" s="347"/>
      <c r="P1" s="345" t="s">
        <v>35</v>
      </c>
      <c r="Q1" s="346"/>
      <c r="R1" s="347"/>
      <c r="S1" s="345" t="s">
        <v>36</v>
      </c>
      <c r="T1" s="346"/>
      <c r="U1" s="347"/>
      <c r="V1" s="345" t="s">
        <v>37</v>
      </c>
      <c r="W1" s="346"/>
      <c r="X1" s="347"/>
      <c r="Y1" s="345" t="s">
        <v>38</v>
      </c>
      <c r="Z1" s="346"/>
      <c r="AA1" s="347"/>
      <c r="AB1" s="340" t="s">
        <v>39</v>
      </c>
      <c r="AC1" s="340"/>
      <c r="AD1" s="340"/>
      <c r="AE1" s="340" t="s">
        <v>107</v>
      </c>
      <c r="AF1" s="340"/>
      <c r="AG1" s="340"/>
    </row>
    <row r="2" spans="1:33" ht="15.75" customHeight="1" x14ac:dyDescent="0.2">
      <c r="A2" s="350"/>
      <c r="B2" s="348" t="s">
        <v>40</v>
      </c>
      <c r="C2" s="352"/>
      <c r="D2" s="341"/>
      <c r="E2" s="342"/>
      <c r="F2" s="343"/>
      <c r="G2" s="341"/>
      <c r="H2" s="342"/>
      <c r="I2" s="343"/>
      <c r="J2" s="341"/>
      <c r="K2" s="342"/>
      <c r="L2" s="343"/>
      <c r="M2" s="341"/>
      <c r="N2" s="342"/>
      <c r="O2" s="343"/>
      <c r="P2" s="341"/>
      <c r="Q2" s="342"/>
      <c r="R2" s="343"/>
      <c r="S2" s="341"/>
      <c r="T2" s="342"/>
      <c r="U2" s="343"/>
      <c r="V2" s="341"/>
      <c r="W2" s="342"/>
      <c r="X2" s="343"/>
      <c r="Y2" s="341"/>
      <c r="Z2" s="342"/>
      <c r="AA2" s="343"/>
      <c r="AB2" s="341"/>
      <c r="AC2" s="342"/>
      <c r="AD2" s="343"/>
      <c r="AE2" s="341"/>
      <c r="AF2" s="342"/>
      <c r="AG2" s="343"/>
    </row>
    <row r="3" spans="1:33" ht="18.75" customHeight="1" x14ac:dyDescent="0.2">
      <c r="A3" s="351"/>
      <c r="B3" s="349"/>
      <c r="C3" s="353"/>
      <c r="D3" s="71" t="s">
        <v>41</v>
      </c>
      <c r="E3" s="72" t="s">
        <v>42</v>
      </c>
      <c r="F3" s="72" t="s">
        <v>43</v>
      </c>
      <c r="G3" s="71" t="s">
        <v>41</v>
      </c>
      <c r="H3" s="72" t="s">
        <v>42</v>
      </c>
      <c r="I3" s="72" t="s">
        <v>43</v>
      </c>
      <c r="J3" s="71" t="s">
        <v>41</v>
      </c>
      <c r="K3" s="72" t="s">
        <v>42</v>
      </c>
      <c r="L3" s="72" t="s">
        <v>43</v>
      </c>
      <c r="M3" s="71" t="s">
        <v>41</v>
      </c>
      <c r="N3" s="72" t="s">
        <v>42</v>
      </c>
      <c r="O3" s="72" t="s">
        <v>43</v>
      </c>
      <c r="P3" s="71" t="s">
        <v>41</v>
      </c>
      <c r="Q3" s="72" t="s">
        <v>42</v>
      </c>
      <c r="R3" s="72" t="s">
        <v>43</v>
      </c>
      <c r="S3" s="71" t="s">
        <v>41</v>
      </c>
      <c r="T3" s="72" t="s">
        <v>42</v>
      </c>
      <c r="U3" s="72" t="s">
        <v>43</v>
      </c>
      <c r="V3" s="71" t="s">
        <v>41</v>
      </c>
      <c r="W3" s="72" t="s">
        <v>42</v>
      </c>
      <c r="X3" s="72" t="s">
        <v>43</v>
      </c>
      <c r="Y3" s="71" t="s">
        <v>41</v>
      </c>
      <c r="Z3" s="72" t="s">
        <v>42</v>
      </c>
      <c r="AA3" s="72" t="s">
        <v>43</v>
      </c>
      <c r="AB3" s="71" t="s">
        <v>41</v>
      </c>
      <c r="AC3" s="72" t="s">
        <v>42</v>
      </c>
      <c r="AD3" s="72" t="s">
        <v>43</v>
      </c>
      <c r="AE3" s="71" t="s">
        <v>41</v>
      </c>
      <c r="AF3" s="72" t="s">
        <v>42</v>
      </c>
      <c r="AG3" s="72" t="s">
        <v>43</v>
      </c>
    </row>
    <row r="4" spans="1:33" x14ac:dyDescent="0.2">
      <c r="A4" s="59"/>
      <c r="B4" s="83" t="s">
        <v>157</v>
      </c>
      <c r="C4" s="67"/>
      <c r="D4" s="67">
        <f>'Final Financial'!E45*2</f>
        <v>70</v>
      </c>
      <c r="E4" s="60">
        <f>'Final Financial (2)'!E38</f>
        <v>300000</v>
      </c>
      <c r="F4" s="60">
        <f>E4*D4</f>
        <v>21000000</v>
      </c>
      <c r="G4" s="67">
        <f>D4*(1+$C$1)</f>
        <v>87.5</v>
      </c>
      <c r="H4" s="60">
        <f>'Final Financial (2)'!F38</f>
        <v>310000</v>
      </c>
      <c r="I4" s="60">
        <f>H4*G4</f>
        <v>27125000</v>
      </c>
      <c r="J4" s="67">
        <f>G4*(1+$C$1)</f>
        <v>109.375</v>
      </c>
      <c r="K4" s="60">
        <f>'Final Financial (2)'!G38</f>
        <v>320500</v>
      </c>
      <c r="L4" s="60">
        <f>K4*J4</f>
        <v>35054687.5</v>
      </c>
      <c r="M4" s="67">
        <f>J4*(1+$C$1)</f>
        <v>136.71875</v>
      </c>
      <c r="N4" s="60">
        <f>'Final Financial (2)'!H38</f>
        <v>331525</v>
      </c>
      <c r="O4" s="60">
        <f>N4*M4</f>
        <v>45325683.59375</v>
      </c>
      <c r="P4" s="67">
        <f>M4*(1+$C$1)</f>
        <v>170.8984375</v>
      </c>
      <c r="Q4" s="60">
        <f>'Final Financial (2)'!I38</f>
        <v>343101.25</v>
      </c>
      <c r="R4" s="60">
        <f>Q4*P4</f>
        <v>58635467.529296875</v>
      </c>
      <c r="S4" s="67"/>
      <c r="T4" s="60"/>
      <c r="U4" s="159"/>
      <c r="V4" s="67"/>
      <c r="W4" s="60"/>
      <c r="X4" s="159"/>
      <c r="Y4" s="67"/>
      <c r="Z4" s="60"/>
      <c r="AA4" s="159"/>
      <c r="AB4" s="67"/>
      <c r="AC4" s="60"/>
      <c r="AD4" s="159"/>
      <c r="AE4" s="67"/>
      <c r="AF4" s="60"/>
      <c r="AG4" s="159"/>
    </row>
    <row r="5" spans="1:33" ht="16" thickBot="1" x14ac:dyDescent="0.25">
      <c r="A5" s="63"/>
      <c r="B5" s="64"/>
      <c r="C5" s="69"/>
      <c r="D5" s="69"/>
      <c r="E5" s="65"/>
      <c r="F5" s="97">
        <f>SUM(F4:F4)</f>
        <v>21000000</v>
      </c>
      <c r="G5" s="69"/>
      <c r="H5" s="65"/>
      <c r="I5" s="97">
        <f>SUM(I4:I4)</f>
        <v>27125000</v>
      </c>
      <c r="J5" s="69"/>
      <c r="K5" s="65"/>
      <c r="L5" s="97">
        <f>SUM(L4:L4)</f>
        <v>35054687.5</v>
      </c>
      <c r="M5" s="69"/>
      <c r="N5" s="65"/>
      <c r="O5" s="97">
        <f>SUM(O4:O4)</f>
        <v>45325683.59375</v>
      </c>
      <c r="P5" s="69"/>
      <c r="Q5" s="65"/>
      <c r="R5" s="97">
        <f>SUM(R4:R4)</f>
        <v>58635467.529296875</v>
      </c>
      <c r="S5" s="69"/>
      <c r="T5" s="65"/>
      <c r="U5" s="97">
        <f>SUM(U4:U4)</f>
        <v>0</v>
      </c>
      <c r="V5" s="69"/>
      <c r="W5" s="65"/>
      <c r="X5" s="97">
        <f>SUM(X4:X4)</f>
        <v>0</v>
      </c>
      <c r="Y5" s="69"/>
      <c r="Z5" s="65"/>
      <c r="AA5" s="97">
        <f>SUM(AA4:AA4)</f>
        <v>0</v>
      </c>
      <c r="AB5" s="69"/>
      <c r="AC5" s="65"/>
      <c r="AD5" s="97">
        <f>SUM(AD4:AD4)</f>
        <v>0</v>
      </c>
      <c r="AE5" s="69"/>
      <c r="AF5" s="65"/>
      <c r="AG5" s="97">
        <f>SUM(AG4:AG4)</f>
        <v>0</v>
      </c>
    </row>
    <row r="6" spans="1:33" s="62" customFormat="1" ht="22" thickBot="1" x14ac:dyDescent="0.25">
      <c r="A6" s="61"/>
      <c r="B6" s="81"/>
      <c r="C6" s="81"/>
      <c r="D6" s="344"/>
      <c r="E6" s="344"/>
      <c r="F6" s="344"/>
      <c r="G6" s="344"/>
      <c r="H6" s="344"/>
      <c r="I6" s="344"/>
      <c r="J6" s="344"/>
      <c r="K6" s="344"/>
      <c r="L6" s="344"/>
      <c r="M6" s="344"/>
      <c r="N6" s="344"/>
      <c r="O6" s="344"/>
      <c r="P6" s="344"/>
      <c r="Q6" s="344"/>
      <c r="R6" s="344"/>
      <c r="S6" s="344"/>
      <c r="T6" s="344"/>
      <c r="U6" s="344"/>
      <c r="V6" s="344"/>
      <c r="W6" s="344"/>
      <c r="X6" s="344"/>
      <c r="Y6" s="344"/>
      <c r="Z6" s="344"/>
      <c r="AA6" s="344"/>
      <c r="AB6" s="344"/>
      <c r="AC6" s="344"/>
      <c r="AD6" s="344"/>
      <c r="AE6" s="344"/>
      <c r="AF6" s="344"/>
      <c r="AG6" s="344"/>
    </row>
    <row r="7" spans="1:33" ht="20" thickBot="1" x14ac:dyDescent="0.25">
      <c r="A7" s="214"/>
      <c r="B7" s="219" t="s">
        <v>15</v>
      </c>
      <c r="C7" s="225" t="s">
        <v>44</v>
      </c>
      <c r="D7" s="226" t="s">
        <v>41</v>
      </c>
      <c r="E7" s="227" t="s">
        <v>42</v>
      </c>
      <c r="F7" s="227" t="s">
        <v>43</v>
      </c>
      <c r="G7" s="228" t="s">
        <v>41</v>
      </c>
      <c r="H7" s="227" t="s">
        <v>42</v>
      </c>
      <c r="I7" s="227" t="s">
        <v>43</v>
      </c>
      <c r="J7" s="228" t="s">
        <v>41</v>
      </c>
      <c r="K7" s="227" t="s">
        <v>42</v>
      </c>
      <c r="L7" s="229" t="s">
        <v>43</v>
      </c>
      <c r="M7" s="217" t="s">
        <v>45</v>
      </c>
      <c r="N7" s="100" t="s">
        <v>42</v>
      </c>
      <c r="O7" s="100" t="s">
        <v>43</v>
      </c>
      <c r="P7" s="99" t="s">
        <v>45</v>
      </c>
      <c r="Q7" s="100" t="s">
        <v>42</v>
      </c>
      <c r="R7" s="101" t="s">
        <v>43</v>
      </c>
      <c r="S7" s="99" t="s">
        <v>45</v>
      </c>
      <c r="T7" s="100" t="s">
        <v>42</v>
      </c>
      <c r="U7" s="101" t="s">
        <v>43</v>
      </c>
      <c r="V7" s="99" t="s">
        <v>45</v>
      </c>
      <c r="W7" s="100" t="s">
        <v>42</v>
      </c>
      <c r="X7" s="101" t="s">
        <v>43</v>
      </c>
      <c r="Y7" s="99" t="s">
        <v>45</v>
      </c>
      <c r="Z7" s="100" t="s">
        <v>42</v>
      </c>
      <c r="AA7" s="101" t="s">
        <v>43</v>
      </c>
      <c r="AB7" s="99" t="s">
        <v>45</v>
      </c>
      <c r="AC7" s="100" t="s">
        <v>42</v>
      </c>
      <c r="AD7" s="101" t="s">
        <v>43</v>
      </c>
      <c r="AE7" s="99" t="s">
        <v>45</v>
      </c>
      <c r="AF7" s="100" t="s">
        <v>42</v>
      </c>
      <c r="AG7" s="101" t="s">
        <v>43</v>
      </c>
    </row>
    <row r="8" spans="1:33" x14ac:dyDescent="0.2">
      <c r="A8" s="104"/>
      <c r="B8" s="220" t="s">
        <v>46</v>
      </c>
      <c r="C8" s="67"/>
      <c r="D8" s="67"/>
      <c r="E8" s="60"/>
      <c r="F8" s="60"/>
      <c r="G8" s="67"/>
      <c r="H8" s="60"/>
      <c r="I8" s="60"/>
      <c r="J8" s="67"/>
      <c r="K8" s="60"/>
      <c r="L8" s="60"/>
      <c r="M8" s="67"/>
      <c r="N8" s="60"/>
      <c r="O8" s="60"/>
      <c r="P8" s="67"/>
      <c r="Q8" s="60"/>
      <c r="R8" s="102"/>
      <c r="S8" s="67"/>
      <c r="T8" s="60"/>
      <c r="U8" s="102"/>
      <c r="V8" s="67"/>
      <c r="W8" s="60"/>
      <c r="X8" s="102"/>
      <c r="Y8" s="67"/>
      <c r="Z8" s="60"/>
      <c r="AA8" s="102"/>
      <c r="AB8" s="67"/>
      <c r="AC8" s="60"/>
      <c r="AD8" s="102"/>
      <c r="AE8" s="67"/>
      <c r="AF8" s="60"/>
      <c r="AG8" s="102"/>
    </row>
    <row r="9" spans="1:33" x14ac:dyDescent="0.2">
      <c r="A9" s="103"/>
      <c r="B9" s="221" t="s">
        <v>106</v>
      </c>
      <c r="C9" s="210"/>
      <c r="D9" s="211"/>
      <c r="E9" s="167"/>
      <c r="F9" s="212"/>
      <c r="G9" s="163"/>
      <c r="H9" s="160"/>
      <c r="I9" s="163"/>
      <c r="J9" s="163"/>
      <c r="K9" s="160"/>
      <c r="L9" s="163"/>
      <c r="M9" s="163"/>
      <c r="N9" s="160"/>
      <c r="O9" s="163"/>
      <c r="P9" s="163"/>
      <c r="Q9" s="160"/>
      <c r="R9" s="163"/>
      <c r="S9" s="163"/>
      <c r="T9" s="160"/>
      <c r="U9" s="163"/>
      <c r="V9" s="163"/>
      <c r="W9" s="160"/>
      <c r="X9" s="163"/>
      <c r="Y9" s="163"/>
      <c r="Z9" s="160"/>
      <c r="AA9" s="163"/>
      <c r="AB9" s="163"/>
      <c r="AC9" s="160"/>
      <c r="AD9" s="163"/>
      <c r="AE9" s="163"/>
      <c r="AF9" s="160"/>
      <c r="AG9" s="163"/>
    </row>
    <row r="10" spans="1:33" x14ac:dyDescent="0.2">
      <c r="A10" s="104"/>
      <c r="B10" s="221" t="s">
        <v>47</v>
      </c>
      <c r="C10" s="210"/>
      <c r="D10" s="163"/>
      <c r="E10" s="167"/>
      <c r="F10" s="163"/>
      <c r="G10" s="163"/>
      <c r="H10" s="160"/>
      <c r="I10" s="163"/>
      <c r="J10" s="163"/>
      <c r="K10" s="160"/>
      <c r="L10" s="163"/>
      <c r="M10" s="163"/>
      <c r="N10" s="160"/>
      <c r="O10" s="163"/>
      <c r="P10" s="163"/>
      <c r="Q10" s="160"/>
      <c r="R10" s="163"/>
      <c r="S10" s="163"/>
      <c r="T10" s="160"/>
      <c r="U10" s="163"/>
      <c r="V10" s="163"/>
      <c r="W10" s="160"/>
      <c r="X10" s="163"/>
      <c r="Y10" s="163"/>
      <c r="Z10" s="160"/>
      <c r="AA10" s="163"/>
      <c r="AB10" s="163"/>
      <c r="AC10" s="160"/>
      <c r="AD10" s="163"/>
      <c r="AE10" s="163"/>
      <c r="AF10" s="160"/>
      <c r="AG10" s="163"/>
    </row>
    <row r="11" spans="1:33" ht="16" thickBot="1" x14ac:dyDescent="0.25">
      <c r="A11" s="104"/>
      <c r="B11" s="221" t="s">
        <v>48</v>
      </c>
      <c r="C11" s="210"/>
      <c r="D11" s="163"/>
      <c r="E11" s="163"/>
      <c r="F11" s="163"/>
      <c r="G11" s="163"/>
      <c r="H11" s="167"/>
      <c r="I11" s="163"/>
      <c r="J11" s="163"/>
      <c r="K11" s="167"/>
      <c r="L11" s="163"/>
      <c r="M11" s="163"/>
      <c r="N11" s="160"/>
      <c r="O11" s="163"/>
      <c r="P11" s="163"/>
      <c r="Q11" s="160"/>
      <c r="R11" s="163"/>
      <c r="S11" s="163"/>
      <c r="T11" s="160"/>
      <c r="U11" s="163"/>
      <c r="V11" s="163"/>
      <c r="W11" s="160"/>
      <c r="X11" s="163"/>
      <c r="Y11" s="163"/>
      <c r="Z11" s="160"/>
      <c r="AA11" s="163"/>
      <c r="AB11" s="163"/>
      <c r="AC11" s="160"/>
      <c r="AD11" s="163"/>
      <c r="AE11" s="163"/>
      <c r="AF11" s="160"/>
      <c r="AG11" s="163"/>
    </row>
    <row r="12" spans="1:33" s="171" customFormat="1" ht="16" thickBot="1" x14ac:dyDescent="0.25">
      <c r="A12" s="215"/>
      <c r="B12" s="222" t="s">
        <v>116</v>
      </c>
      <c r="C12" s="223"/>
      <c r="D12" s="224">
        <f>D4</f>
        <v>70</v>
      </c>
      <c r="E12" s="224">
        <f>'Final Financial'!E40</f>
        <v>30000</v>
      </c>
      <c r="F12" s="224">
        <f>E12*D12</f>
        <v>2100000</v>
      </c>
      <c r="G12" s="224">
        <f>G4</f>
        <v>87.5</v>
      </c>
      <c r="H12" s="224">
        <f>E12</f>
        <v>30000</v>
      </c>
      <c r="I12" s="224">
        <f>H12*G12</f>
        <v>2625000</v>
      </c>
      <c r="J12" s="224">
        <f>J4</f>
        <v>109.375</v>
      </c>
      <c r="K12" s="224">
        <f>H12</f>
        <v>30000</v>
      </c>
      <c r="L12" s="224">
        <f>K12*J12</f>
        <v>3281250</v>
      </c>
      <c r="M12" s="224">
        <f>M4</f>
        <v>136.71875</v>
      </c>
      <c r="N12" s="224">
        <f>K12</f>
        <v>30000</v>
      </c>
      <c r="O12" s="224">
        <f>N12*M12</f>
        <v>4101562.5</v>
      </c>
      <c r="P12" s="224">
        <f>P4</f>
        <v>170.8984375</v>
      </c>
      <c r="Q12" s="224">
        <f>N12</f>
        <v>30000</v>
      </c>
      <c r="R12" s="224">
        <f>Q12*P12</f>
        <v>5126953.125</v>
      </c>
      <c r="S12" s="213"/>
      <c r="T12" s="213"/>
      <c r="U12" s="213"/>
      <c r="V12" s="213"/>
      <c r="W12" s="213"/>
      <c r="X12" s="213"/>
      <c r="Y12" s="213"/>
      <c r="Z12" s="213"/>
      <c r="AA12" s="213"/>
      <c r="AB12" s="213"/>
      <c r="AC12" s="213"/>
      <c r="AD12" s="213"/>
      <c r="AE12" s="213"/>
      <c r="AF12" s="213"/>
      <c r="AG12" s="213"/>
    </row>
    <row r="13" spans="1:33" s="171" customFormat="1" ht="16" thickBot="1" x14ac:dyDescent="0.25">
      <c r="A13" s="215"/>
      <c r="B13" s="245" t="s">
        <v>118</v>
      </c>
      <c r="C13" s="246"/>
      <c r="D13" s="224">
        <f>D12</f>
        <v>70</v>
      </c>
      <c r="E13" s="247">
        <f>C39</f>
        <v>0</v>
      </c>
      <c r="F13" s="224">
        <f>E13*D13</f>
        <v>0</v>
      </c>
      <c r="G13" s="224">
        <f>G12</f>
        <v>87.5</v>
      </c>
      <c r="H13" s="247">
        <f>C39</f>
        <v>0</v>
      </c>
      <c r="I13" s="224">
        <f>H13*G13</f>
        <v>0</v>
      </c>
      <c r="J13" s="224">
        <f>J12</f>
        <v>109.375</v>
      </c>
      <c r="K13" s="247">
        <f>C39</f>
        <v>0</v>
      </c>
      <c r="L13" s="224">
        <f>K13*J13</f>
        <v>0</v>
      </c>
      <c r="M13" s="224">
        <f>M12</f>
        <v>136.71875</v>
      </c>
      <c r="N13" s="247">
        <f>C39</f>
        <v>0</v>
      </c>
      <c r="O13" s="224">
        <f>N13*M13</f>
        <v>0</v>
      </c>
      <c r="P13" s="224">
        <f>P12</f>
        <v>170.8984375</v>
      </c>
      <c r="Q13" s="247">
        <f>C39</f>
        <v>0</v>
      </c>
      <c r="R13" s="224">
        <f>Q13*P13</f>
        <v>0</v>
      </c>
      <c r="S13" s="247"/>
      <c r="T13" s="247"/>
      <c r="U13" s="247"/>
      <c r="V13" s="247"/>
      <c r="W13" s="247"/>
      <c r="X13" s="247"/>
      <c r="Y13" s="247"/>
      <c r="Z13" s="247"/>
      <c r="AA13" s="247"/>
      <c r="AB13" s="247"/>
      <c r="AC13" s="247"/>
      <c r="AD13" s="247"/>
      <c r="AE13" s="247"/>
      <c r="AF13" s="247"/>
      <c r="AG13" s="247"/>
    </row>
    <row r="14" spans="1:33" s="62" customFormat="1" ht="22" thickBot="1" x14ac:dyDescent="0.25">
      <c r="A14" s="216"/>
      <c r="B14" s="251" t="s">
        <v>45</v>
      </c>
      <c r="C14" s="81"/>
      <c r="D14" s="249"/>
      <c r="E14" s="249"/>
      <c r="F14" s="252">
        <f>SUM(F12:F13)</f>
        <v>2100000</v>
      </c>
      <c r="G14" s="249"/>
      <c r="H14" s="249"/>
      <c r="I14" s="252">
        <f>SUM(I12:I13)</f>
        <v>2625000</v>
      </c>
      <c r="J14" s="249"/>
      <c r="K14" s="249"/>
      <c r="L14" s="252">
        <f>SUM(L12:L13)</f>
        <v>3281250</v>
      </c>
      <c r="M14" s="250"/>
      <c r="N14" s="250"/>
      <c r="O14" s="252">
        <f>SUM(O12:O13)</f>
        <v>4101562.5</v>
      </c>
      <c r="P14" s="250"/>
      <c r="Q14" s="250"/>
      <c r="R14" s="252">
        <f>SUM(R12:R13)</f>
        <v>5126953.125</v>
      </c>
      <c r="S14" s="340"/>
      <c r="T14" s="340"/>
      <c r="U14" s="340"/>
      <c r="V14" s="340"/>
      <c r="W14" s="340"/>
      <c r="X14" s="340"/>
      <c r="Y14" s="340"/>
      <c r="Z14" s="340"/>
      <c r="AA14" s="340"/>
      <c r="AB14" s="340"/>
      <c r="AC14" s="340"/>
      <c r="AD14" s="340"/>
      <c r="AE14" s="340"/>
      <c r="AF14" s="340"/>
      <c r="AG14" s="340"/>
    </row>
    <row r="15" spans="1:33" ht="20" thickBot="1" x14ac:dyDescent="0.25">
      <c r="A15" s="73"/>
      <c r="B15" s="218" t="s">
        <v>20</v>
      </c>
      <c r="C15" s="74" t="s">
        <v>44</v>
      </c>
      <c r="D15" s="226" t="s">
        <v>41</v>
      </c>
      <c r="E15" s="75" t="s">
        <v>42</v>
      </c>
      <c r="F15" s="75" t="s">
        <v>43</v>
      </c>
      <c r="G15" s="226" t="s">
        <v>41</v>
      </c>
      <c r="H15" s="75" t="s">
        <v>42</v>
      </c>
      <c r="I15" s="75" t="s">
        <v>43</v>
      </c>
      <c r="J15" s="226" t="s">
        <v>41</v>
      </c>
      <c r="K15" s="75" t="s">
        <v>42</v>
      </c>
      <c r="L15" s="75" t="s">
        <v>43</v>
      </c>
      <c r="M15" s="74" t="s">
        <v>45</v>
      </c>
      <c r="N15" s="75" t="s">
        <v>42</v>
      </c>
      <c r="O15" s="75" t="s">
        <v>43</v>
      </c>
      <c r="P15" s="74" t="s">
        <v>45</v>
      </c>
      <c r="Q15" s="75" t="s">
        <v>42</v>
      </c>
      <c r="R15" s="75" t="s">
        <v>43</v>
      </c>
      <c r="S15" s="74" t="s">
        <v>45</v>
      </c>
      <c r="T15" s="75" t="s">
        <v>42</v>
      </c>
      <c r="U15" s="75" t="s">
        <v>43</v>
      </c>
      <c r="V15" s="74" t="s">
        <v>45</v>
      </c>
      <c r="W15" s="75" t="s">
        <v>42</v>
      </c>
      <c r="X15" s="75" t="s">
        <v>43</v>
      </c>
      <c r="Y15" s="74" t="s">
        <v>45</v>
      </c>
      <c r="Z15" s="75" t="s">
        <v>42</v>
      </c>
      <c r="AA15" s="75" t="s">
        <v>43</v>
      </c>
      <c r="AB15" s="74" t="s">
        <v>45</v>
      </c>
      <c r="AC15" s="75" t="s">
        <v>42</v>
      </c>
      <c r="AD15" s="75" t="s">
        <v>43</v>
      </c>
      <c r="AE15" s="74" t="s">
        <v>45</v>
      </c>
      <c r="AF15" s="75" t="s">
        <v>42</v>
      </c>
      <c r="AG15" s="75" t="s">
        <v>43</v>
      </c>
    </row>
    <row r="16" spans="1:33" x14ac:dyDescent="0.2">
      <c r="A16" s="76"/>
      <c r="B16" s="82"/>
      <c r="C16" s="67"/>
      <c r="D16" s="67"/>
      <c r="E16" s="60"/>
      <c r="F16" s="60"/>
      <c r="G16" s="67"/>
      <c r="H16" s="60"/>
      <c r="I16" s="60"/>
      <c r="J16" s="67"/>
      <c r="K16" s="60"/>
      <c r="L16" s="60"/>
      <c r="M16" s="67"/>
      <c r="N16" s="60"/>
      <c r="O16" s="60"/>
      <c r="P16" s="67"/>
      <c r="Q16" s="60"/>
      <c r="R16" s="60"/>
      <c r="S16" s="67"/>
      <c r="T16" s="60"/>
      <c r="U16" s="60"/>
      <c r="V16" s="67"/>
      <c r="W16" s="60"/>
      <c r="X16" s="60"/>
      <c r="Y16" s="67"/>
      <c r="Z16" s="60"/>
      <c r="AA16" s="60"/>
      <c r="AB16" s="67"/>
      <c r="AC16" s="60"/>
      <c r="AD16" s="60"/>
      <c r="AE16" s="67"/>
      <c r="AF16" s="60"/>
      <c r="AG16" s="60"/>
    </row>
    <row r="17" spans="1:33" x14ac:dyDescent="0.2">
      <c r="A17" s="76"/>
      <c r="B17" s="83" t="s">
        <v>49</v>
      </c>
      <c r="C17" s="68"/>
      <c r="D17" s="68"/>
      <c r="E17" s="60"/>
      <c r="F17" s="60">
        <f>CAPEX!G10</f>
        <v>403333.33333333337</v>
      </c>
      <c r="G17" s="68"/>
      <c r="H17" s="60"/>
      <c r="I17" s="60">
        <f>CAPEX!G10</f>
        <v>403333.33333333337</v>
      </c>
      <c r="J17" s="68"/>
      <c r="K17" s="60"/>
      <c r="L17" s="60">
        <f>CAPEX!G10</f>
        <v>403333.33333333337</v>
      </c>
      <c r="M17" s="68"/>
      <c r="N17" s="60"/>
      <c r="O17" s="60">
        <f>CAPEX!G10</f>
        <v>403333.33333333337</v>
      </c>
      <c r="P17" s="68"/>
      <c r="Q17" s="60"/>
      <c r="R17" s="60">
        <f>CAPEX!G10</f>
        <v>403333.33333333337</v>
      </c>
      <c r="S17" s="68"/>
      <c r="T17" s="60"/>
      <c r="U17" s="60"/>
      <c r="V17" s="68"/>
      <c r="W17" s="60"/>
      <c r="X17" s="60"/>
      <c r="Y17" s="68"/>
      <c r="Z17" s="60"/>
      <c r="AA17" s="60"/>
      <c r="AB17" s="68"/>
      <c r="AC17" s="60"/>
      <c r="AD17" s="60"/>
      <c r="AE17" s="68"/>
      <c r="AF17" s="60"/>
      <c r="AG17" s="60"/>
    </row>
    <row r="18" spans="1:33" x14ac:dyDescent="0.2">
      <c r="A18" s="76"/>
      <c r="B18" s="83"/>
      <c r="C18" s="67"/>
      <c r="D18" s="67"/>
      <c r="E18" s="60"/>
      <c r="F18" s="60"/>
      <c r="G18" s="67"/>
      <c r="H18" s="60"/>
      <c r="I18" s="60"/>
      <c r="J18" s="67"/>
      <c r="K18" s="60"/>
      <c r="L18" s="60"/>
      <c r="M18" s="67"/>
      <c r="N18" s="60"/>
      <c r="O18" s="60"/>
      <c r="P18" s="67"/>
      <c r="Q18" s="60"/>
      <c r="R18" s="60"/>
      <c r="S18" s="67"/>
      <c r="T18" s="60"/>
      <c r="U18" s="60"/>
      <c r="V18" s="67"/>
      <c r="W18" s="60"/>
      <c r="X18" s="60"/>
      <c r="Y18" s="67"/>
      <c r="Z18" s="60"/>
      <c r="AA18" s="60"/>
      <c r="AB18" s="67"/>
      <c r="AC18" s="60"/>
      <c r="AD18" s="60"/>
      <c r="AE18" s="67"/>
      <c r="AF18" s="60"/>
      <c r="AG18" s="60"/>
    </row>
    <row r="19" spans="1:33" x14ac:dyDescent="0.2">
      <c r="A19" s="76"/>
      <c r="B19" s="82"/>
      <c r="C19" s="67"/>
      <c r="D19" s="67"/>
      <c r="E19" s="60"/>
      <c r="F19" s="60"/>
      <c r="G19" s="67"/>
      <c r="H19" s="60"/>
      <c r="I19" s="60"/>
      <c r="J19" s="67"/>
      <c r="K19" s="60"/>
      <c r="L19" s="60"/>
      <c r="M19" s="67"/>
      <c r="N19" s="60"/>
      <c r="O19" s="60"/>
      <c r="P19" s="67"/>
      <c r="Q19" s="60"/>
      <c r="R19" s="60"/>
      <c r="S19" s="67"/>
      <c r="T19" s="60"/>
      <c r="U19" s="60"/>
      <c r="V19" s="67"/>
      <c r="W19" s="60"/>
      <c r="X19" s="60"/>
      <c r="Y19" s="67"/>
      <c r="Z19" s="60"/>
      <c r="AA19" s="60"/>
      <c r="AB19" s="67"/>
      <c r="AC19" s="60"/>
      <c r="AD19" s="60"/>
      <c r="AE19" s="67"/>
      <c r="AF19" s="60"/>
      <c r="AG19" s="60"/>
    </row>
    <row r="20" spans="1:33" ht="16" thickBot="1" x14ac:dyDescent="0.25">
      <c r="A20" s="77"/>
      <c r="B20" s="78"/>
      <c r="C20" s="79"/>
      <c r="D20" s="79"/>
      <c r="E20" s="80"/>
      <c r="F20" s="208">
        <f>SUM(F17:F19)</f>
        <v>403333.33333333337</v>
      </c>
      <c r="G20" s="209"/>
      <c r="H20" s="208"/>
      <c r="I20" s="208">
        <f>SUM(I17:I19)</f>
        <v>403333.33333333337</v>
      </c>
      <c r="J20" s="209"/>
      <c r="K20" s="208"/>
      <c r="L20" s="208">
        <f>SUM(L17:L19)</f>
        <v>403333.33333333337</v>
      </c>
      <c r="M20" s="79"/>
      <c r="N20" s="80"/>
      <c r="O20" s="80">
        <f>SUM(O17:O19)</f>
        <v>403333.33333333337</v>
      </c>
      <c r="P20" s="79"/>
      <c r="Q20" s="80"/>
      <c r="R20" s="80">
        <f>SUM(R17:R19)</f>
        <v>403333.33333333337</v>
      </c>
      <c r="S20" s="79"/>
      <c r="T20" s="80"/>
      <c r="U20" s="80">
        <f>SUM(U17:U19)</f>
        <v>0</v>
      </c>
      <c r="V20" s="79"/>
      <c r="W20" s="80"/>
      <c r="X20" s="80">
        <f>SUM(X17:X19)</f>
        <v>0</v>
      </c>
      <c r="Y20" s="79"/>
      <c r="Z20" s="80"/>
      <c r="AA20" s="80">
        <f>SUM(AA17:AA19)</f>
        <v>0</v>
      </c>
      <c r="AB20" s="79"/>
      <c r="AC20" s="80"/>
      <c r="AD20" s="80">
        <f>SUM(AD17:AD19)</f>
        <v>0</v>
      </c>
      <c r="AE20" s="79"/>
      <c r="AF20" s="80"/>
      <c r="AG20" s="80">
        <f>SUM(AG17:AG19)</f>
        <v>0</v>
      </c>
    </row>
    <row r="23" spans="1:33" x14ac:dyDescent="0.2">
      <c r="C23" s="248"/>
    </row>
    <row r="24" spans="1:33" x14ac:dyDescent="0.2">
      <c r="C24" s="248"/>
    </row>
    <row r="26" spans="1:33" x14ac:dyDescent="0.2">
      <c r="B26" s="171"/>
    </row>
    <row r="29" spans="1:33" x14ac:dyDescent="0.2">
      <c r="C29" s="248"/>
    </row>
    <row r="31" spans="1:33" x14ac:dyDescent="0.2">
      <c r="B31" s="171"/>
    </row>
    <row r="34" spans="1:33" s="172" customFormat="1" x14ac:dyDescent="0.2">
      <c r="A34" s="255"/>
      <c r="B34" s="66"/>
      <c r="C34" s="70"/>
      <c r="D34" s="70"/>
      <c r="E34" s="66"/>
      <c r="F34" s="66"/>
      <c r="G34" s="70"/>
      <c r="H34" s="66"/>
      <c r="I34" s="66"/>
      <c r="J34" s="70"/>
      <c r="K34" s="66"/>
      <c r="L34" s="66"/>
      <c r="M34" s="70"/>
      <c r="N34" s="66"/>
      <c r="O34" s="66"/>
      <c r="P34" s="70"/>
      <c r="Q34" s="66"/>
      <c r="R34" s="66"/>
      <c r="S34" s="70"/>
      <c r="T34" s="66"/>
      <c r="U34" s="66"/>
      <c r="V34" s="70"/>
      <c r="W34" s="66"/>
      <c r="X34" s="66"/>
      <c r="Y34" s="70"/>
      <c r="Z34" s="66"/>
      <c r="AA34" s="66"/>
      <c r="AB34" s="70"/>
      <c r="AC34" s="66"/>
      <c r="AD34" s="66"/>
      <c r="AE34" s="70"/>
      <c r="AF34" s="66"/>
      <c r="AG34" s="66"/>
    </row>
    <row r="39" spans="1:33" x14ac:dyDescent="0.2">
      <c r="C39" s="248"/>
    </row>
  </sheetData>
  <mergeCells count="38">
    <mergeCell ref="S1:U1"/>
    <mergeCell ref="V1:X1"/>
    <mergeCell ref="A2:A3"/>
    <mergeCell ref="D6:F6"/>
    <mergeCell ref="G6:I6"/>
    <mergeCell ref="J6:L6"/>
    <mergeCell ref="C2:C3"/>
    <mergeCell ref="M1:O1"/>
    <mergeCell ref="M2:O2"/>
    <mergeCell ref="P1:R1"/>
    <mergeCell ref="P2:R2"/>
    <mergeCell ref="D1:F1"/>
    <mergeCell ref="D2:F2"/>
    <mergeCell ref="G1:I1"/>
    <mergeCell ref="G2:I2"/>
    <mergeCell ref="J1:L1"/>
    <mergeCell ref="V6:X6"/>
    <mergeCell ref="Y6:AA6"/>
    <mergeCell ref="M6:O6"/>
    <mergeCell ref="P6:R6"/>
    <mergeCell ref="B2:B3"/>
    <mergeCell ref="J2:L2"/>
    <mergeCell ref="AB1:AD1"/>
    <mergeCell ref="AE1:AG1"/>
    <mergeCell ref="AB2:AD2"/>
    <mergeCell ref="AE2:AG2"/>
    <mergeCell ref="S14:U14"/>
    <mergeCell ref="V14:X14"/>
    <mergeCell ref="Y14:AA14"/>
    <mergeCell ref="AB6:AD6"/>
    <mergeCell ref="AE6:AG6"/>
    <mergeCell ref="AB14:AD14"/>
    <mergeCell ref="AE14:AG14"/>
    <mergeCell ref="Y1:AA1"/>
    <mergeCell ref="S2:U2"/>
    <mergeCell ref="V2:X2"/>
    <mergeCell ref="Y2:AA2"/>
    <mergeCell ref="S6:U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19A9-C24A-3149-93A7-B7083E8C56FE}">
  <sheetPr>
    <tabColor rgb="FF92D050"/>
  </sheetPr>
  <dimension ref="A1:AC105"/>
  <sheetViews>
    <sheetView showGridLines="0" topLeftCell="A5" zoomScale="112" zoomScaleNormal="100" zoomScaleSheetLayoutView="55" workbookViewId="0">
      <pane xSplit="2" ySplit="2" topLeftCell="C7" activePane="bottomRight" state="frozen"/>
      <selection activeCell="A5" sqref="A5"/>
      <selection pane="topRight" activeCell="C5" sqref="C5"/>
      <selection pane="bottomLeft" activeCell="A7" sqref="A7"/>
      <selection pane="bottomRight" activeCell="C38" sqref="C38"/>
    </sheetView>
  </sheetViews>
  <sheetFormatPr baseColWidth="10" defaultColWidth="9.1640625" defaultRowHeight="13" x14ac:dyDescent="0.15"/>
  <cols>
    <col min="1" max="1" width="10.6640625" style="2" customWidth="1"/>
    <col min="2" max="2" width="55.5" style="2" customWidth="1"/>
    <col min="3" max="3" width="14.33203125" style="2" customWidth="1"/>
    <col min="4" max="4" width="14.33203125" style="205" customWidth="1"/>
    <col min="5" max="5" width="14.33203125" style="98" customWidth="1"/>
    <col min="6" max="6" width="14.33203125" style="2" customWidth="1"/>
    <col min="7" max="7" width="14.33203125" style="205" customWidth="1"/>
    <col min="8" max="8" width="14.33203125" style="98" customWidth="1"/>
    <col min="9" max="9" width="14.33203125" style="2" customWidth="1"/>
    <col min="10" max="10" width="14.33203125" style="205" customWidth="1"/>
    <col min="11" max="11" width="14.33203125" style="98" customWidth="1"/>
    <col min="12" max="12" width="14.33203125" style="2" customWidth="1"/>
    <col min="13" max="13" width="14.33203125" style="205" customWidth="1"/>
    <col min="14" max="14" width="14.33203125" style="98" customWidth="1"/>
    <col min="15" max="15" width="14.33203125" style="2" customWidth="1"/>
    <col min="16" max="16" width="14.33203125" style="205" customWidth="1"/>
    <col min="17" max="17" width="14.33203125" style="98" customWidth="1"/>
    <col min="18" max="18" width="14.33203125" style="98" hidden="1" customWidth="1"/>
    <col min="19" max="19" width="14.1640625" style="98" hidden="1" customWidth="1"/>
    <col min="20" max="20" width="14.33203125" style="98" hidden="1" customWidth="1"/>
    <col min="21" max="21" width="13.6640625" style="98" hidden="1" customWidth="1"/>
    <col min="22" max="22" width="14.33203125" style="98" hidden="1" customWidth="1"/>
    <col min="23" max="23" width="13.6640625" style="98" hidden="1" customWidth="1"/>
    <col min="24" max="24" width="14.33203125" style="98" hidden="1" customWidth="1"/>
    <col min="25" max="25" width="13.6640625" style="98" hidden="1" customWidth="1"/>
    <col min="26" max="26" width="14.33203125" style="98" hidden="1" customWidth="1"/>
    <col min="27" max="27" width="13.6640625" style="98" hidden="1" customWidth="1"/>
    <col min="28" max="28" width="14.33203125" style="98" hidden="1" customWidth="1"/>
    <col min="29" max="29" width="2.1640625" style="98" hidden="1" customWidth="1"/>
    <col min="30" max="30" width="9.1640625" style="2" customWidth="1"/>
    <col min="31" max="16384" width="9.1640625" style="2"/>
  </cols>
  <sheetData>
    <row r="1" spans="1:29" ht="16" x14ac:dyDescent="0.2">
      <c r="A1" s="360" t="s">
        <v>50</v>
      </c>
      <c r="B1" s="361"/>
      <c r="C1" s="361"/>
      <c r="D1" s="361"/>
      <c r="E1" s="361"/>
      <c r="F1" s="168"/>
      <c r="G1" s="192"/>
      <c r="H1" s="164"/>
      <c r="I1" s="168"/>
      <c r="J1" s="192"/>
      <c r="K1" s="2"/>
      <c r="L1" s="173"/>
      <c r="M1" s="192"/>
      <c r="N1" s="2"/>
      <c r="O1" s="173"/>
      <c r="P1" s="19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6" x14ac:dyDescent="0.2">
      <c r="A2" s="361" t="s">
        <v>51</v>
      </c>
      <c r="B2" s="361"/>
      <c r="C2" s="361"/>
      <c r="D2" s="361"/>
      <c r="E2" s="361"/>
      <c r="F2" s="168"/>
      <c r="G2" s="192"/>
      <c r="H2" s="164"/>
      <c r="I2" s="168"/>
      <c r="J2" s="192"/>
      <c r="K2" s="2"/>
      <c r="L2" s="173"/>
      <c r="M2" s="192"/>
      <c r="N2" s="2"/>
      <c r="O2" s="173"/>
      <c r="P2" s="19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s="3" customFormat="1" ht="16" x14ac:dyDescent="0.2">
      <c r="A3" s="361" t="s">
        <v>52</v>
      </c>
      <c r="B3" s="361"/>
      <c r="C3" s="361"/>
      <c r="D3" s="361"/>
      <c r="E3" s="361"/>
      <c r="F3" s="168"/>
      <c r="G3" s="192"/>
      <c r="H3" s="164"/>
      <c r="I3" s="168"/>
      <c r="J3" s="192"/>
      <c r="L3" s="173"/>
      <c r="M3" s="192"/>
      <c r="O3" s="173"/>
      <c r="P3" s="192"/>
    </row>
    <row r="4" spans="1:29" s="3" customFormat="1" ht="16" x14ac:dyDescent="0.2">
      <c r="A4" s="4"/>
      <c r="B4" s="4"/>
      <c r="C4" s="4"/>
      <c r="D4" s="193"/>
      <c r="E4" s="4"/>
      <c r="F4" s="4"/>
      <c r="G4" s="193"/>
      <c r="H4" s="4"/>
      <c r="I4" s="4"/>
      <c r="J4" s="193"/>
      <c r="K4" s="4"/>
      <c r="L4" s="4"/>
      <c r="M4" s="193"/>
      <c r="N4" s="4"/>
      <c r="O4" s="4"/>
      <c r="P4" s="19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s="3" customFormat="1" ht="16" x14ac:dyDescent="0.2">
      <c r="A5" s="362" t="s">
        <v>53</v>
      </c>
      <c r="B5" s="362"/>
      <c r="C5" s="362"/>
      <c r="D5" s="362"/>
      <c r="E5" s="362"/>
      <c r="F5" s="169"/>
      <c r="G5" s="193"/>
      <c r="H5" s="165"/>
      <c r="I5" s="169"/>
      <c r="J5" s="193"/>
      <c r="L5" s="174"/>
      <c r="M5" s="193"/>
      <c r="O5" s="174"/>
      <c r="P5" s="193"/>
    </row>
    <row r="6" spans="1:29" s="3" customFormat="1" ht="18.75" customHeight="1" x14ac:dyDescent="0.2">
      <c r="A6" s="363"/>
      <c r="B6" s="363"/>
      <c r="C6" s="363"/>
      <c r="D6" s="363"/>
      <c r="E6" s="363"/>
      <c r="F6" s="170"/>
      <c r="G6" s="195"/>
      <c r="H6" s="166"/>
      <c r="I6" s="170"/>
      <c r="J6" s="195"/>
      <c r="L6" s="175"/>
      <c r="M6" s="195"/>
      <c r="O6" s="175"/>
      <c r="P6" s="195"/>
    </row>
    <row r="7" spans="1:29" s="3" customFormat="1" ht="16" x14ac:dyDescent="0.2">
      <c r="D7" s="195"/>
      <c r="G7" s="195"/>
      <c r="J7" s="195"/>
      <c r="M7" s="195"/>
      <c r="P7" s="195"/>
    </row>
    <row r="8" spans="1:29" s="3" customFormat="1" ht="17" thickBot="1" x14ac:dyDescent="0.25">
      <c r="C8" s="178">
        <v>0.1</v>
      </c>
      <c r="D8" s="354" t="s">
        <v>1</v>
      </c>
      <c r="E8" s="355"/>
      <c r="F8" s="178"/>
      <c r="G8" s="354" t="s">
        <v>2</v>
      </c>
      <c r="H8" s="355"/>
      <c r="I8" s="178"/>
      <c r="J8" s="354" t="s">
        <v>3</v>
      </c>
      <c r="K8" s="355"/>
      <c r="L8" s="178"/>
      <c r="M8" s="354" t="s">
        <v>4</v>
      </c>
      <c r="N8" s="355"/>
      <c r="O8" s="178"/>
      <c r="P8" s="354" t="s">
        <v>5</v>
      </c>
      <c r="Q8" s="355"/>
      <c r="R8" s="179"/>
      <c r="S8" s="180"/>
      <c r="T8" s="354"/>
      <c r="U8" s="355"/>
      <c r="V8" s="354"/>
      <c r="W8" s="355"/>
      <c r="X8" s="354"/>
      <c r="Y8" s="355"/>
      <c r="Z8" s="354"/>
      <c r="AA8" s="355"/>
      <c r="AB8" s="354"/>
      <c r="AC8" s="355"/>
    </row>
    <row r="9" spans="1:29" s="3" customFormat="1" ht="15.75" customHeight="1" x14ac:dyDescent="0.2">
      <c r="A9" s="358" t="s">
        <v>54</v>
      </c>
      <c r="B9" s="356" t="s">
        <v>55</v>
      </c>
      <c r="C9" s="356" t="s">
        <v>56</v>
      </c>
      <c r="D9" s="356" t="s">
        <v>57</v>
      </c>
      <c r="E9" s="356" t="s">
        <v>58</v>
      </c>
      <c r="F9" s="356" t="s">
        <v>56</v>
      </c>
      <c r="G9" s="356" t="s">
        <v>57</v>
      </c>
      <c r="H9" s="356" t="s">
        <v>58</v>
      </c>
      <c r="I9" s="356" t="s">
        <v>56</v>
      </c>
      <c r="J9" s="356" t="s">
        <v>57</v>
      </c>
      <c r="K9" s="356" t="s">
        <v>58</v>
      </c>
      <c r="L9" s="356" t="s">
        <v>56</v>
      </c>
      <c r="M9" s="356" t="s">
        <v>57</v>
      </c>
      <c r="N9" s="356" t="s">
        <v>58</v>
      </c>
      <c r="O9" s="356" t="s">
        <v>56</v>
      </c>
      <c r="P9" s="356" t="s">
        <v>57</v>
      </c>
      <c r="Q9" s="356" t="s">
        <v>58</v>
      </c>
      <c r="R9" s="356"/>
      <c r="S9" s="356"/>
      <c r="T9" s="356"/>
      <c r="U9" s="356"/>
      <c r="V9" s="356"/>
      <c r="W9" s="356"/>
      <c r="X9" s="356"/>
      <c r="Y9" s="356"/>
      <c r="Z9" s="356"/>
      <c r="AA9" s="356"/>
      <c r="AB9" s="356"/>
      <c r="AC9" s="356"/>
    </row>
    <row r="10" spans="1:29" s="3" customFormat="1" ht="16.5" customHeight="1" thickBot="1" x14ac:dyDescent="0.25">
      <c r="A10" s="359"/>
      <c r="B10" s="357"/>
      <c r="C10" s="357"/>
      <c r="D10" s="357"/>
      <c r="E10" s="357"/>
      <c r="F10" s="357"/>
      <c r="G10" s="357"/>
      <c r="H10" s="357"/>
      <c r="I10" s="357"/>
      <c r="J10" s="357"/>
      <c r="K10" s="357"/>
      <c r="L10" s="357"/>
      <c r="M10" s="357"/>
      <c r="N10" s="357"/>
      <c r="O10" s="357"/>
      <c r="P10" s="357"/>
      <c r="Q10" s="357"/>
      <c r="R10" s="357"/>
      <c r="S10" s="357"/>
      <c r="T10" s="357"/>
      <c r="U10" s="357"/>
      <c r="V10" s="357"/>
      <c r="W10" s="357"/>
      <c r="X10" s="357"/>
      <c r="Y10" s="357"/>
      <c r="Z10" s="357"/>
      <c r="AA10" s="357"/>
      <c r="AB10" s="357"/>
      <c r="AC10" s="357"/>
    </row>
    <row r="11" spans="1:29" s="3" customFormat="1" ht="16" x14ac:dyDescent="0.2">
      <c r="A11" s="5">
        <v>1</v>
      </c>
      <c r="B11" s="7" t="s">
        <v>59</v>
      </c>
      <c r="C11" s="6"/>
      <c r="D11" s="183"/>
      <c r="E11" s="6"/>
      <c r="F11" s="6"/>
      <c r="G11" s="183"/>
      <c r="H11" s="6"/>
      <c r="I11" s="6"/>
      <c r="J11" s="183"/>
      <c r="K11" s="6"/>
      <c r="L11" s="6"/>
      <c r="M11" s="183"/>
      <c r="N11" s="6"/>
      <c r="O11" s="6"/>
      <c r="P11" s="183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s="3" customFormat="1" ht="16" x14ac:dyDescent="0.2">
      <c r="A12" s="5"/>
      <c r="B12" s="7"/>
      <c r="C12" s="6"/>
      <c r="D12" s="183"/>
      <c r="E12" s="6"/>
      <c r="F12" s="6"/>
      <c r="G12" s="183"/>
      <c r="H12" s="6"/>
      <c r="I12" s="6"/>
      <c r="J12" s="183"/>
      <c r="K12" s="6"/>
      <c r="L12" s="6"/>
      <c r="M12" s="183"/>
      <c r="N12" s="6"/>
      <c r="O12" s="6"/>
      <c r="P12" s="183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s="3" customFormat="1" ht="16" x14ac:dyDescent="0.2">
      <c r="A13" s="5"/>
      <c r="B13" s="7" t="s">
        <v>60</v>
      </c>
      <c r="C13" s="6"/>
      <c r="D13" s="183"/>
      <c r="E13" s="6"/>
      <c r="F13" s="6"/>
      <c r="G13" s="183"/>
      <c r="H13" s="6"/>
      <c r="I13" s="6"/>
      <c r="J13" s="183"/>
      <c r="K13" s="6"/>
      <c r="L13" s="6"/>
      <c r="M13" s="183"/>
      <c r="N13" s="6"/>
      <c r="O13" s="6"/>
      <c r="P13" s="183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s="3" customFormat="1" ht="16" x14ac:dyDescent="0.2">
      <c r="A14" s="8"/>
      <c r="B14" s="30" t="s">
        <v>177</v>
      </c>
      <c r="C14" s="10">
        <v>1500000</v>
      </c>
      <c r="D14" s="196">
        <v>1</v>
      </c>
      <c r="E14" s="143">
        <f t="shared" ref="E14:E15" si="0">D14*C14</f>
        <v>1500000</v>
      </c>
      <c r="F14" s="10">
        <f>C14*(1+$C$8)</f>
        <v>1650000.0000000002</v>
      </c>
      <c r="G14" s="196">
        <f>D14</f>
        <v>1</v>
      </c>
      <c r="H14" s="143">
        <f t="shared" ref="H14:H15" si="1">G14*F14</f>
        <v>1650000.0000000002</v>
      </c>
      <c r="I14" s="10">
        <f>F14*(1+$C$8)</f>
        <v>1815000.0000000005</v>
      </c>
      <c r="J14" s="196">
        <f>G14</f>
        <v>1</v>
      </c>
      <c r="K14" s="143">
        <f t="shared" ref="K14" si="2">J14*I14</f>
        <v>1815000.0000000005</v>
      </c>
      <c r="L14" s="10">
        <f>I14*(1+$C$8)</f>
        <v>1996500.0000000007</v>
      </c>
      <c r="M14" s="196">
        <f>J14</f>
        <v>1</v>
      </c>
      <c r="N14" s="143">
        <f t="shared" ref="N14" si="3">M14*L14</f>
        <v>1996500.0000000007</v>
      </c>
      <c r="O14" s="10">
        <f>L14*(1+$C$8)</f>
        <v>2196150.0000000009</v>
      </c>
      <c r="P14" s="196">
        <f>M14</f>
        <v>1</v>
      </c>
      <c r="Q14" s="143">
        <f t="shared" ref="Q14" si="4">P14*O14</f>
        <v>2196150.0000000009</v>
      </c>
      <c r="R14" s="142"/>
      <c r="S14" s="143"/>
      <c r="T14" s="142"/>
      <c r="U14" s="143"/>
      <c r="V14" s="142"/>
      <c r="W14" s="144"/>
      <c r="X14" s="142"/>
      <c r="Y14" s="143"/>
      <c r="Z14" s="142"/>
      <c r="AA14" s="143"/>
      <c r="AB14" s="142"/>
      <c r="AC14" s="143"/>
    </row>
    <row r="15" spans="1:29" s="3" customFormat="1" ht="16" x14ac:dyDescent="0.2">
      <c r="A15" s="8"/>
      <c r="B15" s="30" t="s">
        <v>114</v>
      </c>
      <c r="C15" s="10">
        <v>1500000</v>
      </c>
      <c r="D15" s="196">
        <v>0</v>
      </c>
      <c r="E15" s="143">
        <f t="shared" si="0"/>
        <v>0</v>
      </c>
      <c r="F15" s="10">
        <f t="shared" ref="F15:I25" si="5">C15*(1+$C$8)</f>
        <v>1650000.0000000002</v>
      </c>
      <c r="G15" s="196">
        <f t="shared" ref="G15:G25" si="6">D15</f>
        <v>0</v>
      </c>
      <c r="H15" s="143">
        <f t="shared" si="1"/>
        <v>0</v>
      </c>
      <c r="I15" s="10">
        <f t="shared" si="5"/>
        <v>1815000.0000000005</v>
      </c>
      <c r="J15" s="196">
        <f t="shared" ref="J15:J25" si="7">G15</f>
        <v>0</v>
      </c>
      <c r="K15" s="143">
        <f>J15*I15</f>
        <v>0</v>
      </c>
      <c r="L15" s="10">
        <f t="shared" ref="L15:L25" si="8">I15*(1+$C$8)</f>
        <v>1996500.0000000007</v>
      </c>
      <c r="M15" s="196">
        <f t="shared" ref="M15:M25" si="9">J15</f>
        <v>0</v>
      </c>
      <c r="N15" s="143">
        <f>M15*L15</f>
        <v>0</v>
      </c>
      <c r="O15" s="10">
        <f t="shared" ref="O15:O25" si="10">L15*(1+$C$8)</f>
        <v>2196150.0000000009</v>
      </c>
      <c r="P15" s="196">
        <f t="shared" ref="P15:P25" si="11">M15</f>
        <v>0</v>
      </c>
      <c r="Q15" s="143">
        <f>P15*O15</f>
        <v>0</v>
      </c>
      <c r="R15" s="142"/>
      <c r="S15" s="143"/>
      <c r="T15" s="142"/>
      <c r="U15" s="143"/>
      <c r="V15" s="142"/>
      <c r="W15" s="144"/>
      <c r="X15" s="142"/>
      <c r="Y15" s="143"/>
      <c r="Z15" s="142"/>
      <c r="AA15" s="143"/>
      <c r="AB15" s="142"/>
      <c r="AC15" s="143"/>
    </row>
    <row r="16" spans="1:29" s="3" customFormat="1" ht="16" x14ac:dyDescent="0.2">
      <c r="A16" s="8"/>
      <c r="B16" s="9" t="s">
        <v>61</v>
      </c>
      <c r="C16" s="10">
        <v>1000000</v>
      </c>
      <c r="D16" s="196">
        <v>1</v>
      </c>
      <c r="E16" s="143">
        <f>D16*C16</f>
        <v>1000000</v>
      </c>
      <c r="F16" s="10">
        <f t="shared" si="5"/>
        <v>1100000</v>
      </c>
      <c r="G16" s="196">
        <f t="shared" si="6"/>
        <v>1</v>
      </c>
      <c r="H16" s="143">
        <f>G16*F16</f>
        <v>1100000</v>
      </c>
      <c r="I16" s="10">
        <f t="shared" si="5"/>
        <v>1210000</v>
      </c>
      <c r="J16" s="196">
        <f t="shared" si="7"/>
        <v>1</v>
      </c>
      <c r="K16" s="143">
        <f>J16*I16</f>
        <v>1210000</v>
      </c>
      <c r="L16" s="10">
        <f t="shared" si="8"/>
        <v>1331000</v>
      </c>
      <c r="M16" s="196">
        <f t="shared" si="9"/>
        <v>1</v>
      </c>
      <c r="N16" s="143">
        <f>M16*L16</f>
        <v>1331000</v>
      </c>
      <c r="O16" s="10">
        <f t="shared" si="10"/>
        <v>1464100.0000000002</v>
      </c>
      <c r="P16" s="196">
        <f t="shared" si="11"/>
        <v>1</v>
      </c>
      <c r="Q16" s="143">
        <f>P16*O16</f>
        <v>1464100.0000000002</v>
      </c>
      <c r="R16" s="142"/>
      <c r="S16" s="143"/>
      <c r="T16" s="142"/>
      <c r="U16" s="143"/>
      <c r="V16" s="142"/>
      <c r="W16" s="144"/>
      <c r="X16" s="142"/>
      <c r="Y16" s="143"/>
      <c r="Z16" s="142"/>
      <c r="AA16" s="143"/>
      <c r="AB16" s="142"/>
      <c r="AC16" s="143"/>
    </row>
    <row r="17" spans="1:29" s="3" customFormat="1" ht="16" x14ac:dyDescent="0.2">
      <c r="A17" s="8"/>
      <c r="B17" s="12" t="s">
        <v>114</v>
      </c>
      <c r="C17" s="10">
        <v>1000000</v>
      </c>
      <c r="D17" s="196">
        <v>0</v>
      </c>
      <c r="E17" s="143">
        <f>D17*C17</f>
        <v>0</v>
      </c>
      <c r="F17" s="10">
        <f t="shared" si="5"/>
        <v>1100000</v>
      </c>
      <c r="G17" s="196">
        <f t="shared" si="6"/>
        <v>0</v>
      </c>
      <c r="H17" s="143">
        <f t="shared" ref="H17:H25" si="12">G17*F17</f>
        <v>0</v>
      </c>
      <c r="I17" s="10">
        <f t="shared" si="5"/>
        <v>1210000</v>
      </c>
      <c r="J17" s="196">
        <f t="shared" si="7"/>
        <v>0</v>
      </c>
      <c r="K17" s="143">
        <f t="shared" ref="K17:K25" si="13">J17*I17</f>
        <v>0</v>
      </c>
      <c r="L17" s="10">
        <f t="shared" si="8"/>
        <v>1331000</v>
      </c>
      <c r="M17" s="196">
        <f t="shared" si="9"/>
        <v>0</v>
      </c>
      <c r="N17" s="143">
        <f t="shared" ref="N17:N25" si="14">M17*L17</f>
        <v>0</v>
      </c>
      <c r="O17" s="10">
        <f t="shared" si="10"/>
        <v>1464100.0000000002</v>
      </c>
      <c r="P17" s="196">
        <f t="shared" si="11"/>
        <v>0</v>
      </c>
      <c r="Q17" s="143">
        <f t="shared" ref="Q17:Q25" si="15">P17*O17</f>
        <v>0</v>
      </c>
      <c r="R17" s="142"/>
      <c r="S17" s="143"/>
      <c r="T17" s="142"/>
      <c r="U17" s="143"/>
      <c r="V17" s="142"/>
      <c r="W17" s="144"/>
      <c r="X17" s="142"/>
      <c r="Y17" s="143"/>
      <c r="Z17" s="142"/>
      <c r="AA17" s="143"/>
      <c r="AB17" s="142"/>
      <c r="AC17" s="143"/>
    </row>
    <row r="18" spans="1:29" s="3" customFormat="1" ht="16" x14ac:dyDescent="0.2">
      <c r="A18" s="8"/>
      <c r="B18" s="9" t="s">
        <v>114</v>
      </c>
      <c r="C18" s="10">
        <v>900000</v>
      </c>
      <c r="D18" s="196">
        <v>0</v>
      </c>
      <c r="E18" s="143">
        <f t="shared" ref="E18:E25" si="16">D18*C18</f>
        <v>0</v>
      </c>
      <c r="F18" s="10">
        <f t="shared" si="5"/>
        <v>990000.00000000012</v>
      </c>
      <c r="G18" s="196">
        <f t="shared" si="6"/>
        <v>0</v>
      </c>
      <c r="H18" s="143">
        <f t="shared" si="12"/>
        <v>0</v>
      </c>
      <c r="I18" s="10">
        <f t="shared" si="5"/>
        <v>1089000.0000000002</v>
      </c>
      <c r="J18" s="196">
        <f t="shared" si="7"/>
        <v>0</v>
      </c>
      <c r="K18" s="143">
        <f t="shared" si="13"/>
        <v>0</v>
      </c>
      <c r="L18" s="10">
        <f t="shared" si="8"/>
        <v>1197900.0000000005</v>
      </c>
      <c r="M18" s="196">
        <f t="shared" si="9"/>
        <v>0</v>
      </c>
      <c r="N18" s="143">
        <f t="shared" si="14"/>
        <v>0</v>
      </c>
      <c r="O18" s="10">
        <f t="shared" si="10"/>
        <v>1317690.0000000007</v>
      </c>
      <c r="P18" s="196">
        <f t="shared" si="11"/>
        <v>0</v>
      </c>
      <c r="Q18" s="143">
        <f t="shared" si="15"/>
        <v>0</v>
      </c>
      <c r="R18" s="142"/>
      <c r="S18" s="143"/>
      <c r="T18" s="142"/>
      <c r="U18" s="143"/>
      <c r="V18" s="142"/>
      <c r="W18" s="144"/>
      <c r="X18" s="142"/>
      <c r="Y18" s="143"/>
      <c r="Z18" s="142"/>
      <c r="AA18" s="143"/>
      <c r="AB18" s="142"/>
      <c r="AC18" s="143"/>
    </row>
    <row r="19" spans="1:29" s="3" customFormat="1" ht="16" x14ac:dyDescent="0.2">
      <c r="A19" s="8"/>
      <c r="B19" s="9" t="s">
        <v>155</v>
      </c>
      <c r="C19" s="10">
        <v>760000</v>
      </c>
      <c r="D19" s="196">
        <v>1</v>
      </c>
      <c r="E19" s="143">
        <f t="shared" si="16"/>
        <v>760000</v>
      </c>
      <c r="F19" s="10">
        <f t="shared" si="5"/>
        <v>836000.00000000012</v>
      </c>
      <c r="G19" s="196">
        <f t="shared" si="6"/>
        <v>1</v>
      </c>
      <c r="H19" s="143">
        <f t="shared" si="12"/>
        <v>836000.00000000012</v>
      </c>
      <c r="I19" s="10">
        <f t="shared" si="5"/>
        <v>919600.00000000023</v>
      </c>
      <c r="J19" s="196">
        <f t="shared" si="7"/>
        <v>1</v>
      </c>
      <c r="K19" s="143">
        <f t="shared" si="13"/>
        <v>919600.00000000023</v>
      </c>
      <c r="L19" s="10">
        <f t="shared" si="8"/>
        <v>1011560.0000000003</v>
      </c>
      <c r="M19" s="196">
        <f t="shared" si="9"/>
        <v>1</v>
      </c>
      <c r="N19" s="143">
        <f t="shared" si="14"/>
        <v>1011560.0000000003</v>
      </c>
      <c r="O19" s="10">
        <f t="shared" si="10"/>
        <v>1112716.0000000005</v>
      </c>
      <c r="P19" s="196">
        <f t="shared" si="11"/>
        <v>1</v>
      </c>
      <c r="Q19" s="143">
        <f t="shared" si="15"/>
        <v>1112716.0000000005</v>
      </c>
      <c r="R19" s="142"/>
      <c r="S19" s="143"/>
      <c r="T19" s="142"/>
      <c r="U19" s="143"/>
      <c r="V19" s="142"/>
      <c r="W19" s="144"/>
      <c r="X19" s="142"/>
      <c r="Y19" s="143"/>
      <c r="Z19" s="142"/>
      <c r="AA19" s="143"/>
      <c r="AB19" s="142"/>
      <c r="AC19" s="143"/>
    </row>
    <row r="20" spans="1:29" s="3" customFormat="1" ht="16" x14ac:dyDescent="0.2">
      <c r="A20" s="8"/>
      <c r="B20" s="9" t="s">
        <v>156</v>
      </c>
      <c r="C20" s="10">
        <v>500000</v>
      </c>
      <c r="D20" s="196">
        <v>2</v>
      </c>
      <c r="E20" s="143">
        <f t="shared" si="16"/>
        <v>1000000</v>
      </c>
      <c r="F20" s="10">
        <f t="shared" si="5"/>
        <v>550000</v>
      </c>
      <c r="G20" s="196">
        <f t="shared" si="6"/>
        <v>2</v>
      </c>
      <c r="H20" s="143">
        <f t="shared" si="12"/>
        <v>1100000</v>
      </c>
      <c r="I20" s="10">
        <f t="shared" si="5"/>
        <v>605000</v>
      </c>
      <c r="J20" s="196">
        <f t="shared" si="7"/>
        <v>2</v>
      </c>
      <c r="K20" s="143">
        <f t="shared" si="13"/>
        <v>1210000</v>
      </c>
      <c r="L20" s="10">
        <f t="shared" si="8"/>
        <v>665500</v>
      </c>
      <c r="M20" s="196">
        <f t="shared" si="9"/>
        <v>2</v>
      </c>
      <c r="N20" s="143">
        <f t="shared" si="14"/>
        <v>1331000</v>
      </c>
      <c r="O20" s="10">
        <f t="shared" si="10"/>
        <v>732050.00000000012</v>
      </c>
      <c r="P20" s="196">
        <f t="shared" si="11"/>
        <v>2</v>
      </c>
      <c r="Q20" s="143">
        <f t="shared" si="15"/>
        <v>1464100.0000000002</v>
      </c>
      <c r="R20" s="142"/>
      <c r="S20" s="143"/>
      <c r="T20" s="142"/>
      <c r="U20" s="143"/>
      <c r="V20" s="142"/>
      <c r="W20" s="144"/>
      <c r="X20" s="142"/>
      <c r="Y20" s="143"/>
      <c r="Z20" s="142"/>
      <c r="AA20" s="143"/>
      <c r="AB20" s="142"/>
      <c r="AC20" s="143"/>
    </row>
    <row r="21" spans="1:29" s="3" customFormat="1" ht="16" x14ac:dyDescent="0.2">
      <c r="A21" s="13"/>
      <c r="B21" s="9" t="s">
        <v>119</v>
      </c>
      <c r="C21" s="10">
        <v>500000</v>
      </c>
      <c r="D21" s="196">
        <v>2</v>
      </c>
      <c r="E21" s="143">
        <f>D21*C21</f>
        <v>1000000</v>
      </c>
      <c r="F21" s="10">
        <f t="shared" si="5"/>
        <v>550000</v>
      </c>
      <c r="G21" s="196">
        <f t="shared" si="6"/>
        <v>2</v>
      </c>
      <c r="H21" s="143">
        <f>G21*F21</f>
        <v>1100000</v>
      </c>
      <c r="I21" s="10">
        <f t="shared" si="5"/>
        <v>605000</v>
      </c>
      <c r="J21" s="196">
        <f t="shared" si="7"/>
        <v>2</v>
      </c>
      <c r="K21" s="143">
        <f>J21*I21</f>
        <v>1210000</v>
      </c>
      <c r="L21" s="10">
        <f t="shared" si="8"/>
        <v>665500</v>
      </c>
      <c r="M21" s="196">
        <f t="shared" si="9"/>
        <v>2</v>
      </c>
      <c r="N21" s="143">
        <f>M21*L21</f>
        <v>1331000</v>
      </c>
      <c r="O21" s="10">
        <f t="shared" si="10"/>
        <v>732050.00000000012</v>
      </c>
      <c r="P21" s="196">
        <f t="shared" si="11"/>
        <v>2</v>
      </c>
      <c r="Q21" s="143">
        <f>P21*O21</f>
        <v>1464100.0000000002</v>
      </c>
      <c r="R21" s="142"/>
      <c r="S21" s="143"/>
      <c r="T21" s="142"/>
      <c r="U21" s="143"/>
      <c r="V21" s="142"/>
      <c r="W21" s="144"/>
      <c r="X21" s="142"/>
      <c r="Y21" s="143"/>
      <c r="Z21" s="142"/>
      <c r="AA21" s="143"/>
      <c r="AB21" s="142"/>
      <c r="AC21" s="143"/>
    </row>
    <row r="22" spans="1:29" s="3" customFormat="1" ht="16" x14ac:dyDescent="0.2">
      <c r="A22" s="13"/>
      <c r="B22" s="14" t="s">
        <v>108</v>
      </c>
      <c r="C22" s="10">
        <v>760000</v>
      </c>
      <c r="D22" s="196">
        <v>1</v>
      </c>
      <c r="E22" s="143">
        <f>D22*C22</f>
        <v>760000</v>
      </c>
      <c r="F22" s="10">
        <f t="shared" si="5"/>
        <v>836000.00000000012</v>
      </c>
      <c r="G22" s="196">
        <f t="shared" si="6"/>
        <v>1</v>
      </c>
      <c r="H22" s="143">
        <f>G22*F22</f>
        <v>836000.00000000012</v>
      </c>
      <c r="I22" s="10">
        <f t="shared" si="5"/>
        <v>919600.00000000023</v>
      </c>
      <c r="J22" s="196">
        <f t="shared" si="7"/>
        <v>1</v>
      </c>
      <c r="K22" s="143">
        <f>J22*I22</f>
        <v>919600.00000000023</v>
      </c>
      <c r="L22" s="10">
        <f t="shared" si="8"/>
        <v>1011560.0000000003</v>
      </c>
      <c r="M22" s="196">
        <f t="shared" si="9"/>
        <v>1</v>
      </c>
      <c r="N22" s="143">
        <f>M22*L22</f>
        <v>1011560.0000000003</v>
      </c>
      <c r="O22" s="10">
        <f t="shared" si="10"/>
        <v>1112716.0000000005</v>
      </c>
      <c r="P22" s="196">
        <f t="shared" si="11"/>
        <v>1</v>
      </c>
      <c r="Q22" s="143">
        <f>P22*O22</f>
        <v>1112716.0000000005</v>
      </c>
      <c r="R22" s="142"/>
      <c r="S22" s="143"/>
      <c r="T22" s="142"/>
      <c r="U22" s="143"/>
      <c r="V22" s="142"/>
      <c r="W22" s="144"/>
      <c r="X22" s="142"/>
      <c r="Y22" s="143"/>
      <c r="Z22" s="142"/>
      <c r="AA22" s="143"/>
      <c r="AB22" s="142"/>
      <c r="AC22" s="143"/>
    </row>
    <row r="23" spans="1:29" s="3" customFormat="1" ht="16" x14ac:dyDescent="0.2">
      <c r="A23" s="13"/>
      <c r="B23" s="14" t="s">
        <v>62</v>
      </c>
      <c r="C23" s="10">
        <v>900000</v>
      </c>
      <c r="D23" s="196">
        <v>1</v>
      </c>
      <c r="E23" s="143">
        <f t="shared" si="16"/>
        <v>900000</v>
      </c>
      <c r="F23" s="10">
        <f t="shared" si="5"/>
        <v>990000.00000000012</v>
      </c>
      <c r="G23" s="196">
        <f t="shared" si="6"/>
        <v>1</v>
      </c>
      <c r="H23" s="143">
        <f t="shared" si="12"/>
        <v>990000.00000000012</v>
      </c>
      <c r="I23" s="10">
        <f t="shared" si="5"/>
        <v>1089000.0000000002</v>
      </c>
      <c r="J23" s="196">
        <f t="shared" si="7"/>
        <v>1</v>
      </c>
      <c r="K23" s="143">
        <f t="shared" si="13"/>
        <v>1089000.0000000002</v>
      </c>
      <c r="L23" s="10">
        <f t="shared" si="8"/>
        <v>1197900.0000000005</v>
      </c>
      <c r="M23" s="196">
        <f t="shared" si="9"/>
        <v>1</v>
      </c>
      <c r="N23" s="143">
        <f t="shared" si="14"/>
        <v>1197900.0000000005</v>
      </c>
      <c r="O23" s="10">
        <f t="shared" si="10"/>
        <v>1317690.0000000007</v>
      </c>
      <c r="P23" s="196">
        <f t="shared" si="11"/>
        <v>1</v>
      </c>
      <c r="Q23" s="143">
        <f t="shared" si="15"/>
        <v>1317690.0000000007</v>
      </c>
      <c r="R23" s="142"/>
      <c r="S23" s="143"/>
      <c r="T23" s="142"/>
      <c r="U23" s="143"/>
      <c r="V23" s="142"/>
      <c r="W23" s="144"/>
      <c r="X23" s="142"/>
      <c r="Y23" s="143"/>
      <c r="Z23" s="142"/>
      <c r="AA23" s="143"/>
      <c r="AB23" s="142"/>
      <c r="AC23" s="143"/>
    </row>
    <row r="24" spans="1:29" s="3" customFormat="1" ht="16" x14ac:dyDescent="0.2">
      <c r="A24" s="13"/>
      <c r="B24" s="9" t="s">
        <v>109</v>
      </c>
      <c r="C24" s="10">
        <v>700000</v>
      </c>
      <c r="D24" s="196">
        <v>1</v>
      </c>
      <c r="E24" s="143">
        <f t="shared" si="16"/>
        <v>700000</v>
      </c>
      <c r="F24" s="10">
        <f t="shared" si="5"/>
        <v>770000.00000000012</v>
      </c>
      <c r="G24" s="196">
        <f t="shared" si="6"/>
        <v>1</v>
      </c>
      <c r="H24" s="143">
        <f t="shared" si="12"/>
        <v>770000.00000000012</v>
      </c>
      <c r="I24" s="10">
        <f t="shared" si="5"/>
        <v>847000.00000000023</v>
      </c>
      <c r="J24" s="196">
        <f t="shared" si="7"/>
        <v>1</v>
      </c>
      <c r="K24" s="143">
        <f t="shared" si="13"/>
        <v>847000.00000000023</v>
      </c>
      <c r="L24" s="10">
        <f t="shared" si="8"/>
        <v>931700.00000000035</v>
      </c>
      <c r="M24" s="196">
        <f t="shared" si="9"/>
        <v>1</v>
      </c>
      <c r="N24" s="143">
        <f t="shared" si="14"/>
        <v>931700.00000000035</v>
      </c>
      <c r="O24" s="10">
        <f t="shared" si="10"/>
        <v>1024870.0000000005</v>
      </c>
      <c r="P24" s="196">
        <f t="shared" si="11"/>
        <v>1</v>
      </c>
      <c r="Q24" s="143">
        <f t="shared" si="15"/>
        <v>1024870.0000000005</v>
      </c>
      <c r="R24" s="142"/>
      <c r="S24" s="143"/>
      <c r="T24" s="142"/>
      <c r="U24" s="143"/>
      <c r="V24" s="142"/>
      <c r="W24" s="144"/>
      <c r="X24" s="142"/>
      <c r="Y24" s="143"/>
      <c r="Z24" s="142"/>
      <c r="AA24" s="143"/>
      <c r="AB24" s="142"/>
      <c r="AC24" s="143"/>
    </row>
    <row r="25" spans="1:29" s="3" customFormat="1" ht="16" x14ac:dyDescent="0.2">
      <c r="A25" s="13"/>
      <c r="B25" s="9" t="s">
        <v>114</v>
      </c>
      <c r="C25" s="15">
        <v>360000</v>
      </c>
      <c r="D25" s="197">
        <v>0</v>
      </c>
      <c r="E25" s="144">
        <f t="shared" si="16"/>
        <v>0</v>
      </c>
      <c r="F25" s="10">
        <f t="shared" si="5"/>
        <v>396000.00000000006</v>
      </c>
      <c r="G25" s="196">
        <f t="shared" si="6"/>
        <v>0</v>
      </c>
      <c r="H25" s="144">
        <f t="shared" si="12"/>
        <v>0</v>
      </c>
      <c r="I25" s="10">
        <f t="shared" si="5"/>
        <v>435600.00000000012</v>
      </c>
      <c r="J25" s="196">
        <f t="shared" si="7"/>
        <v>0</v>
      </c>
      <c r="K25" s="144">
        <f t="shared" si="13"/>
        <v>0</v>
      </c>
      <c r="L25" s="10">
        <f t="shared" si="8"/>
        <v>479160.00000000017</v>
      </c>
      <c r="M25" s="196">
        <f t="shared" si="9"/>
        <v>0</v>
      </c>
      <c r="N25" s="144">
        <f t="shared" si="14"/>
        <v>0</v>
      </c>
      <c r="O25" s="10">
        <f t="shared" si="10"/>
        <v>527076.00000000023</v>
      </c>
      <c r="P25" s="196">
        <f t="shared" si="11"/>
        <v>0</v>
      </c>
      <c r="Q25" s="144">
        <f t="shared" si="15"/>
        <v>0</v>
      </c>
      <c r="R25" s="177"/>
      <c r="S25" s="144"/>
      <c r="T25" s="177"/>
      <c r="U25" s="144"/>
      <c r="V25" s="177"/>
      <c r="W25" s="144"/>
      <c r="X25" s="177"/>
      <c r="Y25" s="144"/>
      <c r="Z25" s="177"/>
      <c r="AA25" s="144"/>
      <c r="AB25" s="177"/>
      <c r="AC25" s="144"/>
    </row>
    <row r="26" spans="1:29" s="3" customFormat="1" ht="16" x14ac:dyDescent="0.2">
      <c r="A26" s="54"/>
      <c r="B26" s="55"/>
      <c r="C26" s="56"/>
      <c r="D26" s="198"/>
      <c r="E26" s="146"/>
      <c r="F26" s="56"/>
      <c r="G26" s="198"/>
      <c r="H26" s="146"/>
      <c r="I26" s="56"/>
      <c r="J26" s="198"/>
      <c r="K26" s="146"/>
      <c r="L26" s="56"/>
      <c r="M26" s="198"/>
      <c r="N26" s="146"/>
      <c r="O26" s="56"/>
      <c r="P26" s="198"/>
      <c r="Q26" s="146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146"/>
      <c r="AC26" s="146"/>
    </row>
    <row r="27" spans="1:29" s="3" customFormat="1" ht="17" thickBot="1" x14ac:dyDescent="0.25">
      <c r="A27" s="16"/>
      <c r="B27" s="17" t="s">
        <v>63</v>
      </c>
      <c r="C27" s="22"/>
      <c r="D27" s="189"/>
      <c r="E27" s="181">
        <f>SUM(E14:E26)</f>
        <v>7620000</v>
      </c>
      <c r="F27" s="182"/>
      <c r="G27" s="206"/>
      <c r="H27" s="181">
        <f>SUM(H14:H26)</f>
        <v>8382000</v>
      </c>
      <c r="I27" s="182"/>
      <c r="J27" s="206"/>
      <c r="K27" s="181">
        <f>SUM(K14:K26)</f>
        <v>9220200.0000000019</v>
      </c>
      <c r="L27" s="182"/>
      <c r="M27" s="206"/>
      <c r="N27" s="181">
        <f>SUM(N14:N26)</f>
        <v>10142220.000000002</v>
      </c>
      <c r="O27" s="182"/>
      <c r="P27" s="206"/>
      <c r="Q27" s="181">
        <f>SUM(Q14:Q26)</f>
        <v>11156442.000000002</v>
      </c>
      <c r="R27" s="147"/>
      <c r="S27" s="161"/>
      <c r="T27" s="147"/>
      <c r="U27" s="22"/>
      <c r="V27" s="147"/>
      <c r="W27" s="22"/>
      <c r="X27" s="147"/>
      <c r="Y27" s="22"/>
      <c r="Z27" s="147"/>
      <c r="AA27" s="22"/>
      <c r="AB27" s="147"/>
      <c r="AC27" s="22"/>
    </row>
    <row r="28" spans="1:29" s="3" customFormat="1" ht="17" thickTop="1" x14ac:dyDescent="0.2">
      <c r="A28" s="13"/>
      <c r="B28" s="18"/>
      <c r="C28" s="23"/>
      <c r="D28" s="190"/>
      <c r="E28" s="148"/>
      <c r="F28" s="23"/>
      <c r="G28" s="190"/>
      <c r="H28" s="148"/>
      <c r="I28" s="23"/>
      <c r="J28" s="190"/>
      <c r="K28" s="148"/>
      <c r="L28" s="23"/>
      <c r="M28" s="190"/>
      <c r="N28" s="148"/>
      <c r="O28" s="23"/>
      <c r="P28" s="190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</row>
    <row r="29" spans="1:29" s="3" customFormat="1" ht="16.5" customHeight="1" x14ac:dyDescent="0.2">
      <c r="A29" s="13"/>
      <c r="B29" s="18"/>
      <c r="C29" s="23"/>
      <c r="D29" s="190"/>
      <c r="E29" s="148"/>
      <c r="F29" s="23"/>
      <c r="G29" s="190"/>
      <c r="H29" s="148"/>
      <c r="I29" s="23"/>
      <c r="J29" s="190"/>
      <c r="K29" s="148"/>
      <c r="L29" s="23"/>
      <c r="M29" s="190"/>
      <c r="N29" s="148"/>
      <c r="O29" s="23"/>
      <c r="P29" s="190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spans="1:29" s="3" customFormat="1" ht="16" x14ac:dyDescent="0.2">
      <c r="A30" s="8">
        <v>2</v>
      </c>
      <c r="B30" s="25" t="s">
        <v>64</v>
      </c>
      <c r="C30" s="20"/>
      <c r="D30" s="188"/>
      <c r="E30" s="145"/>
      <c r="F30" s="20"/>
      <c r="G30" s="188"/>
      <c r="H30" s="145"/>
      <c r="I30" s="20"/>
      <c r="J30" s="188"/>
      <c r="K30" s="145"/>
      <c r="L30" s="20"/>
      <c r="M30" s="188"/>
      <c r="N30" s="145"/>
      <c r="O30" s="20"/>
      <c r="P30" s="188"/>
      <c r="Q30" s="145"/>
      <c r="R30" s="145"/>
      <c r="S30" s="145"/>
      <c r="T30" s="145"/>
      <c r="U30" s="145"/>
      <c r="V30" s="145"/>
      <c r="W30" s="145"/>
      <c r="X30" s="145"/>
      <c r="Y30" s="145"/>
      <c r="Z30" s="145"/>
      <c r="AA30" s="145"/>
      <c r="AB30" s="145"/>
      <c r="AC30" s="145"/>
    </row>
    <row r="31" spans="1:29" s="3" customFormat="1" ht="16" x14ac:dyDescent="0.2">
      <c r="A31" s="8"/>
      <c r="B31" s="26" t="s">
        <v>65</v>
      </c>
      <c r="C31" s="20"/>
      <c r="D31" s="199"/>
      <c r="E31" s="143"/>
      <c r="F31" s="20"/>
      <c r="G31" s="199"/>
      <c r="H31" s="143"/>
      <c r="I31" s="20"/>
      <c r="J31" s="199"/>
      <c r="K31" s="143"/>
      <c r="L31" s="20"/>
      <c r="M31" s="199"/>
      <c r="N31" s="143"/>
      <c r="O31" s="20"/>
      <c r="P31" s="199"/>
      <c r="Q31" s="143"/>
      <c r="R31" s="149"/>
      <c r="S31" s="143"/>
      <c r="T31" s="149"/>
      <c r="U31" s="143"/>
      <c r="V31" s="149"/>
      <c r="W31" s="143"/>
      <c r="X31" s="149"/>
      <c r="Y31" s="143"/>
      <c r="Z31" s="149"/>
      <c r="AA31" s="143"/>
      <c r="AB31" s="149"/>
      <c r="AC31" s="143"/>
    </row>
    <row r="32" spans="1:29" s="29" customFormat="1" ht="16" x14ac:dyDescent="0.2">
      <c r="A32" s="27"/>
      <c r="B32" s="24" t="s">
        <v>66</v>
      </c>
      <c r="C32" s="28"/>
      <c r="D32" s="200"/>
      <c r="E32" s="143"/>
      <c r="F32" s="28"/>
      <c r="G32" s="200"/>
      <c r="H32" s="151"/>
      <c r="I32" s="28"/>
      <c r="J32" s="200"/>
      <c r="K32" s="151"/>
      <c r="L32" s="28"/>
      <c r="M32" s="200"/>
      <c r="N32" s="151"/>
      <c r="O32" s="28"/>
      <c r="P32" s="200"/>
      <c r="Q32" s="151"/>
      <c r="R32" s="150"/>
      <c r="S32" s="151"/>
      <c r="T32" s="150"/>
      <c r="U32" s="151"/>
      <c r="V32" s="150"/>
      <c r="W32" s="151"/>
      <c r="X32" s="150"/>
      <c r="Y32" s="151"/>
      <c r="Z32" s="150"/>
      <c r="AA32" s="151"/>
      <c r="AB32" s="150"/>
      <c r="AC32" s="151"/>
    </row>
    <row r="33" spans="1:29" s="3" customFormat="1" ht="16" x14ac:dyDescent="0.2">
      <c r="A33" s="8"/>
      <c r="B33" s="26"/>
      <c r="C33" s="20"/>
      <c r="D33" s="199"/>
      <c r="E33" s="143"/>
      <c r="F33" s="20"/>
      <c r="G33" s="199"/>
      <c r="H33" s="143"/>
      <c r="I33" s="20"/>
      <c r="J33" s="199"/>
      <c r="K33" s="143"/>
      <c r="L33" s="20"/>
      <c r="M33" s="199"/>
      <c r="N33" s="143"/>
      <c r="O33" s="20"/>
      <c r="P33" s="199"/>
      <c r="Q33" s="143"/>
      <c r="R33" s="149"/>
      <c r="S33" s="143"/>
      <c r="T33" s="149"/>
      <c r="U33" s="143"/>
      <c r="V33" s="149"/>
      <c r="W33" s="143"/>
      <c r="X33" s="149"/>
      <c r="Y33" s="143"/>
      <c r="Z33" s="149"/>
      <c r="AA33" s="143"/>
      <c r="AB33" s="149"/>
      <c r="AC33" s="143"/>
    </row>
    <row r="34" spans="1:29" s="3" customFormat="1" ht="17" thickBot="1" x14ac:dyDescent="0.25">
      <c r="A34" s="16"/>
      <c r="B34" s="17" t="s">
        <v>63</v>
      </c>
      <c r="C34" s="22"/>
      <c r="D34" s="189"/>
      <c r="E34" s="147"/>
      <c r="F34" s="22"/>
      <c r="G34" s="189"/>
      <c r="H34" s="147"/>
      <c r="I34" s="22"/>
      <c r="J34" s="189"/>
      <c r="K34" s="147"/>
      <c r="L34" s="22"/>
      <c r="M34" s="189"/>
      <c r="N34" s="147"/>
      <c r="O34" s="22"/>
      <c r="P34" s="189"/>
      <c r="Q34" s="147"/>
      <c r="R34" s="147"/>
      <c r="S34" s="147"/>
      <c r="T34" s="147"/>
      <c r="U34" s="147"/>
      <c r="V34" s="147"/>
      <c r="W34" s="147"/>
      <c r="X34" s="147"/>
      <c r="Y34" s="147"/>
      <c r="Z34" s="147"/>
      <c r="AA34" s="147"/>
      <c r="AB34" s="147"/>
      <c r="AC34" s="147"/>
    </row>
    <row r="35" spans="1:29" s="3" customFormat="1" ht="17" thickTop="1" x14ac:dyDescent="0.2">
      <c r="A35" s="13"/>
      <c r="B35" s="18"/>
      <c r="C35" s="23"/>
      <c r="D35" s="190"/>
      <c r="E35" s="148"/>
      <c r="F35" s="23"/>
      <c r="G35" s="190"/>
      <c r="H35" s="148"/>
      <c r="I35" s="23"/>
      <c r="J35" s="190"/>
      <c r="K35" s="148"/>
      <c r="L35" s="23"/>
      <c r="M35" s="190"/>
      <c r="N35" s="148"/>
      <c r="O35" s="23"/>
      <c r="P35" s="190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</row>
    <row r="36" spans="1:29" s="3" customFormat="1" ht="16" x14ac:dyDescent="0.2">
      <c r="A36" s="8">
        <v>3</v>
      </c>
      <c r="B36" s="25" t="s">
        <v>67</v>
      </c>
      <c r="C36" s="20"/>
      <c r="D36" s="188"/>
      <c r="E36" s="145"/>
      <c r="F36" s="20"/>
      <c r="G36" s="188"/>
      <c r="H36" s="145"/>
      <c r="I36" s="20"/>
      <c r="J36" s="188"/>
      <c r="K36" s="145"/>
      <c r="L36" s="20"/>
      <c r="M36" s="188"/>
      <c r="N36" s="145"/>
      <c r="O36" s="20"/>
      <c r="P36" s="188"/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5"/>
      <c r="AC36" s="145"/>
    </row>
    <row r="37" spans="1:29" s="3" customFormat="1" ht="16" x14ac:dyDescent="0.2">
      <c r="A37" s="8"/>
      <c r="B37" s="30" t="s">
        <v>60</v>
      </c>
      <c r="C37" s="11">
        <f>125000*12</f>
        <v>1500000</v>
      </c>
      <c r="D37" s="186">
        <v>1</v>
      </c>
      <c r="E37" s="143">
        <f t="shared" ref="E37" si="17">D37*C37</f>
        <v>1500000</v>
      </c>
      <c r="F37" s="11">
        <f>C37*1.04</f>
        <v>1560000</v>
      </c>
      <c r="G37" s="186">
        <v>1</v>
      </c>
      <c r="H37" s="143">
        <f>G37*F37</f>
        <v>1560000</v>
      </c>
      <c r="I37" s="11">
        <f>F37*1.04</f>
        <v>1622400</v>
      </c>
      <c r="J37" s="186">
        <v>1</v>
      </c>
      <c r="K37" s="143">
        <f>J37*I37</f>
        <v>1622400</v>
      </c>
      <c r="L37" s="11">
        <f>I37*1.04</f>
        <v>1687296</v>
      </c>
      <c r="M37" s="186">
        <v>1</v>
      </c>
      <c r="N37" s="143">
        <f>M37*L37</f>
        <v>1687296</v>
      </c>
      <c r="O37" s="11">
        <f>L37*1.04</f>
        <v>1754787.8400000001</v>
      </c>
      <c r="P37" s="186">
        <v>1</v>
      </c>
      <c r="Q37" s="143">
        <f>P37*O37</f>
        <v>1754787.8400000001</v>
      </c>
      <c r="R37" s="143"/>
      <c r="S37" s="143"/>
      <c r="T37" s="143"/>
      <c r="U37" s="143"/>
      <c r="V37" s="143"/>
      <c r="W37" s="144"/>
      <c r="X37" s="143"/>
      <c r="Y37" s="143"/>
      <c r="Z37" s="143"/>
      <c r="AA37" s="143"/>
      <c r="AB37" s="143"/>
      <c r="AC37" s="143"/>
    </row>
    <row r="38" spans="1:29" s="3" customFormat="1" ht="16" x14ac:dyDescent="0.2">
      <c r="A38" s="8"/>
      <c r="B38" s="30"/>
      <c r="C38" s="11"/>
      <c r="D38" s="186"/>
      <c r="E38" s="143"/>
      <c r="F38" s="11"/>
      <c r="G38" s="186"/>
      <c r="H38" s="143"/>
      <c r="I38" s="11"/>
      <c r="J38" s="186"/>
      <c r="K38" s="143"/>
      <c r="L38" s="11"/>
      <c r="M38" s="186"/>
      <c r="N38" s="143"/>
      <c r="O38" s="11"/>
      <c r="P38" s="186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3"/>
      <c r="AC38" s="143"/>
    </row>
    <row r="39" spans="1:29" s="3" customFormat="1" ht="17" thickBot="1" x14ac:dyDescent="0.25">
      <c r="A39" s="16"/>
      <c r="B39" s="31" t="s">
        <v>63</v>
      </c>
      <c r="C39" s="22"/>
      <c r="D39" s="189"/>
      <c r="E39" s="181">
        <f>SUM(E37:E38)</f>
        <v>1500000</v>
      </c>
      <c r="F39" s="181"/>
      <c r="G39" s="194"/>
      <c r="H39" s="181">
        <f>SUM(H37:H38)</f>
        <v>1560000</v>
      </c>
      <c r="I39" s="181"/>
      <c r="J39" s="194"/>
      <c r="K39" s="181">
        <f>SUM(K37:K38)</f>
        <v>1622400</v>
      </c>
      <c r="L39" s="181"/>
      <c r="M39" s="194"/>
      <c r="N39" s="181">
        <f>SUM(N37:N38)</f>
        <v>1687296</v>
      </c>
      <c r="O39" s="181"/>
      <c r="P39" s="194"/>
      <c r="Q39" s="181">
        <f>SUM(Q37:Q38)</f>
        <v>1754787.8400000001</v>
      </c>
      <c r="R39" s="147"/>
      <c r="S39" s="147"/>
      <c r="T39" s="147"/>
      <c r="U39" s="147"/>
      <c r="V39" s="147"/>
      <c r="W39" s="147"/>
      <c r="X39" s="147"/>
      <c r="Y39" s="147"/>
      <c r="Z39" s="147"/>
      <c r="AA39" s="147"/>
      <c r="AB39" s="147"/>
      <c r="AC39" s="147"/>
    </row>
    <row r="40" spans="1:29" s="3" customFormat="1" ht="15.75" customHeight="1" thickTop="1" x14ac:dyDescent="0.2">
      <c r="A40" s="13"/>
      <c r="B40" s="18"/>
      <c r="C40" s="23"/>
      <c r="D40" s="190"/>
      <c r="E40" s="148"/>
      <c r="F40" s="23"/>
      <c r="G40" s="190"/>
      <c r="H40" s="148"/>
      <c r="I40" s="23"/>
      <c r="J40" s="190"/>
      <c r="K40" s="148"/>
      <c r="L40" s="23"/>
      <c r="M40" s="190"/>
      <c r="N40" s="148"/>
      <c r="O40" s="23"/>
      <c r="P40" s="190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</row>
    <row r="41" spans="1:29" s="34" customFormat="1" ht="16" x14ac:dyDescent="0.2">
      <c r="A41" s="8">
        <v>4</v>
      </c>
      <c r="B41" s="19" t="s">
        <v>110</v>
      </c>
      <c r="C41" s="35"/>
      <c r="D41" s="201"/>
      <c r="E41" s="35"/>
      <c r="F41" s="35"/>
      <c r="G41" s="201"/>
      <c r="H41" s="145"/>
      <c r="I41" s="35"/>
      <c r="J41" s="201"/>
      <c r="K41" s="35"/>
      <c r="L41" s="35"/>
      <c r="M41" s="201"/>
      <c r="N41" s="35"/>
      <c r="O41" s="35"/>
      <c r="P41" s="201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</row>
    <row r="42" spans="1:29" s="34" customFormat="1" ht="16" x14ac:dyDescent="0.2">
      <c r="A42" s="8"/>
      <c r="B42" s="9" t="s">
        <v>68</v>
      </c>
      <c r="C42" s="21">
        <v>100000</v>
      </c>
      <c r="D42" s="186">
        <v>1</v>
      </c>
      <c r="E42" s="143">
        <f t="shared" ref="E42:E44" si="18">D42*C42</f>
        <v>100000</v>
      </c>
      <c r="F42" s="21">
        <v>100000</v>
      </c>
      <c r="G42" s="186">
        <v>2</v>
      </c>
      <c r="H42" s="144">
        <f>(G42*C42)*1.04</f>
        <v>208000</v>
      </c>
      <c r="I42" s="21">
        <v>100000</v>
      </c>
      <c r="J42" s="186">
        <v>3</v>
      </c>
      <c r="K42" s="144">
        <f>((J42*C42)*1.04)*(1.04)</f>
        <v>324480</v>
      </c>
      <c r="L42" s="21">
        <v>100000</v>
      </c>
      <c r="M42" s="186">
        <v>3</v>
      </c>
      <c r="N42" s="144">
        <f>((M42*F42)*1.04)*(1.04)</f>
        <v>324480</v>
      </c>
      <c r="O42" s="21">
        <v>100000</v>
      </c>
      <c r="P42" s="186">
        <v>3</v>
      </c>
      <c r="Q42" s="144">
        <f>((P42*I42)*1.04)*(1.04)</f>
        <v>324480</v>
      </c>
      <c r="R42" s="143"/>
      <c r="S42" s="143"/>
      <c r="T42" s="143"/>
      <c r="U42" s="143"/>
      <c r="V42" s="143"/>
      <c r="W42" s="144"/>
      <c r="X42" s="143"/>
      <c r="Y42" s="143"/>
      <c r="Z42" s="143"/>
      <c r="AA42" s="143"/>
      <c r="AB42" s="143"/>
      <c r="AC42" s="143"/>
    </row>
    <row r="43" spans="1:29" s="34" customFormat="1" ht="16" x14ac:dyDescent="0.2">
      <c r="A43" s="8"/>
      <c r="B43" s="9" t="s">
        <v>69</v>
      </c>
      <c r="C43" s="21">
        <f>4000*12</f>
        <v>48000</v>
      </c>
      <c r="D43" s="186">
        <v>1</v>
      </c>
      <c r="E43" s="143">
        <f t="shared" si="18"/>
        <v>48000</v>
      </c>
      <c r="F43" s="21">
        <f>4000*12</f>
        <v>48000</v>
      </c>
      <c r="G43" s="186">
        <v>1</v>
      </c>
      <c r="H43" s="144">
        <f>(G43*C43)*1.04</f>
        <v>49920</v>
      </c>
      <c r="I43" s="21">
        <f>4000*12</f>
        <v>48000</v>
      </c>
      <c r="J43" s="186">
        <v>2</v>
      </c>
      <c r="K43" s="144">
        <f>((J43*C43)*1.04)*(1.04)</f>
        <v>103833.60000000001</v>
      </c>
      <c r="L43" s="21">
        <f>4000*12</f>
        <v>48000</v>
      </c>
      <c r="M43" s="186">
        <v>2</v>
      </c>
      <c r="N43" s="144">
        <f>((M43*F43)*1.04)*(1.04)</f>
        <v>103833.60000000001</v>
      </c>
      <c r="O43" s="21">
        <f>4000*12</f>
        <v>48000</v>
      </c>
      <c r="P43" s="186">
        <v>2</v>
      </c>
      <c r="Q43" s="144">
        <f>((P43*I43)*1.04)*(1.04)</f>
        <v>103833.60000000001</v>
      </c>
      <c r="R43" s="143"/>
      <c r="S43" s="143"/>
      <c r="T43" s="143"/>
      <c r="U43" s="143"/>
      <c r="V43" s="143"/>
      <c r="W43" s="144"/>
      <c r="X43" s="143"/>
      <c r="Y43" s="143"/>
      <c r="Z43" s="143"/>
      <c r="AA43" s="143"/>
      <c r="AB43" s="143"/>
      <c r="AC43" s="143"/>
    </row>
    <row r="44" spans="1:29" s="34" customFormat="1" ht="16" x14ac:dyDescent="0.2">
      <c r="A44" s="8"/>
      <c r="B44" s="9" t="s">
        <v>70</v>
      </c>
      <c r="C44" s="11">
        <v>100000</v>
      </c>
      <c r="D44" s="186">
        <v>1</v>
      </c>
      <c r="E44" s="143">
        <f t="shared" si="18"/>
        <v>100000</v>
      </c>
      <c r="F44" s="11">
        <v>100000</v>
      </c>
      <c r="G44" s="186">
        <v>2</v>
      </c>
      <c r="H44" s="144">
        <f>(G44*C44)*1.04</f>
        <v>208000</v>
      </c>
      <c r="I44" s="11">
        <v>100000</v>
      </c>
      <c r="J44" s="186">
        <v>3</v>
      </c>
      <c r="K44" s="144">
        <f>((J44*C44)*1.04)*(1.04)</f>
        <v>324480</v>
      </c>
      <c r="L44" s="11">
        <v>100000</v>
      </c>
      <c r="M44" s="186">
        <v>3</v>
      </c>
      <c r="N44" s="144">
        <f>((M44*F44)*1.04)*(1.04)</f>
        <v>324480</v>
      </c>
      <c r="O44" s="11">
        <v>100000</v>
      </c>
      <c r="P44" s="186">
        <v>3</v>
      </c>
      <c r="Q44" s="144">
        <f>((P44*I44)*1.04)*(1.04)</f>
        <v>324480</v>
      </c>
      <c r="R44" s="143"/>
      <c r="S44" s="143"/>
      <c r="T44" s="143"/>
      <c r="U44" s="143"/>
      <c r="V44" s="143"/>
      <c r="W44" s="144"/>
      <c r="X44" s="143"/>
      <c r="Y44" s="143"/>
      <c r="Z44" s="143"/>
      <c r="AA44" s="143"/>
      <c r="AB44" s="143"/>
      <c r="AC44" s="143"/>
    </row>
    <row r="45" spans="1:29" s="34" customFormat="1" ht="16" x14ac:dyDescent="0.2">
      <c r="A45" s="8"/>
      <c r="B45" s="9"/>
      <c r="C45" s="11"/>
      <c r="D45" s="186"/>
      <c r="E45" s="143"/>
      <c r="F45" s="11"/>
      <c r="G45" s="186"/>
      <c r="H45" s="143"/>
      <c r="I45" s="11"/>
      <c r="J45" s="186"/>
      <c r="K45" s="143"/>
      <c r="L45" s="11"/>
      <c r="M45" s="186"/>
      <c r="N45" s="143"/>
      <c r="O45" s="11"/>
      <c r="P45" s="186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</row>
    <row r="46" spans="1:29" s="34" customFormat="1" ht="17" thickBot="1" x14ac:dyDescent="0.25">
      <c r="A46" s="16"/>
      <c r="B46" s="17" t="s">
        <v>63</v>
      </c>
      <c r="C46" s="32"/>
      <c r="D46" s="184"/>
      <c r="E46" s="181">
        <f>SUM(E42:E45)</f>
        <v>248000</v>
      </c>
      <c r="F46" s="181"/>
      <c r="G46" s="194"/>
      <c r="H46" s="181">
        <f>SUM(H42:H45)</f>
        <v>465920</v>
      </c>
      <c r="I46" s="181"/>
      <c r="J46" s="194"/>
      <c r="K46" s="181">
        <f>SUM(K42:K45)</f>
        <v>752793.59999999998</v>
      </c>
      <c r="L46" s="181"/>
      <c r="M46" s="194"/>
      <c r="N46" s="181">
        <f>SUM(N42:N45)</f>
        <v>752793.59999999998</v>
      </c>
      <c r="O46" s="181"/>
      <c r="P46" s="194"/>
      <c r="Q46" s="181">
        <f>SUM(Q42:Q45)</f>
        <v>752793.59999999998</v>
      </c>
      <c r="R46" s="152"/>
      <c r="S46" s="152"/>
      <c r="T46" s="152"/>
      <c r="U46" s="152"/>
      <c r="V46" s="152"/>
      <c r="W46" s="152"/>
      <c r="X46" s="152"/>
      <c r="Y46" s="152"/>
      <c r="Z46" s="152"/>
      <c r="AA46" s="152"/>
      <c r="AB46" s="152"/>
      <c r="AC46" s="152"/>
    </row>
    <row r="47" spans="1:29" s="3" customFormat="1" ht="17" thickTop="1" x14ac:dyDescent="0.2">
      <c r="A47" s="36"/>
      <c r="B47" s="18"/>
      <c r="C47" s="23"/>
      <c r="D47" s="190"/>
      <c r="E47" s="148"/>
      <c r="F47" s="23"/>
      <c r="G47" s="190"/>
      <c r="H47" s="148"/>
      <c r="I47" s="23"/>
      <c r="J47" s="190"/>
      <c r="K47" s="148"/>
      <c r="L47" s="23"/>
      <c r="M47" s="190"/>
      <c r="N47" s="148"/>
      <c r="O47" s="23"/>
      <c r="P47" s="190"/>
      <c r="Q47" s="148"/>
      <c r="R47" s="148"/>
      <c r="S47" s="148"/>
      <c r="T47" s="148"/>
      <c r="U47" s="148"/>
      <c r="V47" s="148"/>
      <c r="W47" s="148"/>
      <c r="X47" s="148"/>
      <c r="Y47" s="148"/>
      <c r="Z47" s="148"/>
      <c r="AA47" s="148"/>
      <c r="AB47" s="148"/>
      <c r="AC47" s="148"/>
    </row>
    <row r="48" spans="1:29" s="3" customFormat="1" ht="16" x14ac:dyDescent="0.2">
      <c r="A48" s="8">
        <v>5</v>
      </c>
      <c r="B48" s="19" t="s">
        <v>71</v>
      </c>
      <c r="C48" s="11"/>
      <c r="D48" s="186"/>
      <c r="E48" s="143"/>
      <c r="F48" s="11"/>
      <c r="G48" s="186"/>
      <c r="H48" s="143"/>
      <c r="I48" s="11"/>
      <c r="J48" s="186"/>
      <c r="K48" s="143"/>
      <c r="L48" s="11"/>
      <c r="M48" s="186"/>
      <c r="N48" s="143"/>
      <c r="O48" s="11"/>
      <c r="P48" s="186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</row>
    <row r="49" spans="1:29" s="34" customFormat="1" ht="16" x14ac:dyDescent="0.2">
      <c r="A49" s="8"/>
      <c r="B49" s="9" t="s">
        <v>72</v>
      </c>
      <c r="C49" s="11"/>
      <c r="D49" s="186"/>
      <c r="E49" s="143">
        <v>50000</v>
      </c>
      <c r="F49" s="11"/>
      <c r="G49" s="186"/>
      <c r="H49" s="143">
        <f>E49*1.04</f>
        <v>52000</v>
      </c>
      <c r="I49" s="11"/>
      <c r="J49" s="186"/>
      <c r="K49" s="143">
        <f>H49*1.04</f>
        <v>54080</v>
      </c>
      <c r="L49" s="11"/>
      <c r="M49" s="186"/>
      <c r="N49" s="143">
        <f>K49*1.04</f>
        <v>56243.200000000004</v>
      </c>
      <c r="O49" s="11"/>
      <c r="P49" s="186"/>
      <c r="Q49" s="143">
        <f>N49*1.04</f>
        <v>58492.928000000007</v>
      </c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</row>
    <row r="50" spans="1:29" s="34" customFormat="1" ht="16" x14ac:dyDescent="0.2">
      <c r="A50" s="8"/>
      <c r="B50" s="9"/>
      <c r="C50" s="37"/>
      <c r="D50" s="202"/>
      <c r="E50" s="143">
        <f t="shared" ref="E50" si="19">D50*C50</f>
        <v>0</v>
      </c>
      <c r="F50" s="37"/>
      <c r="G50" s="202"/>
      <c r="H50" s="154"/>
      <c r="I50" s="37"/>
      <c r="J50" s="202"/>
      <c r="K50" s="154"/>
      <c r="L50" s="37"/>
      <c r="M50" s="202"/>
      <c r="N50" s="154"/>
      <c r="O50" s="37"/>
      <c r="P50" s="202"/>
      <c r="Q50" s="154"/>
      <c r="R50" s="154"/>
      <c r="S50" s="154"/>
      <c r="T50" s="154"/>
      <c r="U50" s="154"/>
      <c r="V50" s="154"/>
      <c r="W50" s="154"/>
      <c r="X50" s="154"/>
      <c r="Y50" s="154"/>
      <c r="Z50" s="154"/>
      <c r="AA50" s="154"/>
      <c r="AB50" s="154"/>
      <c r="AC50" s="154"/>
    </row>
    <row r="51" spans="1:29" s="34" customFormat="1" ht="17" thickBot="1" x14ac:dyDescent="0.25">
      <c r="A51" s="16"/>
      <c r="B51" s="17" t="s">
        <v>63</v>
      </c>
      <c r="C51" s="32"/>
      <c r="D51" s="184"/>
      <c r="E51" s="181">
        <f>SUM(E49:E50)</f>
        <v>50000</v>
      </c>
      <c r="F51" s="32"/>
      <c r="G51" s="184"/>
      <c r="H51" s="181">
        <f>SUM(H49:H50)</f>
        <v>52000</v>
      </c>
      <c r="I51" s="32"/>
      <c r="J51" s="184"/>
      <c r="K51" s="181">
        <f>SUM(K49:K50)</f>
        <v>54080</v>
      </c>
      <c r="L51" s="32"/>
      <c r="M51" s="184"/>
      <c r="N51" s="181">
        <f>SUM(N49:N50)</f>
        <v>56243.200000000004</v>
      </c>
      <c r="O51" s="32"/>
      <c r="P51" s="184"/>
      <c r="Q51" s="181">
        <f>SUM(Q49:Q50)</f>
        <v>58492.928000000007</v>
      </c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</row>
    <row r="52" spans="1:29" s="34" customFormat="1" ht="17" thickTop="1" x14ac:dyDescent="0.2">
      <c r="A52" s="13"/>
      <c r="B52" s="18"/>
      <c r="C52" s="33"/>
      <c r="D52" s="185"/>
      <c r="E52" s="33"/>
      <c r="F52" s="33"/>
      <c r="G52" s="185"/>
      <c r="H52" s="33"/>
      <c r="I52" s="33"/>
      <c r="J52" s="185"/>
      <c r="K52" s="33"/>
      <c r="L52" s="33"/>
      <c r="M52" s="185"/>
      <c r="N52" s="33"/>
      <c r="O52" s="33"/>
      <c r="P52" s="185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</row>
    <row r="53" spans="1:29" s="34" customFormat="1" ht="16" x14ac:dyDescent="0.2">
      <c r="A53" s="8">
        <v>6</v>
      </c>
      <c r="B53" s="19" t="s">
        <v>73</v>
      </c>
      <c r="C53" s="11"/>
      <c r="D53" s="186"/>
      <c r="E53" s="20"/>
      <c r="F53" s="11"/>
      <c r="G53" s="186"/>
      <c r="H53" s="20"/>
      <c r="I53" s="11"/>
      <c r="J53" s="186"/>
      <c r="K53" s="20"/>
      <c r="L53" s="11"/>
      <c r="M53" s="186"/>
      <c r="N53" s="20"/>
      <c r="O53" s="11"/>
      <c r="P53" s="186"/>
      <c r="Q53" s="20"/>
      <c r="R53" s="11"/>
      <c r="S53" s="20"/>
      <c r="T53" s="11"/>
      <c r="U53" s="20"/>
      <c r="V53" s="11"/>
      <c r="W53" s="20"/>
      <c r="X53" s="11"/>
      <c r="Y53" s="20"/>
      <c r="Z53" s="11"/>
      <c r="AA53" s="20"/>
      <c r="AB53" s="11"/>
      <c r="AC53" s="20"/>
    </row>
    <row r="54" spans="1:29" s="34" customFormat="1" ht="16" x14ac:dyDescent="0.2">
      <c r="A54" s="8"/>
      <c r="B54" s="9" t="s">
        <v>74</v>
      </c>
      <c r="C54" s="11"/>
      <c r="D54" s="187"/>
      <c r="E54" s="143">
        <f t="shared" ref="E54:E56" si="20">D54*C54</f>
        <v>0</v>
      </c>
      <c r="F54" s="11"/>
      <c r="G54" s="187"/>
      <c r="H54" s="143"/>
      <c r="I54" s="11"/>
      <c r="J54" s="187"/>
      <c r="K54" s="143"/>
      <c r="L54" s="11"/>
      <c r="M54" s="187"/>
      <c r="N54" s="143"/>
      <c r="O54" s="11"/>
      <c r="P54" s="187"/>
      <c r="Q54" s="143"/>
      <c r="R54" s="155"/>
      <c r="S54" s="143"/>
      <c r="T54" s="155"/>
      <c r="U54" s="143"/>
      <c r="V54" s="155"/>
      <c r="W54" s="143"/>
      <c r="X54" s="155"/>
      <c r="Y54" s="143"/>
      <c r="Z54" s="155"/>
      <c r="AA54" s="143"/>
      <c r="AB54" s="155"/>
      <c r="AC54" s="143"/>
    </row>
    <row r="55" spans="1:29" s="34" customFormat="1" ht="16" x14ac:dyDescent="0.2">
      <c r="A55" s="8"/>
      <c r="B55" s="9" t="s">
        <v>75</v>
      </c>
      <c r="C55" s="11"/>
      <c r="D55" s="187"/>
      <c r="E55" s="143">
        <v>200000</v>
      </c>
      <c r="F55" s="11"/>
      <c r="G55" s="187"/>
      <c r="H55" s="143">
        <f>E55*1.04</f>
        <v>208000</v>
      </c>
      <c r="I55" s="11"/>
      <c r="J55" s="187"/>
      <c r="K55" s="143">
        <f>H55*1.04</f>
        <v>216320</v>
      </c>
      <c r="L55" s="11"/>
      <c r="M55" s="187"/>
      <c r="N55" s="143">
        <f>K55*1.04</f>
        <v>224972.80000000002</v>
      </c>
      <c r="O55" s="11"/>
      <c r="P55" s="187"/>
      <c r="Q55" s="143">
        <f>N55*1.04</f>
        <v>233971.71200000003</v>
      </c>
      <c r="R55" s="155"/>
      <c r="S55" s="143"/>
      <c r="T55" s="155"/>
      <c r="U55" s="143"/>
      <c r="V55" s="155"/>
      <c r="W55" s="143"/>
      <c r="X55" s="155"/>
      <c r="Y55" s="143"/>
      <c r="Z55" s="155"/>
      <c r="AA55" s="143"/>
      <c r="AB55" s="155"/>
      <c r="AC55" s="143"/>
    </row>
    <row r="56" spans="1:29" s="34" customFormat="1" ht="16" x14ac:dyDescent="0.2">
      <c r="A56" s="8"/>
      <c r="B56" s="9"/>
      <c r="C56" s="20"/>
      <c r="D56" s="188"/>
      <c r="E56" s="143">
        <f t="shared" si="20"/>
        <v>0</v>
      </c>
      <c r="F56" s="20"/>
      <c r="G56" s="188"/>
      <c r="H56" s="143"/>
      <c r="I56" s="20"/>
      <c r="J56" s="188"/>
      <c r="K56" s="143"/>
      <c r="L56" s="20"/>
      <c r="M56" s="188"/>
      <c r="N56" s="143"/>
      <c r="O56" s="20"/>
      <c r="P56" s="188"/>
      <c r="Q56" s="143"/>
      <c r="R56" s="20"/>
      <c r="S56" s="143"/>
      <c r="T56" s="20"/>
      <c r="U56" s="143"/>
      <c r="V56" s="20"/>
      <c r="W56" s="143"/>
      <c r="X56" s="20"/>
      <c r="Y56" s="143"/>
      <c r="Z56" s="20"/>
      <c r="AA56" s="143"/>
      <c r="AB56" s="20"/>
      <c r="AC56" s="143"/>
    </row>
    <row r="57" spans="1:29" s="34" customFormat="1" ht="17" thickBot="1" x14ac:dyDescent="0.25">
      <c r="A57" s="16"/>
      <c r="B57" s="17" t="s">
        <v>63</v>
      </c>
      <c r="C57" s="22"/>
      <c r="D57" s="189"/>
      <c r="E57" s="181">
        <f>SUM(E54:E56)</f>
        <v>200000</v>
      </c>
      <c r="F57" s="181"/>
      <c r="G57" s="194"/>
      <c r="H57" s="181">
        <f>SUM(H55:H56)</f>
        <v>208000</v>
      </c>
      <c r="I57" s="181"/>
      <c r="J57" s="194"/>
      <c r="K57" s="181">
        <f>SUM(K55:K56)</f>
        <v>216320</v>
      </c>
      <c r="L57" s="181"/>
      <c r="M57" s="194"/>
      <c r="N57" s="181">
        <f>SUM(N55:N56)</f>
        <v>224972.80000000002</v>
      </c>
      <c r="O57" s="181"/>
      <c r="P57" s="194"/>
      <c r="Q57" s="181">
        <f>SUM(Q55:Q56)</f>
        <v>233971.71200000003</v>
      </c>
      <c r="R57" s="22"/>
      <c r="S57" s="147"/>
      <c r="T57" s="22"/>
      <c r="U57" s="147"/>
      <c r="V57" s="22"/>
      <c r="W57" s="147"/>
      <c r="X57" s="22"/>
      <c r="Y57" s="147"/>
      <c r="Z57" s="22"/>
      <c r="AA57" s="147"/>
      <c r="AB57" s="22"/>
      <c r="AC57" s="147"/>
    </row>
    <row r="58" spans="1:29" s="34" customFormat="1" ht="17" thickTop="1" x14ac:dyDescent="0.2">
      <c r="A58" s="13"/>
      <c r="B58" s="18"/>
      <c r="C58" s="23"/>
      <c r="D58" s="190"/>
      <c r="E58" s="23"/>
      <c r="F58" s="23"/>
      <c r="G58" s="190"/>
      <c r="H58" s="23"/>
      <c r="I58" s="23"/>
      <c r="J58" s="190"/>
      <c r="K58" s="23"/>
      <c r="L58" s="23"/>
      <c r="M58" s="190"/>
      <c r="N58" s="23"/>
      <c r="O58" s="23"/>
      <c r="P58" s="190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 spans="1:29" s="34" customFormat="1" ht="16" x14ac:dyDescent="0.2">
      <c r="A59" s="8">
        <v>7</v>
      </c>
      <c r="B59" s="9" t="s">
        <v>76</v>
      </c>
      <c r="C59" s="11"/>
      <c r="D59" s="187"/>
      <c r="E59" s="143"/>
      <c r="F59" s="11"/>
      <c r="G59" s="187"/>
      <c r="H59" s="153"/>
      <c r="I59" s="11"/>
      <c r="J59" s="187"/>
      <c r="K59" s="153"/>
      <c r="L59" s="11"/>
      <c r="M59" s="187"/>
      <c r="N59" s="153"/>
      <c r="O59" s="11"/>
      <c r="P59" s="187"/>
      <c r="Q59" s="153"/>
      <c r="R59" s="155"/>
      <c r="S59" s="153"/>
      <c r="T59" s="155"/>
      <c r="U59" s="153"/>
      <c r="V59" s="155"/>
      <c r="W59" s="153"/>
      <c r="X59" s="155"/>
      <c r="Y59" s="153"/>
      <c r="Z59" s="155"/>
      <c r="AA59" s="153"/>
      <c r="AB59" s="155"/>
      <c r="AC59" s="153"/>
    </row>
    <row r="60" spans="1:29" s="34" customFormat="1" ht="16" x14ac:dyDescent="0.2">
      <c r="A60" s="8"/>
      <c r="B60" s="9"/>
      <c r="C60" s="20"/>
      <c r="D60" s="188"/>
      <c r="E60" s="143"/>
      <c r="F60" s="20"/>
      <c r="G60" s="188"/>
      <c r="H60" s="143"/>
      <c r="I60" s="20"/>
      <c r="J60" s="188"/>
      <c r="K60" s="143"/>
      <c r="L60" s="20"/>
      <c r="M60" s="188"/>
      <c r="N60" s="143"/>
      <c r="O60" s="20"/>
      <c r="P60" s="188"/>
      <c r="Q60" s="143"/>
      <c r="R60" s="20"/>
      <c r="S60" s="143"/>
      <c r="T60" s="20"/>
      <c r="U60" s="143"/>
      <c r="V60" s="20"/>
      <c r="W60" s="143"/>
      <c r="X60" s="20"/>
      <c r="Y60" s="143"/>
      <c r="Z60" s="20"/>
      <c r="AA60" s="143"/>
      <c r="AB60" s="20"/>
      <c r="AC60" s="143"/>
    </row>
    <row r="61" spans="1:29" s="34" customFormat="1" ht="17" thickBot="1" x14ac:dyDescent="0.25">
      <c r="A61" s="16"/>
      <c r="B61" s="17" t="s">
        <v>63</v>
      </c>
      <c r="C61" s="22"/>
      <c r="D61" s="189"/>
      <c r="E61" s="147"/>
      <c r="F61" s="22"/>
      <c r="G61" s="189"/>
      <c r="H61" s="147"/>
      <c r="I61" s="22"/>
      <c r="J61" s="189"/>
      <c r="K61" s="147"/>
      <c r="L61" s="22"/>
      <c r="M61" s="189"/>
      <c r="N61" s="147"/>
      <c r="O61" s="22"/>
      <c r="P61" s="189"/>
      <c r="Q61" s="147"/>
      <c r="R61" s="22"/>
      <c r="S61" s="147"/>
      <c r="T61" s="22"/>
      <c r="U61" s="147"/>
      <c r="V61" s="22"/>
      <c r="W61" s="147"/>
      <c r="X61" s="22"/>
      <c r="Y61" s="147"/>
      <c r="Z61" s="22"/>
      <c r="AA61" s="147"/>
      <c r="AB61" s="22"/>
      <c r="AC61" s="147"/>
    </row>
    <row r="62" spans="1:29" s="34" customFormat="1" ht="18" thickTop="1" thickBot="1" x14ac:dyDescent="0.25">
      <c r="A62" s="40"/>
      <c r="B62" s="41" t="s">
        <v>77</v>
      </c>
      <c r="C62" s="42"/>
      <c r="D62" s="191"/>
      <c r="E62" s="181">
        <f>E61+E57+E51+E46+E39+E34+E27</f>
        <v>9618000</v>
      </c>
      <c r="F62" s="181"/>
      <c r="G62" s="194"/>
      <c r="H62" s="181">
        <f>H61+H57+H51+H46+H39+H34+H27</f>
        <v>10667920</v>
      </c>
      <c r="I62" s="181"/>
      <c r="J62" s="194"/>
      <c r="K62" s="181">
        <f>K61+K57+K51+K46+K39+K34+K27</f>
        <v>11865793.600000001</v>
      </c>
      <c r="L62" s="181"/>
      <c r="M62" s="194"/>
      <c r="N62" s="181">
        <f>N61+N57+N51+N46+N39+N34+N27</f>
        <v>12863525.600000001</v>
      </c>
      <c r="O62" s="181"/>
      <c r="P62" s="194"/>
      <c r="Q62" s="181">
        <f>Q61+Q57+Q51+Q46+Q39+Q34+Q27</f>
        <v>13956488.080000002</v>
      </c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</row>
    <row r="63" spans="1:29" s="34" customFormat="1" ht="16" x14ac:dyDescent="0.2">
      <c r="A63" s="3"/>
      <c r="B63" s="166"/>
      <c r="C63" s="3"/>
      <c r="D63" s="195"/>
      <c r="E63" s="3"/>
      <c r="F63" s="3"/>
      <c r="G63" s="195"/>
      <c r="H63" s="3"/>
      <c r="I63" s="3"/>
      <c r="J63" s="195"/>
      <c r="K63" s="3"/>
      <c r="L63" s="3"/>
      <c r="M63" s="195"/>
      <c r="N63" s="3"/>
      <c r="O63" s="3"/>
      <c r="P63" s="195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s="34" customFormat="1" ht="16" x14ac:dyDescent="0.2">
      <c r="A64" s="3"/>
      <c r="B64" s="166"/>
      <c r="C64" s="3"/>
      <c r="D64" s="195"/>
      <c r="E64" s="3"/>
      <c r="F64" s="3"/>
      <c r="G64" s="195"/>
      <c r="H64" s="3"/>
      <c r="I64" s="3"/>
      <c r="J64" s="195"/>
      <c r="K64" s="3"/>
      <c r="L64" s="3"/>
      <c r="M64" s="195"/>
      <c r="N64" s="3"/>
      <c r="O64" s="3"/>
      <c r="P64" s="195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s="34" customFormat="1" ht="16" x14ac:dyDescent="0.2">
      <c r="A65" s="3"/>
      <c r="B65" s="166"/>
      <c r="C65" s="3"/>
      <c r="D65" s="195"/>
      <c r="E65" s="3"/>
      <c r="F65" s="3"/>
      <c r="G65" s="195"/>
      <c r="H65" s="3"/>
      <c r="I65" s="3"/>
      <c r="J65" s="195"/>
      <c r="K65" s="3"/>
      <c r="L65" s="3"/>
      <c r="M65" s="195"/>
      <c r="N65" s="3"/>
      <c r="O65" s="3"/>
      <c r="P65" s="195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s="34" customFormat="1" x14ac:dyDescent="0.15">
      <c r="B66" s="38"/>
      <c r="D66" s="203"/>
      <c r="G66" s="203"/>
      <c r="J66" s="203"/>
      <c r="M66" s="203"/>
      <c r="P66" s="203"/>
    </row>
    <row r="67" spans="1:29" s="34" customFormat="1" x14ac:dyDescent="0.15">
      <c r="B67" s="38"/>
      <c r="D67" s="203"/>
      <c r="G67" s="203"/>
      <c r="J67" s="203"/>
      <c r="M67" s="203"/>
      <c r="P67" s="203"/>
    </row>
    <row r="68" spans="1:29" s="34" customFormat="1" x14ac:dyDescent="0.15">
      <c r="B68" s="38"/>
      <c r="D68" s="203"/>
      <c r="G68" s="203"/>
      <c r="J68" s="203"/>
      <c r="M68" s="203"/>
      <c r="P68" s="203"/>
    </row>
    <row r="69" spans="1:29" s="34" customFormat="1" ht="14.25" customHeight="1" x14ac:dyDescent="0.15">
      <c r="D69" s="203"/>
      <c r="G69" s="203"/>
      <c r="J69" s="203"/>
      <c r="M69" s="203"/>
      <c r="P69" s="203"/>
    </row>
    <row r="70" spans="1:29" s="34" customFormat="1" x14ac:dyDescent="0.15">
      <c r="D70" s="203"/>
      <c r="G70" s="203"/>
      <c r="J70" s="203"/>
      <c r="M70" s="203"/>
      <c r="P70" s="203"/>
    </row>
    <row r="71" spans="1:29" s="34" customFormat="1" x14ac:dyDescent="0.15">
      <c r="D71" s="203"/>
      <c r="G71" s="203"/>
      <c r="J71" s="203"/>
      <c r="M71" s="203"/>
      <c r="P71" s="203"/>
    </row>
    <row r="72" spans="1:29" s="34" customFormat="1" x14ac:dyDescent="0.15">
      <c r="D72" s="203"/>
      <c r="G72" s="203"/>
      <c r="J72" s="203"/>
      <c r="M72" s="203"/>
      <c r="P72" s="203"/>
    </row>
    <row r="73" spans="1:29" s="34" customFormat="1" x14ac:dyDescent="0.15">
      <c r="D73" s="203"/>
      <c r="G73" s="203"/>
      <c r="J73" s="203"/>
      <c r="M73" s="203"/>
      <c r="P73" s="203"/>
    </row>
    <row r="74" spans="1:29" s="34" customFormat="1" x14ac:dyDescent="0.15">
      <c r="D74" s="203"/>
      <c r="G74" s="203"/>
      <c r="J74" s="203"/>
      <c r="M74" s="203"/>
      <c r="P74" s="203"/>
    </row>
    <row r="75" spans="1:29" s="34" customFormat="1" ht="12.75" customHeight="1" x14ac:dyDescent="0.15">
      <c r="D75" s="203"/>
      <c r="G75" s="203"/>
      <c r="J75" s="203"/>
      <c r="M75" s="203"/>
      <c r="P75" s="203"/>
    </row>
    <row r="76" spans="1:29" s="34" customFormat="1" ht="12.75" customHeight="1" x14ac:dyDescent="0.15">
      <c r="D76" s="203"/>
      <c r="G76" s="203"/>
      <c r="J76" s="203"/>
      <c r="M76" s="203"/>
      <c r="P76" s="203"/>
    </row>
    <row r="77" spans="1:29" s="34" customFormat="1" ht="12.75" customHeight="1" x14ac:dyDescent="0.15">
      <c r="D77" s="203"/>
      <c r="G77" s="203"/>
      <c r="J77" s="203"/>
      <c r="M77" s="203"/>
      <c r="P77" s="203"/>
    </row>
    <row r="78" spans="1:29" s="34" customFormat="1" ht="12.75" customHeight="1" x14ac:dyDescent="0.15">
      <c r="D78" s="203"/>
      <c r="G78" s="203"/>
      <c r="J78" s="203"/>
      <c r="M78" s="203"/>
      <c r="P78" s="203"/>
    </row>
    <row r="79" spans="1:29" s="34" customFormat="1" ht="12.75" customHeight="1" x14ac:dyDescent="0.15">
      <c r="D79" s="203"/>
      <c r="G79" s="203"/>
      <c r="J79" s="203"/>
      <c r="M79" s="203"/>
      <c r="P79" s="203"/>
    </row>
    <row r="80" spans="1:29" s="34" customFormat="1" ht="15" customHeight="1" x14ac:dyDescent="0.15">
      <c r="D80" s="203"/>
      <c r="G80" s="203"/>
      <c r="J80" s="203"/>
      <c r="M80" s="203"/>
      <c r="P80" s="203"/>
    </row>
    <row r="81" spans="1:29" s="34" customFormat="1" x14ac:dyDescent="0.15">
      <c r="D81" s="203"/>
      <c r="G81" s="203"/>
      <c r="J81" s="203"/>
      <c r="M81" s="203"/>
      <c r="P81" s="203"/>
    </row>
    <row r="82" spans="1:29" s="34" customFormat="1" x14ac:dyDescent="0.15">
      <c r="A82" s="2"/>
      <c r="B82" s="2"/>
      <c r="C82" s="2"/>
      <c r="D82" s="204"/>
      <c r="E82" s="156"/>
      <c r="F82" s="2"/>
      <c r="G82" s="204"/>
      <c r="H82" s="156"/>
      <c r="I82" s="2"/>
      <c r="J82" s="204"/>
      <c r="K82" s="156"/>
      <c r="L82" s="2"/>
      <c r="M82" s="204"/>
      <c r="N82" s="156"/>
      <c r="O82" s="2"/>
      <c r="P82" s="204"/>
      <c r="Q82" s="156"/>
      <c r="R82" s="156"/>
      <c r="S82" s="156"/>
      <c r="T82" s="156"/>
      <c r="U82" s="156"/>
      <c r="V82" s="156"/>
      <c r="W82" s="156"/>
      <c r="X82" s="156"/>
      <c r="Y82" s="156"/>
      <c r="Z82" s="156"/>
      <c r="AA82" s="156"/>
      <c r="AB82" s="156"/>
      <c r="AC82" s="156"/>
    </row>
    <row r="83" spans="1:29" s="34" customFormat="1" x14ac:dyDescent="0.15">
      <c r="A83" s="2"/>
      <c r="B83" s="2"/>
      <c r="C83" s="2"/>
      <c r="D83" s="204"/>
      <c r="E83" s="156"/>
      <c r="F83" s="2"/>
      <c r="G83" s="204"/>
      <c r="H83" s="156"/>
      <c r="I83" s="2"/>
      <c r="J83" s="204"/>
      <c r="K83" s="156"/>
      <c r="L83" s="2"/>
      <c r="M83" s="204"/>
      <c r="N83" s="156"/>
      <c r="O83" s="2"/>
      <c r="P83" s="204"/>
      <c r="Q83" s="156"/>
      <c r="R83" s="156"/>
      <c r="S83" s="156"/>
      <c r="T83" s="156"/>
      <c r="U83" s="156"/>
      <c r="V83" s="156"/>
      <c r="W83" s="156"/>
      <c r="X83" s="156"/>
      <c r="Y83" s="156"/>
      <c r="Z83" s="156"/>
      <c r="AA83" s="156"/>
      <c r="AB83" s="156"/>
      <c r="AC83" s="156"/>
    </row>
    <row r="84" spans="1:29" s="34" customFormat="1" x14ac:dyDescent="0.15">
      <c r="A84" s="2"/>
      <c r="B84" s="2"/>
      <c r="C84" s="2"/>
      <c r="D84" s="204"/>
      <c r="E84" s="156"/>
      <c r="F84" s="2"/>
      <c r="G84" s="204"/>
      <c r="H84" s="156"/>
      <c r="I84" s="2"/>
      <c r="J84" s="204"/>
      <c r="K84" s="156"/>
      <c r="L84" s="2"/>
      <c r="M84" s="204"/>
      <c r="N84" s="156"/>
      <c r="O84" s="2"/>
      <c r="P84" s="204"/>
      <c r="Q84" s="156"/>
      <c r="R84" s="156"/>
      <c r="S84" s="156"/>
      <c r="T84" s="156"/>
      <c r="U84" s="156"/>
      <c r="V84" s="156"/>
      <c r="W84" s="156"/>
      <c r="X84" s="156"/>
      <c r="Y84" s="156"/>
      <c r="Z84" s="156"/>
      <c r="AA84" s="156"/>
      <c r="AB84" s="156"/>
      <c r="AC84" s="156"/>
    </row>
    <row r="85" spans="1:29" s="34" customFormat="1" x14ac:dyDescent="0.15">
      <c r="A85" s="2"/>
      <c r="B85" s="2"/>
      <c r="C85" s="2"/>
      <c r="D85" s="204"/>
      <c r="E85" s="156"/>
      <c r="F85" s="2"/>
      <c r="G85" s="204"/>
      <c r="H85" s="156"/>
      <c r="I85" s="2"/>
      <c r="J85" s="204"/>
      <c r="K85" s="156"/>
      <c r="L85" s="2"/>
      <c r="M85" s="204"/>
      <c r="N85" s="156"/>
      <c r="O85" s="2"/>
      <c r="P85" s="204"/>
      <c r="Q85" s="156"/>
      <c r="R85" s="156"/>
      <c r="S85" s="156"/>
      <c r="T85" s="156"/>
      <c r="U85" s="156"/>
      <c r="V85" s="156"/>
      <c r="W85" s="156"/>
      <c r="X85" s="156"/>
      <c r="Y85" s="156"/>
      <c r="Z85" s="156"/>
      <c r="AA85" s="156"/>
      <c r="AB85" s="156"/>
      <c r="AC85" s="156"/>
    </row>
    <row r="86" spans="1:29" s="34" customFormat="1" x14ac:dyDescent="0.15">
      <c r="A86" s="2"/>
      <c r="B86" s="2"/>
      <c r="C86" s="2"/>
      <c r="D86" s="204"/>
      <c r="E86" s="156"/>
      <c r="F86" s="2"/>
      <c r="G86" s="204"/>
      <c r="H86" s="156"/>
      <c r="I86" s="2"/>
      <c r="J86" s="204"/>
      <c r="K86" s="156"/>
      <c r="L86" s="2"/>
      <c r="M86" s="204"/>
      <c r="N86" s="156"/>
      <c r="O86" s="2"/>
      <c r="P86" s="204"/>
      <c r="Q86" s="156"/>
      <c r="R86" s="156"/>
      <c r="S86" s="156"/>
      <c r="T86" s="156"/>
      <c r="U86" s="156"/>
      <c r="V86" s="156"/>
      <c r="W86" s="156"/>
      <c r="X86" s="156"/>
      <c r="Y86" s="156"/>
      <c r="Z86" s="156"/>
      <c r="AA86" s="156"/>
      <c r="AB86" s="156"/>
      <c r="AC86" s="156"/>
    </row>
    <row r="87" spans="1:29" s="34" customFormat="1" x14ac:dyDescent="0.15">
      <c r="A87" s="2"/>
      <c r="B87" s="2"/>
      <c r="C87" s="2"/>
      <c r="D87" s="204"/>
      <c r="E87" s="156"/>
      <c r="F87" s="2"/>
      <c r="G87" s="204"/>
      <c r="H87" s="156"/>
      <c r="I87" s="2"/>
      <c r="J87" s="204"/>
      <c r="K87" s="156"/>
      <c r="L87" s="2"/>
      <c r="M87" s="204"/>
      <c r="N87" s="156"/>
      <c r="O87" s="2"/>
      <c r="P87" s="204"/>
      <c r="Q87" s="156"/>
      <c r="R87" s="156"/>
      <c r="S87" s="156"/>
      <c r="T87" s="156"/>
      <c r="U87" s="156"/>
      <c r="V87" s="156"/>
      <c r="W87" s="156"/>
      <c r="X87" s="156"/>
      <c r="Y87" s="156"/>
      <c r="Z87" s="156"/>
      <c r="AA87" s="156"/>
      <c r="AB87" s="156"/>
      <c r="AC87" s="156"/>
    </row>
    <row r="88" spans="1:29" s="34" customFormat="1" x14ac:dyDescent="0.15">
      <c r="A88" s="2"/>
      <c r="B88" s="2"/>
      <c r="C88" s="2"/>
      <c r="D88" s="204"/>
      <c r="E88" s="156"/>
      <c r="F88" s="2"/>
      <c r="G88" s="204"/>
      <c r="H88" s="156"/>
      <c r="I88" s="2"/>
      <c r="J88" s="204"/>
      <c r="K88" s="156"/>
      <c r="L88" s="2"/>
      <c r="M88" s="204"/>
      <c r="N88" s="156"/>
      <c r="O88" s="2"/>
      <c r="P88" s="204"/>
      <c r="Q88" s="156"/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</row>
    <row r="89" spans="1:29" s="34" customFormat="1" x14ac:dyDescent="0.15">
      <c r="A89" s="2"/>
      <c r="B89" s="2"/>
      <c r="C89" s="2"/>
      <c r="D89" s="204"/>
      <c r="E89" s="156"/>
      <c r="F89" s="2"/>
      <c r="G89" s="204"/>
      <c r="H89" s="156"/>
      <c r="I89" s="2"/>
      <c r="J89" s="204"/>
      <c r="K89" s="156"/>
      <c r="L89" s="2"/>
      <c r="M89" s="204"/>
      <c r="N89" s="156"/>
      <c r="O89" s="2"/>
      <c r="P89" s="204"/>
      <c r="Q89" s="156"/>
      <c r="R89" s="156"/>
      <c r="S89" s="156"/>
      <c r="T89" s="156"/>
      <c r="U89" s="156"/>
      <c r="V89" s="156"/>
      <c r="W89" s="156"/>
      <c r="X89" s="156"/>
      <c r="Y89" s="156"/>
      <c r="Z89" s="156"/>
      <c r="AA89" s="156"/>
      <c r="AB89" s="156"/>
      <c r="AC89" s="156"/>
    </row>
    <row r="90" spans="1:29" x14ac:dyDescent="0.15">
      <c r="D90" s="204"/>
      <c r="E90" s="156"/>
      <c r="G90" s="204"/>
      <c r="H90" s="156"/>
      <c r="J90" s="204"/>
      <c r="K90" s="156"/>
      <c r="M90" s="204"/>
      <c r="N90" s="156"/>
      <c r="P90" s="204"/>
      <c r="Q90" s="156"/>
      <c r="R90" s="156"/>
      <c r="S90" s="156"/>
      <c r="T90" s="156"/>
      <c r="U90" s="156"/>
      <c r="V90" s="156"/>
      <c r="W90" s="156"/>
      <c r="X90" s="156"/>
      <c r="Y90" s="156"/>
      <c r="Z90" s="156"/>
      <c r="AA90" s="156"/>
      <c r="AB90" s="156"/>
      <c r="AC90" s="156"/>
    </row>
    <row r="91" spans="1:29" x14ac:dyDescent="0.15">
      <c r="D91" s="204"/>
      <c r="E91" s="156"/>
      <c r="G91" s="204"/>
      <c r="H91" s="156"/>
      <c r="J91" s="204"/>
      <c r="K91" s="156"/>
      <c r="M91" s="204"/>
      <c r="N91" s="156"/>
      <c r="P91" s="204"/>
      <c r="Q91" s="156"/>
      <c r="R91" s="156"/>
      <c r="S91" s="156"/>
      <c r="T91" s="156"/>
      <c r="U91" s="156"/>
      <c r="V91" s="156"/>
      <c r="W91" s="156"/>
      <c r="X91" s="156"/>
      <c r="Y91" s="156"/>
      <c r="Z91" s="156"/>
      <c r="AA91" s="156"/>
      <c r="AB91" s="156"/>
      <c r="AC91" s="156"/>
    </row>
    <row r="103" spans="1:29" s="39" customFormat="1" x14ac:dyDescent="0.15">
      <c r="A103" s="2"/>
      <c r="B103" s="2"/>
      <c r="C103" s="2"/>
      <c r="D103" s="204"/>
      <c r="E103" s="156"/>
      <c r="F103" s="2"/>
      <c r="G103" s="204"/>
      <c r="H103" s="156"/>
      <c r="I103" s="2"/>
      <c r="J103" s="204"/>
      <c r="K103" s="156"/>
      <c r="L103" s="2"/>
      <c r="M103" s="204"/>
      <c r="N103" s="156"/>
      <c r="O103" s="2"/>
      <c r="P103" s="204"/>
      <c r="Q103" s="156"/>
      <c r="R103" s="156"/>
      <c r="S103" s="156"/>
      <c r="T103" s="156"/>
      <c r="U103" s="156"/>
      <c r="V103" s="156"/>
      <c r="W103" s="156"/>
      <c r="X103" s="156"/>
      <c r="Y103" s="156"/>
      <c r="Z103" s="156"/>
      <c r="AA103" s="156"/>
      <c r="AB103" s="156"/>
      <c r="AC103" s="156"/>
    </row>
    <row r="104" spans="1:29" s="39" customFormat="1" x14ac:dyDescent="0.15">
      <c r="A104" s="2"/>
      <c r="B104" s="2"/>
      <c r="C104" s="2"/>
      <c r="D104" s="204"/>
      <c r="E104" s="156"/>
      <c r="F104" s="2"/>
      <c r="G104" s="204"/>
      <c r="H104" s="156"/>
      <c r="I104" s="2"/>
      <c r="J104" s="204"/>
      <c r="K104" s="156"/>
      <c r="L104" s="2"/>
      <c r="M104" s="204"/>
      <c r="N104" s="156"/>
      <c r="O104" s="2"/>
      <c r="P104" s="204"/>
      <c r="Q104" s="156"/>
      <c r="R104" s="156"/>
      <c r="S104" s="156"/>
      <c r="T104" s="156"/>
      <c r="U104" s="156"/>
      <c r="V104" s="156"/>
      <c r="W104" s="156"/>
      <c r="X104" s="156"/>
      <c r="Y104" s="156"/>
      <c r="Z104" s="156"/>
      <c r="AA104" s="156"/>
      <c r="AB104" s="156"/>
      <c r="AC104" s="156"/>
    </row>
    <row r="105" spans="1:29" s="39" customFormat="1" x14ac:dyDescent="0.15">
      <c r="A105" s="2"/>
      <c r="B105" s="2"/>
      <c r="C105" s="2"/>
      <c r="D105" s="204"/>
      <c r="E105" s="156"/>
      <c r="F105" s="2"/>
      <c r="G105" s="204"/>
      <c r="H105" s="156"/>
      <c r="I105" s="2"/>
      <c r="J105" s="204"/>
      <c r="K105" s="156"/>
      <c r="L105" s="2"/>
      <c r="M105" s="204"/>
      <c r="N105" s="156"/>
      <c r="O105" s="2"/>
      <c r="P105" s="204"/>
      <c r="Q105" s="156"/>
      <c r="R105" s="156"/>
      <c r="S105" s="156"/>
      <c r="T105" s="156"/>
      <c r="U105" s="156"/>
      <c r="V105" s="156"/>
      <c r="W105" s="156"/>
      <c r="X105" s="156"/>
      <c r="Y105" s="156"/>
      <c r="Z105" s="156"/>
      <c r="AA105" s="156"/>
      <c r="AB105" s="156"/>
      <c r="AC105" s="156"/>
    </row>
  </sheetData>
  <mergeCells count="44">
    <mergeCell ref="V8:W8"/>
    <mergeCell ref="X8:Y8"/>
    <mergeCell ref="Z8:AA8"/>
    <mergeCell ref="AB8:AC8"/>
    <mergeCell ref="V9:V10"/>
    <mergeCell ref="W9:W10"/>
    <mergeCell ref="X9:X10"/>
    <mergeCell ref="Y9:Y10"/>
    <mergeCell ref="Z9:Z10"/>
    <mergeCell ref="AA9:AA10"/>
    <mergeCell ref="AB9:AB10"/>
    <mergeCell ref="AC9:AC10"/>
    <mergeCell ref="A9:A10"/>
    <mergeCell ref="B9:B10"/>
    <mergeCell ref="C9:C10"/>
    <mergeCell ref="A1:E1"/>
    <mergeCell ref="A2:E2"/>
    <mergeCell ref="A3:E3"/>
    <mergeCell ref="A5:E5"/>
    <mergeCell ref="A6:E6"/>
    <mergeCell ref="G9:G10"/>
    <mergeCell ref="D8:E8"/>
    <mergeCell ref="G8:H8"/>
    <mergeCell ref="J8:K8"/>
    <mergeCell ref="M8:N8"/>
    <mergeCell ref="D9:D10"/>
    <mergeCell ref="E9:E10"/>
    <mergeCell ref="F9:F10"/>
    <mergeCell ref="I9:I10"/>
    <mergeCell ref="L9:L10"/>
    <mergeCell ref="T8:U8"/>
    <mergeCell ref="T9:T10"/>
    <mergeCell ref="U9:U10"/>
    <mergeCell ref="H9:H10"/>
    <mergeCell ref="J9:J10"/>
    <mergeCell ref="K9:K10"/>
    <mergeCell ref="M9:M10"/>
    <mergeCell ref="N9:N10"/>
    <mergeCell ref="R9:R10"/>
    <mergeCell ref="S9:S10"/>
    <mergeCell ref="P8:Q8"/>
    <mergeCell ref="O9:O10"/>
    <mergeCell ref="P9:P10"/>
    <mergeCell ref="Q9:Q10"/>
  </mergeCells>
  <pageMargins left="0.63" right="0.36" top="0.54" bottom="0.52" header="0.22" footer="0.19"/>
  <pageSetup paperSize="9" scale="65" fitToHeight="0" orientation="portrait" horizontalDpi="1200" verticalDpi="1200" r:id="rId1"/>
  <headerFooter alignWithMargins="0"/>
  <rowBreaks count="2" manualBreakCount="2">
    <brk id="35" max="7" man="1"/>
    <brk id="40" max="7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4988-F872-5846-AE8D-D02399B9E631}">
  <sheetPr>
    <tabColor rgb="FF92D050"/>
  </sheetPr>
  <dimension ref="A1:H32"/>
  <sheetViews>
    <sheetView zoomScale="125" workbookViewId="0">
      <selection activeCell="H11" sqref="H11"/>
    </sheetView>
  </sheetViews>
  <sheetFormatPr baseColWidth="10" defaultColWidth="11.5" defaultRowHeight="15" x14ac:dyDescent="0.2"/>
  <cols>
    <col min="1" max="1" width="101.5" style="58" customWidth="1"/>
    <col min="2" max="2" width="13.33203125" style="90" bestFit="1" customWidth="1"/>
    <col min="3" max="3" width="6" style="90" bestFit="1" customWidth="1"/>
    <col min="4" max="4" width="9.5" style="90" bestFit="1" customWidth="1"/>
    <col min="5" max="5" width="13.1640625" style="90" customWidth="1"/>
    <col min="6" max="6" width="11.5" style="90" bestFit="1" customWidth="1"/>
    <col min="7" max="8" width="18.5" style="90" bestFit="1" customWidth="1"/>
    <col min="9" max="9" width="6.1640625" style="90" bestFit="1" customWidth="1"/>
    <col min="10" max="10" width="9.6640625" style="90" bestFit="1" customWidth="1"/>
    <col min="11" max="16384" width="11.5" style="90"/>
  </cols>
  <sheetData>
    <row r="1" spans="1:8" s="105" customFormat="1" x14ac:dyDescent="0.2">
      <c r="A1" s="106" t="s">
        <v>79</v>
      </c>
      <c r="B1" s="107"/>
      <c r="C1" s="107"/>
      <c r="D1" s="107"/>
      <c r="E1" s="107"/>
      <c r="F1" s="108"/>
      <c r="G1" s="108"/>
      <c r="H1" s="108"/>
    </row>
    <row r="2" spans="1:8" s="58" customFormat="1" x14ac:dyDescent="0.2">
      <c r="A2" s="85"/>
      <c r="B2" s="86"/>
      <c r="C2" s="86"/>
      <c r="D2" s="86"/>
      <c r="E2" s="86"/>
      <c r="F2" s="87"/>
      <c r="G2" s="87"/>
      <c r="H2" s="87">
        <v>1</v>
      </c>
    </row>
    <row r="3" spans="1:8" s="58" customFormat="1" x14ac:dyDescent="0.2">
      <c r="A3" s="93" t="s">
        <v>83</v>
      </c>
      <c r="B3" s="92" t="s">
        <v>78</v>
      </c>
      <c r="C3" s="92" t="s">
        <v>44</v>
      </c>
      <c r="D3" s="92" t="s">
        <v>80</v>
      </c>
      <c r="E3" s="95" t="s">
        <v>43</v>
      </c>
      <c r="F3" s="96" t="s">
        <v>81</v>
      </c>
      <c r="G3" s="96" t="s">
        <v>82</v>
      </c>
      <c r="H3" s="96" t="s">
        <v>140</v>
      </c>
    </row>
    <row r="4" spans="1:8" s="58" customFormat="1" x14ac:dyDescent="0.2">
      <c r="A4" s="51" t="s">
        <v>84</v>
      </c>
      <c r="B4" s="50">
        <v>3</v>
      </c>
      <c r="C4" s="50"/>
      <c r="D4" s="50">
        <v>40000</v>
      </c>
      <c r="E4" s="50">
        <f>D4*B4</f>
        <v>120000</v>
      </c>
      <c r="F4" s="50">
        <v>3</v>
      </c>
      <c r="G4" s="157">
        <f>E4/F4</f>
        <v>40000</v>
      </c>
      <c r="H4" s="157"/>
    </row>
    <row r="5" spans="1:8" s="58" customFormat="1" x14ac:dyDescent="0.2">
      <c r="A5" s="51" t="s">
        <v>85</v>
      </c>
      <c r="B5" s="50">
        <v>2</v>
      </c>
      <c r="C5" s="50"/>
      <c r="D5" s="50">
        <v>10000</v>
      </c>
      <c r="E5" s="50">
        <f>D5*B5</f>
        <v>20000</v>
      </c>
      <c r="F5" s="50">
        <v>3</v>
      </c>
      <c r="G5" s="157">
        <f t="shared" ref="G5:G8" si="0">E5/F5</f>
        <v>6666.666666666667</v>
      </c>
      <c r="H5" s="157"/>
    </row>
    <row r="6" spans="1:8" s="58" customFormat="1" x14ac:dyDescent="0.2">
      <c r="A6" s="51" t="s">
        <v>86</v>
      </c>
      <c r="B6" s="50"/>
      <c r="C6" s="50"/>
      <c r="D6" s="50"/>
      <c r="E6" s="50">
        <v>1000000</v>
      </c>
      <c r="F6" s="50">
        <v>3</v>
      </c>
      <c r="G6" s="157">
        <f t="shared" si="0"/>
        <v>333333.33333333331</v>
      </c>
      <c r="H6" s="157"/>
    </row>
    <row r="7" spans="1:8" s="58" customFormat="1" x14ac:dyDescent="0.2">
      <c r="A7" s="51" t="s">
        <v>87</v>
      </c>
      <c r="B7" s="50"/>
      <c r="C7" s="50"/>
      <c r="D7" s="50"/>
      <c r="E7" s="50">
        <v>50000</v>
      </c>
      <c r="F7" s="50">
        <v>3</v>
      </c>
      <c r="G7" s="157">
        <f t="shared" si="0"/>
        <v>16666.666666666668</v>
      </c>
      <c r="H7" s="157"/>
    </row>
    <row r="8" spans="1:8" s="58" customFormat="1" x14ac:dyDescent="0.2">
      <c r="A8" s="51" t="s">
        <v>88</v>
      </c>
      <c r="B8" s="50"/>
      <c r="C8" s="50"/>
      <c r="D8" s="50"/>
      <c r="E8" s="50">
        <v>20000</v>
      </c>
      <c r="F8" s="50">
        <v>3</v>
      </c>
      <c r="G8" s="157">
        <f t="shared" si="0"/>
        <v>6666.666666666667</v>
      </c>
      <c r="H8" s="157"/>
    </row>
    <row r="9" spans="1:8" s="58" customFormat="1" x14ac:dyDescent="0.2">
      <c r="A9" s="51"/>
      <c r="B9" s="50"/>
      <c r="C9" s="50"/>
      <c r="D9" s="50"/>
      <c r="E9" s="50"/>
      <c r="F9" s="50"/>
      <c r="G9" s="50"/>
      <c r="H9" s="50"/>
    </row>
    <row r="10" spans="1:8" s="58" customFormat="1" x14ac:dyDescent="0.2">
      <c r="A10" s="88" t="s">
        <v>45</v>
      </c>
      <c r="B10" s="94"/>
      <c r="C10" s="94"/>
      <c r="D10" s="94"/>
      <c r="E10" s="158">
        <f>SUM(E4:E9)</f>
        <v>1210000</v>
      </c>
      <c r="F10" s="89"/>
      <c r="G10" s="158">
        <f>SUM(G4:G9)</f>
        <v>403333.33333333337</v>
      </c>
      <c r="H10" s="158">
        <f>(E10/3)*H2</f>
        <v>403333.33333333331</v>
      </c>
    </row>
    <row r="11" spans="1:8" s="58" customFormat="1" x14ac:dyDescent="0.2">
      <c r="A11" s="51"/>
      <c r="B11" s="50"/>
      <c r="C11" s="50"/>
      <c r="D11" s="50"/>
      <c r="E11" s="50"/>
      <c r="F11" s="50"/>
      <c r="G11" s="50"/>
      <c r="H11" s="50"/>
    </row>
    <row r="12" spans="1:8" ht="16" thickBot="1" x14ac:dyDescent="0.25">
      <c r="A12" s="52"/>
      <c r="B12" s="53"/>
      <c r="C12" s="53"/>
      <c r="D12" s="53"/>
      <c r="E12" s="53"/>
      <c r="F12" s="53"/>
      <c r="G12" s="53"/>
      <c r="H12" s="53"/>
    </row>
    <row r="16" spans="1:8" x14ac:dyDescent="0.2">
      <c r="A16" s="91"/>
    </row>
    <row r="32" spans="1:1" x14ac:dyDescent="0.2">
      <c r="A32" s="9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D95E-0ED9-DA47-93E3-4E4C65B643AA}">
  <sheetPr>
    <tabColor rgb="FF92D050"/>
  </sheetPr>
  <dimension ref="A1:B19"/>
  <sheetViews>
    <sheetView zoomScale="171" workbookViewId="0">
      <selection activeCell="D17" sqref="D17"/>
    </sheetView>
  </sheetViews>
  <sheetFormatPr baseColWidth="10" defaultColWidth="11.5" defaultRowHeight="15" x14ac:dyDescent="0.2"/>
  <cols>
    <col min="1" max="1" width="24.5" bestFit="1" customWidth="1"/>
    <col min="2" max="2" width="16.33203125" bestFit="1" customWidth="1"/>
  </cols>
  <sheetData>
    <row r="1" spans="1:2" x14ac:dyDescent="0.2">
      <c r="A1" s="47" t="s">
        <v>89</v>
      </c>
      <c r="B1" s="48" t="s">
        <v>90</v>
      </c>
    </row>
    <row r="2" spans="1:2" x14ac:dyDescent="0.2">
      <c r="A2" s="43" t="s">
        <v>91</v>
      </c>
      <c r="B2" s="44"/>
    </row>
    <row r="3" spans="1:2" x14ac:dyDescent="0.2">
      <c r="A3" s="43" t="s">
        <v>92</v>
      </c>
      <c r="B3" s="44"/>
    </row>
    <row r="4" spans="1:2" x14ac:dyDescent="0.2">
      <c r="A4" s="364"/>
      <c r="B4" s="365"/>
    </row>
    <row r="5" spans="1:2" x14ac:dyDescent="0.2">
      <c r="A5" s="43" t="s">
        <v>93</v>
      </c>
      <c r="B5" s="44"/>
    </row>
    <row r="6" spans="1:2" x14ac:dyDescent="0.2">
      <c r="A6" s="43" t="s">
        <v>94</v>
      </c>
      <c r="B6" s="44"/>
    </row>
    <row r="7" spans="1:2" x14ac:dyDescent="0.2">
      <c r="A7" s="43" t="s">
        <v>95</v>
      </c>
      <c r="B7" s="44"/>
    </row>
    <row r="8" spans="1:2" x14ac:dyDescent="0.2">
      <c r="A8" s="43" t="s">
        <v>96</v>
      </c>
      <c r="B8" s="44"/>
    </row>
    <row r="9" spans="1:2" x14ac:dyDescent="0.2">
      <c r="A9" s="43" t="s">
        <v>97</v>
      </c>
      <c r="B9" s="44"/>
    </row>
    <row r="10" spans="1:2" x14ac:dyDescent="0.2">
      <c r="A10" s="43" t="s">
        <v>98</v>
      </c>
      <c r="B10" s="44"/>
    </row>
    <row r="11" spans="1:2" x14ac:dyDescent="0.2">
      <c r="A11" s="364"/>
      <c r="B11" s="365"/>
    </row>
    <row r="12" spans="1:2" x14ac:dyDescent="0.2">
      <c r="A12" s="43" t="s">
        <v>99</v>
      </c>
      <c r="B12" s="44"/>
    </row>
    <row r="13" spans="1:2" x14ac:dyDescent="0.2">
      <c r="A13" s="364"/>
      <c r="B13" s="365"/>
    </row>
    <row r="14" spans="1:2" x14ac:dyDescent="0.2">
      <c r="A14" s="43" t="s">
        <v>100</v>
      </c>
      <c r="B14" s="44"/>
    </row>
    <row r="15" spans="1:2" x14ac:dyDescent="0.2">
      <c r="A15" s="43" t="s">
        <v>101</v>
      </c>
      <c r="B15" s="44"/>
    </row>
    <row r="16" spans="1:2" x14ac:dyDescent="0.2">
      <c r="A16" s="43" t="s">
        <v>102</v>
      </c>
      <c r="B16" s="44"/>
    </row>
    <row r="17" spans="1:2" x14ac:dyDescent="0.2">
      <c r="A17" s="43" t="s">
        <v>103</v>
      </c>
      <c r="B17" s="44"/>
    </row>
    <row r="18" spans="1:2" ht="16" thickBot="1" x14ac:dyDescent="0.25">
      <c r="A18" s="45" t="s">
        <v>104</v>
      </c>
      <c r="B18" s="46"/>
    </row>
    <row r="19" spans="1:2" ht="16" thickBot="1" x14ac:dyDescent="0.25">
      <c r="A19" s="49" t="s">
        <v>45</v>
      </c>
      <c r="B19" s="207">
        <v>500000</v>
      </c>
    </row>
  </sheetData>
  <mergeCells count="3">
    <mergeCell ref="A4:B4"/>
    <mergeCell ref="A11:B11"/>
    <mergeCell ref="A13:B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1BAE-C62F-8449-9EF8-C317957BCF30}">
  <sheetPr>
    <tabColor rgb="FF92D050"/>
  </sheetPr>
  <dimension ref="A1:AC99"/>
  <sheetViews>
    <sheetView showGridLines="0" topLeftCell="A5" zoomScale="85" zoomScaleNormal="100" zoomScaleSheetLayoutView="55" workbookViewId="0">
      <pane xSplit="2" ySplit="2" topLeftCell="C7" activePane="bottomRight" state="frozen"/>
      <selection activeCell="A5" sqref="A5"/>
      <selection pane="topRight" activeCell="C5" sqref="C5"/>
      <selection pane="bottomLeft" activeCell="A7" sqref="A7"/>
      <selection pane="bottomRight" activeCell="C31" sqref="C31"/>
    </sheetView>
  </sheetViews>
  <sheetFormatPr baseColWidth="10" defaultColWidth="9.1640625" defaultRowHeight="13" x14ac:dyDescent="0.15"/>
  <cols>
    <col min="1" max="1" width="10.6640625" style="2" customWidth="1"/>
    <col min="2" max="2" width="55.5" style="2" customWidth="1"/>
    <col min="3" max="3" width="14.33203125" style="2" customWidth="1"/>
    <col min="4" max="4" width="14.33203125" style="205" customWidth="1"/>
    <col min="5" max="5" width="14.33203125" style="98" customWidth="1"/>
    <col min="6" max="6" width="14.33203125" style="2" customWidth="1"/>
    <col min="7" max="7" width="14.33203125" style="205" customWidth="1"/>
    <col min="8" max="8" width="14.33203125" style="98" customWidth="1"/>
    <col min="9" max="9" width="14.33203125" style="2" customWidth="1"/>
    <col min="10" max="10" width="14.33203125" style="205" customWidth="1"/>
    <col min="11" max="11" width="14.33203125" style="98" customWidth="1"/>
    <col min="12" max="12" width="14.33203125" style="2" customWidth="1"/>
    <col min="13" max="13" width="14.33203125" style="205" customWidth="1"/>
    <col min="14" max="14" width="14.33203125" style="98" customWidth="1"/>
    <col min="15" max="15" width="14.33203125" style="2" customWidth="1"/>
    <col min="16" max="16" width="14.33203125" style="205" customWidth="1"/>
    <col min="17" max="17" width="14.33203125" style="98" customWidth="1"/>
    <col min="18" max="18" width="14.33203125" style="98" hidden="1" customWidth="1"/>
    <col min="19" max="19" width="14.1640625" style="98" hidden="1" customWidth="1"/>
    <col min="20" max="20" width="14.33203125" style="98" hidden="1" customWidth="1"/>
    <col min="21" max="21" width="13.6640625" style="98" hidden="1" customWidth="1"/>
    <col min="22" max="22" width="14.33203125" style="98" hidden="1" customWidth="1"/>
    <col min="23" max="23" width="13.6640625" style="98" hidden="1" customWidth="1"/>
    <col min="24" max="24" width="14.33203125" style="98" hidden="1" customWidth="1"/>
    <col min="25" max="25" width="13.6640625" style="98" hidden="1" customWidth="1"/>
    <col min="26" max="26" width="14.33203125" style="98" hidden="1" customWidth="1"/>
    <col min="27" max="27" width="13.6640625" style="98" hidden="1" customWidth="1"/>
    <col min="28" max="28" width="14.33203125" style="98" hidden="1" customWidth="1"/>
    <col min="29" max="29" width="2.1640625" style="98" hidden="1" customWidth="1"/>
    <col min="30" max="30" width="9.1640625" style="2" customWidth="1"/>
    <col min="31" max="16384" width="9.1640625" style="2"/>
  </cols>
  <sheetData>
    <row r="1" spans="1:29" ht="16" x14ac:dyDescent="0.2">
      <c r="A1" s="360" t="s">
        <v>50</v>
      </c>
      <c r="B1" s="361"/>
      <c r="C1" s="361"/>
      <c r="D1" s="361"/>
      <c r="E1" s="361"/>
      <c r="F1" s="256"/>
      <c r="G1" s="192"/>
      <c r="H1" s="256"/>
      <c r="I1" s="256"/>
      <c r="J1" s="192"/>
      <c r="K1" s="2"/>
      <c r="L1" s="256"/>
      <c r="M1" s="192"/>
      <c r="N1" s="2"/>
      <c r="O1" s="256"/>
      <c r="P1" s="19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6" x14ac:dyDescent="0.2">
      <c r="A2" s="361" t="s">
        <v>51</v>
      </c>
      <c r="B2" s="361"/>
      <c r="C2" s="361"/>
      <c r="D2" s="361"/>
      <c r="E2" s="361"/>
      <c r="F2" s="256"/>
      <c r="G2" s="192"/>
      <c r="H2" s="256"/>
      <c r="I2" s="256"/>
      <c r="J2" s="192"/>
      <c r="K2" s="2"/>
      <c r="L2" s="256"/>
      <c r="M2" s="192"/>
      <c r="N2" s="2"/>
      <c r="O2" s="256"/>
      <c r="P2" s="19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s="3" customFormat="1" ht="16" x14ac:dyDescent="0.2">
      <c r="A3" s="361" t="s">
        <v>52</v>
      </c>
      <c r="B3" s="361"/>
      <c r="C3" s="361"/>
      <c r="D3" s="361"/>
      <c r="E3" s="361"/>
      <c r="F3" s="256"/>
      <c r="G3" s="192"/>
      <c r="H3" s="256"/>
      <c r="I3" s="256"/>
      <c r="J3" s="192"/>
      <c r="L3" s="256"/>
      <c r="M3" s="192"/>
      <c r="O3" s="256"/>
      <c r="P3" s="192"/>
    </row>
    <row r="4" spans="1:29" s="3" customFormat="1" ht="16" x14ac:dyDescent="0.2">
      <c r="A4" s="4"/>
      <c r="B4" s="4"/>
      <c r="C4" s="4"/>
      <c r="D4" s="193"/>
      <c r="E4" s="4"/>
      <c r="F4" s="4"/>
      <c r="G4" s="193"/>
      <c r="H4" s="4"/>
      <c r="I4" s="4"/>
      <c r="J4" s="193"/>
      <c r="K4" s="4"/>
      <c r="L4" s="4"/>
      <c r="M4" s="193"/>
      <c r="N4" s="4"/>
      <c r="O4" s="4"/>
      <c r="P4" s="19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s="3" customFormat="1" ht="16" x14ac:dyDescent="0.2">
      <c r="A5" s="362" t="s">
        <v>53</v>
      </c>
      <c r="B5" s="362"/>
      <c r="C5" s="362"/>
      <c r="D5" s="362"/>
      <c r="E5" s="362"/>
      <c r="F5" s="257"/>
      <c r="G5" s="193"/>
      <c r="H5" s="257"/>
      <c r="I5" s="257"/>
      <c r="J5" s="193"/>
      <c r="L5" s="257"/>
      <c r="M5" s="193"/>
      <c r="O5" s="257"/>
      <c r="P5" s="193"/>
    </row>
    <row r="6" spans="1:29" s="3" customFormat="1" ht="18.75" customHeight="1" x14ac:dyDescent="0.2">
      <c r="A6" s="363"/>
      <c r="B6" s="363"/>
      <c r="C6" s="363"/>
      <c r="D6" s="363"/>
      <c r="E6" s="363"/>
      <c r="F6" s="258"/>
      <c r="G6" s="195"/>
      <c r="H6" s="258"/>
      <c r="I6" s="258"/>
      <c r="J6" s="195"/>
      <c r="L6" s="258"/>
      <c r="M6" s="195"/>
      <c r="O6" s="258"/>
      <c r="P6" s="195"/>
    </row>
    <row r="7" spans="1:29" s="3" customFormat="1" ht="16" x14ac:dyDescent="0.2">
      <c r="D7" s="195"/>
      <c r="G7" s="195"/>
      <c r="J7" s="195"/>
      <c r="M7" s="195"/>
      <c r="P7" s="195"/>
    </row>
    <row r="8" spans="1:29" s="3" customFormat="1" ht="17" thickBot="1" x14ac:dyDescent="0.25">
      <c r="C8" s="178">
        <v>0.04</v>
      </c>
      <c r="D8" s="354" t="s">
        <v>1</v>
      </c>
      <c r="E8" s="355"/>
      <c r="F8" s="178"/>
      <c r="G8" s="354" t="s">
        <v>2</v>
      </c>
      <c r="H8" s="355"/>
      <c r="I8" s="178"/>
      <c r="J8" s="354" t="s">
        <v>3</v>
      </c>
      <c r="K8" s="355"/>
      <c r="L8" s="178"/>
      <c r="M8" s="354" t="s">
        <v>4</v>
      </c>
      <c r="N8" s="355"/>
      <c r="O8" s="178"/>
      <c r="P8" s="354" t="s">
        <v>5</v>
      </c>
      <c r="Q8" s="355"/>
      <c r="R8" s="179"/>
      <c r="S8" s="180"/>
      <c r="T8" s="354"/>
      <c r="U8" s="355"/>
      <c r="V8" s="354"/>
      <c r="W8" s="355"/>
      <c r="X8" s="354"/>
      <c r="Y8" s="355"/>
      <c r="Z8" s="354"/>
      <c r="AA8" s="355"/>
      <c r="AB8" s="354"/>
      <c r="AC8" s="355"/>
    </row>
    <row r="9" spans="1:29" s="3" customFormat="1" ht="15.75" customHeight="1" x14ac:dyDescent="0.2">
      <c r="A9" s="358" t="s">
        <v>54</v>
      </c>
      <c r="B9" s="356" t="s">
        <v>55</v>
      </c>
      <c r="C9" s="356" t="s">
        <v>56</v>
      </c>
      <c r="D9" s="356" t="s">
        <v>57</v>
      </c>
      <c r="E9" s="356" t="s">
        <v>58</v>
      </c>
      <c r="F9" s="356" t="s">
        <v>56</v>
      </c>
      <c r="G9" s="356" t="s">
        <v>57</v>
      </c>
      <c r="H9" s="356" t="s">
        <v>58</v>
      </c>
      <c r="I9" s="356" t="s">
        <v>56</v>
      </c>
      <c r="J9" s="356" t="s">
        <v>57</v>
      </c>
      <c r="K9" s="356" t="s">
        <v>58</v>
      </c>
      <c r="L9" s="356" t="s">
        <v>56</v>
      </c>
      <c r="M9" s="356" t="s">
        <v>57</v>
      </c>
      <c r="N9" s="356" t="s">
        <v>58</v>
      </c>
      <c r="O9" s="356" t="s">
        <v>56</v>
      </c>
      <c r="P9" s="356" t="s">
        <v>57</v>
      </c>
      <c r="Q9" s="356" t="s">
        <v>58</v>
      </c>
      <c r="R9" s="356"/>
      <c r="S9" s="356"/>
      <c r="T9" s="356"/>
      <c r="U9" s="356"/>
      <c r="V9" s="356"/>
      <c r="W9" s="356"/>
      <c r="X9" s="356"/>
      <c r="Y9" s="356"/>
      <c r="Z9" s="356"/>
      <c r="AA9" s="356"/>
      <c r="AB9" s="356"/>
      <c r="AC9" s="356"/>
    </row>
    <row r="10" spans="1:29" s="3" customFormat="1" ht="16.5" customHeight="1" thickBot="1" x14ac:dyDescent="0.25">
      <c r="A10" s="359"/>
      <c r="B10" s="357"/>
      <c r="C10" s="357"/>
      <c r="D10" s="357"/>
      <c r="E10" s="357"/>
      <c r="F10" s="357"/>
      <c r="G10" s="357"/>
      <c r="H10" s="357"/>
      <c r="I10" s="357"/>
      <c r="J10" s="357"/>
      <c r="K10" s="357"/>
      <c r="L10" s="357"/>
      <c r="M10" s="357"/>
      <c r="N10" s="357"/>
      <c r="O10" s="357"/>
      <c r="P10" s="357"/>
      <c r="Q10" s="357"/>
      <c r="R10" s="357"/>
      <c r="S10" s="357"/>
      <c r="T10" s="357"/>
      <c r="U10" s="357"/>
      <c r="V10" s="357"/>
      <c r="W10" s="357"/>
      <c r="X10" s="357"/>
      <c r="Y10" s="357"/>
      <c r="Z10" s="357"/>
      <c r="AA10" s="357"/>
      <c r="AB10" s="357"/>
      <c r="AC10" s="357"/>
    </row>
    <row r="11" spans="1:29" s="3" customFormat="1" ht="16" x14ac:dyDescent="0.2">
      <c r="A11" s="5">
        <v>1</v>
      </c>
      <c r="B11" s="7" t="s">
        <v>59</v>
      </c>
      <c r="C11" s="6"/>
      <c r="D11" s="183"/>
      <c r="E11" s="6"/>
      <c r="F11" s="6"/>
      <c r="G11" s="183"/>
      <c r="H11" s="6"/>
      <c r="I11" s="6"/>
      <c r="J11" s="183"/>
      <c r="K11" s="6"/>
      <c r="L11" s="6"/>
      <c r="M11" s="183"/>
      <c r="N11" s="6"/>
      <c r="O11" s="6"/>
      <c r="P11" s="183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s="3" customFormat="1" ht="16" x14ac:dyDescent="0.2">
      <c r="A12" s="5"/>
      <c r="B12" s="7"/>
      <c r="C12" s="6"/>
      <c r="D12" s="183"/>
      <c r="E12" s="6"/>
      <c r="F12" s="6"/>
      <c r="G12" s="183"/>
      <c r="H12" s="6"/>
      <c r="I12" s="6"/>
      <c r="J12" s="183"/>
      <c r="K12" s="6"/>
      <c r="L12" s="6"/>
      <c r="M12" s="183"/>
      <c r="N12" s="6"/>
      <c r="O12" s="6"/>
      <c r="P12" s="183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s="3" customFormat="1" ht="16" x14ac:dyDescent="0.2">
      <c r="A13" s="5"/>
      <c r="B13" s="7"/>
      <c r="C13" s="6"/>
      <c r="D13" s="183"/>
      <c r="E13" s="6"/>
      <c r="F13" s="6"/>
      <c r="G13" s="183"/>
      <c r="H13" s="6"/>
      <c r="I13" s="6"/>
      <c r="J13" s="183"/>
      <c r="K13" s="6"/>
      <c r="L13" s="6"/>
      <c r="M13" s="183"/>
      <c r="N13" s="6"/>
      <c r="O13" s="6"/>
      <c r="P13" s="183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s="3" customFormat="1" ht="16" x14ac:dyDescent="0.2">
      <c r="A14" s="8"/>
      <c r="B14" s="9" t="s">
        <v>143</v>
      </c>
      <c r="C14" s="10">
        <v>500000</v>
      </c>
      <c r="D14" s="196">
        <v>1</v>
      </c>
      <c r="E14" s="143">
        <f>D14*C14</f>
        <v>500000</v>
      </c>
      <c r="F14" s="10">
        <f>C14*(1+$C$8)</f>
        <v>520000</v>
      </c>
      <c r="G14" s="196">
        <f>D14</f>
        <v>1</v>
      </c>
      <c r="H14" s="10">
        <f>F14*(1+$C$8)*G14</f>
        <v>540800</v>
      </c>
      <c r="I14" s="10">
        <f t="shared" ref="F14:I18" si="0">F14*(1+$C$8)</f>
        <v>540800</v>
      </c>
      <c r="J14" s="196">
        <f>G14</f>
        <v>1</v>
      </c>
      <c r="K14" s="10">
        <f>I14*(1+$C$8)*J14</f>
        <v>562432</v>
      </c>
      <c r="L14" s="10">
        <f t="shared" ref="L14:L18" si="1">I14*(1+$C$8)</f>
        <v>562432</v>
      </c>
      <c r="M14" s="196">
        <f>J14</f>
        <v>1</v>
      </c>
      <c r="N14" s="10">
        <f>L14*(1+$C$8)*M14</f>
        <v>584929.28000000003</v>
      </c>
      <c r="O14" s="10">
        <f t="shared" ref="O14:O18" si="2">L14*(1+$C$8)</f>
        <v>584929.28000000003</v>
      </c>
      <c r="P14" s="196">
        <f>M14</f>
        <v>1</v>
      </c>
      <c r="Q14" s="10">
        <f>O14*(1+$C$8)*P14</f>
        <v>608326.45120000001</v>
      </c>
      <c r="R14" s="142"/>
      <c r="S14" s="143"/>
      <c r="T14" s="142"/>
      <c r="U14" s="143"/>
      <c r="V14" s="142"/>
      <c r="W14" s="144"/>
      <c r="X14" s="142"/>
      <c r="Y14" s="143"/>
      <c r="Z14" s="142"/>
      <c r="AA14" s="143"/>
      <c r="AB14" s="142"/>
      <c r="AC14" s="143"/>
    </row>
    <row r="15" spans="1:29" s="3" customFormat="1" ht="16" x14ac:dyDescent="0.2">
      <c r="A15" s="8"/>
      <c r="B15" s="12" t="s">
        <v>131</v>
      </c>
      <c r="C15" s="10">
        <v>1000000</v>
      </c>
      <c r="D15" s="196">
        <v>0</v>
      </c>
      <c r="E15" s="143">
        <f t="shared" ref="E15:E18" si="3">D15*C15</f>
        <v>0</v>
      </c>
      <c r="F15" s="10">
        <f t="shared" si="0"/>
        <v>1040000</v>
      </c>
      <c r="G15" s="196">
        <f t="shared" ref="G15:G18" si="4">D15</f>
        <v>0</v>
      </c>
      <c r="H15" s="10">
        <f t="shared" ref="H15:H17" si="5">F15*(1+$C$8)*G15</f>
        <v>0</v>
      </c>
      <c r="I15" s="10">
        <f t="shared" si="0"/>
        <v>1081600</v>
      </c>
      <c r="J15" s="196">
        <f t="shared" ref="J15:J18" si="6">G15</f>
        <v>0</v>
      </c>
      <c r="K15" s="10">
        <f t="shared" ref="K15:K17" si="7">I15*(1+$C$8)*J15</f>
        <v>0</v>
      </c>
      <c r="L15" s="10">
        <f t="shared" si="1"/>
        <v>1124864</v>
      </c>
      <c r="M15" s="196">
        <f t="shared" ref="M15:M18" si="8">J15</f>
        <v>0</v>
      </c>
      <c r="N15" s="10">
        <f t="shared" ref="N15:N17" si="9">L15*(1+$C$8)*M15</f>
        <v>0</v>
      </c>
      <c r="O15" s="10">
        <f t="shared" si="2"/>
        <v>1169858.5600000001</v>
      </c>
      <c r="P15" s="196">
        <f t="shared" ref="P15:P18" si="10">M15</f>
        <v>0</v>
      </c>
      <c r="Q15" s="10">
        <f t="shared" ref="Q15:Q17" si="11">O15*(1+$C$8)*P15</f>
        <v>0</v>
      </c>
      <c r="R15" s="142"/>
      <c r="S15" s="143"/>
      <c r="T15" s="142"/>
      <c r="U15" s="143"/>
      <c r="V15" s="142"/>
      <c r="W15" s="144"/>
      <c r="X15" s="142"/>
      <c r="Y15" s="143"/>
      <c r="Z15" s="142"/>
      <c r="AA15" s="143"/>
      <c r="AB15" s="142"/>
      <c r="AC15" s="143"/>
    </row>
    <row r="16" spans="1:29" s="3" customFormat="1" ht="16" x14ac:dyDescent="0.2">
      <c r="A16" s="8"/>
      <c r="B16" s="9" t="s">
        <v>132</v>
      </c>
      <c r="C16" s="10">
        <v>300000</v>
      </c>
      <c r="D16" s="196">
        <v>1</v>
      </c>
      <c r="E16" s="143">
        <f t="shared" si="3"/>
        <v>300000</v>
      </c>
      <c r="F16" s="10">
        <f t="shared" si="0"/>
        <v>312000</v>
      </c>
      <c r="G16" s="196">
        <f t="shared" si="4"/>
        <v>1</v>
      </c>
      <c r="H16" s="10">
        <f t="shared" si="5"/>
        <v>324480</v>
      </c>
      <c r="I16" s="10">
        <f t="shared" si="0"/>
        <v>324480</v>
      </c>
      <c r="J16" s="196">
        <f t="shared" si="6"/>
        <v>1</v>
      </c>
      <c r="K16" s="10">
        <f t="shared" si="7"/>
        <v>337459.20000000001</v>
      </c>
      <c r="L16" s="10">
        <f t="shared" si="1"/>
        <v>337459.20000000001</v>
      </c>
      <c r="M16" s="196">
        <f t="shared" si="8"/>
        <v>1</v>
      </c>
      <c r="N16" s="10">
        <f t="shared" si="9"/>
        <v>350957.56800000003</v>
      </c>
      <c r="O16" s="10">
        <f t="shared" si="2"/>
        <v>350957.56800000003</v>
      </c>
      <c r="P16" s="196">
        <f t="shared" si="10"/>
        <v>1</v>
      </c>
      <c r="Q16" s="10">
        <f t="shared" si="11"/>
        <v>364995.87072000006</v>
      </c>
      <c r="R16" s="142"/>
      <c r="S16" s="143"/>
      <c r="T16" s="142"/>
      <c r="U16" s="143"/>
      <c r="V16" s="142"/>
      <c r="W16" s="144"/>
      <c r="X16" s="142"/>
      <c r="Y16" s="143"/>
      <c r="Z16" s="142"/>
      <c r="AA16" s="143"/>
      <c r="AB16" s="142"/>
      <c r="AC16" s="143"/>
    </row>
    <row r="17" spans="1:29" s="3" customFormat="1" ht="16" x14ac:dyDescent="0.2">
      <c r="A17" s="8"/>
      <c r="B17" s="9" t="s">
        <v>133</v>
      </c>
      <c r="C17" s="10">
        <v>500000</v>
      </c>
      <c r="D17" s="196">
        <v>2</v>
      </c>
      <c r="E17" s="143">
        <f t="shared" si="3"/>
        <v>1000000</v>
      </c>
      <c r="F17" s="10">
        <f t="shared" si="0"/>
        <v>520000</v>
      </c>
      <c r="G17" s="196">
        <f t="shared" si="4"/>
        <v>2</v>
      </c>
      <c r="H17" s="10">
        <f t="shared" si="5"/>
        <v>1081600</v>
      </c>
      <c r="I17" s="10">
        <f t="shared" si="0"/>
        <v>540800</v>
      </c>
      <c r="J17" s="196">
        <f t="shared" si="6"/>
        <v>2</v>
      </c>
      <c r="K17" s="10">
        <f t="shared" si="7"/>
        <v>1124864</v>
      </c>
      <c r="L17" s="10">
        <f t="shared" si="1"/>
        <v>562432</v>
      </c>
      <c r="M17" s="196">
        <f t="shared" si="8"/>
        <v>2</v>
      </c>
      <c r="N17" s="10">
        <f t="shared" si="9"/>
        <v>1169858.5600000001</v>
      </c>
      <c r="O17" s="10">
        <f t="shared" si="2"/>
        <v>584929.28000000003</v>
      </c>
      <c r="P17" s="196">
        <f t="shared" si="10"/>
        <v>2</v>
      </c>
      <c r="Q17" s="10">
        <f t="shared" si="11"/>
        <v>1216652.9024</v>
      </c>
      <c r="R17" s="142"/>
      <c r="S17" s="143"/>
      <c r="T17" s="142"/>
      <c r="U17" s="143"/>
      <c r="V17" s="142"/>
      <c r="W17" s="144"/>
      <c r="X17" s="142"/>
      <c r="Y17" s="143"/>
      <c r="Z17" s="142"/>
      <c r="AA17" s="143"/>
      <c r="AB17" s="142"/>
      <c r="AC17" s="143"/>
    </row>
    <row r="18" spans="1:29" s="3" customFormat="1" ht="16" x14ac:dyDescent="0.2">
      <c r="A18" s="8"/>
      <c r="B18" s="9" t="s">
        <v>134</v>
      </c>
      <c r="C18" s="10">
        <v>300000</v>
      </c>
      <c r="D18" s="196">
        <v>2</v>
      </c>
      <c r="E18" s="143">
        <f t="shared" si="3"/>
        <v>600000</v>
      </c>
      <c r="F18" s="10">
        <f t="shared" si="0"/>
        <v>312000</v>
      </c>
      <c r="G18" s="196">
        <f t="shared" si="4"/>
        <v>2</v>
      </c>
      <c r="H18" s="10">
        <f>F18*(1+$C$8)*G18</f>
        <v>648960</v>
      </c>
      <c r="I18" s="10">
        <f t="shared" si="0"/>
        <v>324480</v>
      </c>
      <c r="J18" s="196">
        <f t="shared" si="6"/>
        <v>2</v>
      </c>
      <c r="K18" s="10">
        <f>I18*(1+$C$8)*J18</f>
        <v>674918.40000000002</v>
      </c>
      <c r="L18" s="10">
        <f t="shared" si="1"/>
        <v>337459.20000000001</v>
      </c>
      <c r="M18" s="196">
        <f t="shared" si="8"/>
        <v>2</v>
      </c>
      <c r="N18" s="10">
        <f>L18*(1+$C$8)*M18</f>
        <v>701915.13600000006</v>
      </c>
      <c r="O18" s="10">
        <f t="shared" si="2"/>
        <v>350957.56800000003</v>
      </c>
      <c r="P18" s="196">
        <f t="shared" si="10"/>
        <v>2</v>
      </c>
      <c r="Q18" s="10">
        <f>O18*(1+$C$8)*P18</f>
        <v>729991.74144000013</v>
      </c>
      <c r="R18" s="142"/>
      <c r="S18" s="143"/>
      <c r="T18" s="142"/>
      <c r="U18" s="143"/>
      <c r="V18" s="142"/>
      <c r="W18" s="144"/>
      <c r="X18" s="142"/>
      <c r="Y18" s="143"/>
      <c r="Z18" s="142"/>
      <c r="AA18" s="143"/>
      <c r="AB18" s="142"/>
      <c r="AC18" s="143"/>
    </row>
    <row r="19" spans="1:29" s="3" customFormat="1" ht="16" x14ac:dyDescent="0.2">
      <c r="A19" s="54"/>
      <c r="B19" s="55"/>
      <c r="C19" s="56"/>
      <c r="D19" s="198"/>
      <c r="E19" s="146"/>
      <c r="F19" s="56"/>
      <c r="G19" s="198"/>
      <c r="H19" s="146"/>
      <c r="I19" s="56"/>
      <c r="J19" s="198"/>
      <c r="K19" s="146"/>
      <c r="L19" s="56"/>
      <c r="M19" s="198"/>
      <c r="N19" s="146"/>
      <c r="O19" s="56"/>
      <c r="P19" s="198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</row>
    <row r="20" spans="1:29" s="3" customFormat="1" ht="17" thickBot="1" x14ac:dyDescent="0.25">
      <c r="A20" s="16"/>
      <c r="B20" s="17" t="s">
        <v>63</v>
      </c>
      <c r="C20" s="22"/>
      <c r="D20" s="189"/>
      <c r="E20" s="181">
        <f>SUM(E14:E19)</f>
        <v>2400000</v>
      </c>
      <c r="F20" s="182"/>
      <c r="G20" s="206"/>
      <c r="H20" s="181">
        <f>SUM(H14:H19)</f>
        <v>2595840</v>
      </c>
      <c r="I20" s="182"/>
      <c r="J20" s="206"/>
      <c r="K20" s="181">
        <f>SUM(K14:K19)</f>
        <v>2699673.6000000001</v>
      </c>
      <c r="L20" s="182"/>
      <c r="M20" s="206"/>
      <c r="N20" s="181">
        <f>SUM(N14:N19)</f>
        <v>2807660.5439999998</v>
      </c>
      <c r="O20" s="182"/>
      <c r="P20" s="206"/>
      <c r="Q20" s="181">
        <f>SUM(Q14:Q19)</f>
        <v>2919966.9657600001</v>
      </c>
      <c r="R20" s="147"/>
      <c r="S20" s="161"/>
      <c r="T20" s="147"/>
      <c r="U20" s="22"/>
      <c r="V20" s="147"/>
      <c r="W20" s="22"/>
      <c r="X20" s="147"/>
      <c r="Y20" s="22"/>
      <c r="Z20" s="147"/>
      <c r="AA20" s="22"/>
      <c r="AB20" s="147"/>
      <c r="AC20" s="22"/>
    </row>
    <row r="21" spans="1:29" s="3" customFormat="1" ht="17" thickTop="1" x14ac:dyDescent="0.2">
      <c r="A21" s="13"/>
      <c r="B21" s="18"/>
      <c r="C21" s="23"/>
      <c r="D21" s="190"/>
      <c r="E21" s="148"/>
      <c r="F21" s="23"/>
      <c r="G21" s="190"/>
      <c r="H21" s="148"/>
      <c r="I21" s="23"/>
      <c r="J21" s="190"/>
      <c r="K21" s="148"/>
      <c r="L21" s="23"/>
      <c r="M21" s="190"/>
      <c r="N21" s="148"/>
      <c r="O21" s="23"/>
      <c r="P21" s="190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spans="1:29" s="3" customFormat="1" ht="16.5" customHeight="1" x14ac:dyDescent="0.2">
      <c r="A22" s="13"/>
      <c r="B22" s="18"/>
      <c r="C22" s="23"/>
      <c r="D22" s="190"/>
      <c r="E22" s="148"/>
      <c r="F22" s="23"/>
      <c r="G22" s="190"/>
      <c r="H22" s="148"/>
      <c r="I22" s="23"/>
      <c r="J22" s="190"/>
      <c r="K22" s="148"/>
      <c r="L22" s="23"/>
      <c r="M22" s="190"/>
      <c r="N22" s="148"/>
      <c r="O22" s="23"/>
      <c r="P22" s="190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</row>
    <row r="23" spans="1:29" s="3" customFormat="1" ht="16" x14ac:dyDescent="0.2">
      <c r="A23" s="8">
        <v>2</v>
      </c>
      <c r="B23" s="25" t="s">
        <v>64</v>
      </c>
      <c r="C23" s="20"/>
      <c r="D23" s="188"/>
      <c r="E23" s="145"/>
      <c r="F23" s="20"/>
      <c r="G23" s="188"/>
      <c r="H23" s="145"/>
      <c r="I23" s="20"/>
      <c r="J23" s="188"/>
      <c r="K23" s="145"/>
      <c r="L23" s="20"/>
      <c r="M23" s="188"/>
      <c r="N23" s="145"/>
      <c r="O23" s="20"/>
      <c r="P23" s="188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</row>
    <row r="24" spans="1:29" s="3" customFormat="1" ht="16" x14ac:dyDescent="0.2">
      <c r="A24" s="8"/>
      <c r="B24" s="26" t="s">
        <v>65</v>
      </c>
      <c r="C24" s="20"/>
      <c r="D24" s="199"/>
      <c r="E24" s="143"/>
      <c r="F24" s="20"/>
      <c r="G24" s="199"/>
      <c r="H24" s="143"/>
      <c r="I24" s="20"/>
      <c r="J24" s="199"/>
      <c r="K24" s="143"/>
      <c r="L24" s="20"/>
      <c r="M24" s="199"/>
      <c r="N24" s="143"/>
      <c r="O24" s="20"/>
      <c r="P24" s="199"/>
      <c r="Q24" s="143"/>
      <c r="R24" s="149"/>
      <c r="S24" s="143"/>
      <c r="T24" s="149"/>
      <c r="U24" s="143"/>
      <c r="V24" s="149"/>
      <c r="W24" s="143"/>
      <c r="X24" s="149"/>
      <c r="Y24" s="143"/>
      <c r="Z24" s="149"/>
      <c r="AA24" s="143"/>
      <c r="AB24" s="149"/>
      <c r="AC24" s="143"/>
    </row>
    <row r="25" spans="1:29" s="29" customFormat="1" ht="16" x14ac:dyDescent="0.2">
      <c r="A25" s="27"/>
      <c r="B25" s="24" t="s">
        <v>66</v>
      </c>
      <c r="C25" s="28"/>
      <c r="D25" s="200"/>
      <c r="E25" s="143"/>
      <c r="F25" s="28"/>
      <c r="G25" s="200"/>
      <c r="H25" s="151"/>
      <c r="I25" s="28"/>
      <c r="J25" s="200"/>
      <c r="K25" s="151"/>
      <c r="L25" s="28"/>
      <c r="M25" s="200"/>
      <c r="N25" s="151"/>
      <c r="O25" s="28"/>
      <c r="P25" s="200"/>
      <c r="Q25" s="151"/>
      <c r="R25" s="150"/>
      <c r="S25" s="151"/>
      <c r="T25" s="150"/>
      <c r="U25" s="151"/>
      <c r="V25" s="150"/>
      <c r="W25" s="151"/>
      <c r="X25" s="150"/>
      <c r="Y25" s="151"/>
      <c r="Z25" s="150"/>
      <c r="AA25" s="151"/>
      <c r="AB25" s="150"/>
      <c r="AC25" s="151"/>
    </row>
    <row r="26" spans="1:29" s="3" customFormat="1" ht="16" x14ac:dyDescent="0.2">
      <c r="A26" s="8"/>
      <c r="B26" s="26"/>
      <c r="C26" s="20"/>
      <c r="D26" s="199"/>
      <c r="E26" s="143"/>
      <c r="F26" s="20"/>
      <c r="G26" s="199"/>
      <c r="H26" s="143"/>
      <c r="I26" s="20"/>
      <c r="J26" s="199"/>
      <c r="K26" s="143"/>
      <c r="L26" s="20"/>
      <c r="M26" s="199"/>
      <c r="N26" s="143"/>
      <c r="O26" s="20"/>
      <c r="P26" s="199"/>
      <c r="Q26" s="143"/>
      <c r="R26" s="149"/>
      <c r="S26" s="143"/>
      <c r="T26" s="149"/>
      <c r="U26" s="143"/>
      <c r="V26" s="149"/>
      <c r="W26" s="143"/>
      <c r="X26" s="149"/>
      <c r="Y26" s="143"/>
      <c r="Z26" s="149"/>
      <c r="AA26" s="143"/>
      <c r="AB26" s="149"/>
      <c r="AC26" s="143"/>
    </row>
    <row r="27" spans="1:29" s="3" customFormat="1" ht="17" thickBot="1" x14ac:dyDescent="0.25">
      <c r="A27" s="16"/>
      <c r="B27" s="17" t="s">
        <v>63</v>
      </c>
      <c r="C27" s="22"/>
      <c r="D27" s="189"/>
      <c r="E27" s="147"/>
      <c r="F27" s="22"/>
      <c r="G27" s="189"/>
      <c r="H27" s="147"/>
      <c r="I27" s="22"/>
      <c r="J27" s="189"/>
      <c r="K27" s="147"/>
      <c r="L27" s="22"/>
      <c r="M27" s="189"/>
      <c r="N27" s="147"/>
      <c r="O27" s="22"/>
      <c r="P27" s="189"/>
      <c r="Q27" s="147"/>
      <c r="R27" s="147"/>
      <c r="S27" s="147"/>
      <c r="T27" s="147"/>
      <c r="U27" s="147"/>
      <c r="V27" s="147"/>
      <c r="W27" s="147"/>
      <c r="X27" s="147"/>
      <c r="Y27" s="147"/>
      <c r="Z27" s="147"/>
      <c r="AA27" s="147"/>
      <c r="AB27" s="147"/>
      <c r="AC27" s="147"/>
    </row>
    <row r="28" spans="1:29" s="3" customFormat="1" ht="17" thickTop="1" x14ac:dyDescent="0.2">
      <c r="A28" s="13"/>
      <c r="B28" s="18"/>
      <c r="C28" s="23"/>
      <c r="D28" s="190"/>
      <c r="E28" s="148"/>
      <c r="F28" s="23"/>
      <c r="G28" s="190"/>
      <c r="H28" s="148"/>
      <c r="I28" s="23"/>
      <c r="J28" s="190"/>
      <c r="K28" s="148"/>
      <c r="L28" s="23"/>
      <c r="M28" s="190"/>
      <c r="N28" s="148"/>
      <c r="O28" s="23"/>
      <c r="P28" s="190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</row>
    <row r="29" spans="1:29" s="3" customFormat="1" ht="16" x14ac:dyDescent="0.2">
      <c r="A29" s="8">
        <v>3</v>
      </c>
      <c r="B29" s="25" t="s">
        <v>67</v>
      </c>
      <c r="C29" s="20"/>
      <c r="D29" s="188"/>
      <c r="E29" s="145"/>
      <c r="F29" s="20"/>
      <c r="G29" s="188"/>
      <c r="H29" s="145"/>
      <c r="I29" s="20"/>
      <c r="J29" s="188"/>
      <c r="K29" s="145"/>
      <c r="L29" s="20"/>
      <c r="M29" s="188"/>
      <c r="N29" s="145"/>
      <c r="O29" s="20"/>
      <c r="P29" s="188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</row>
    <row r="30" spans="1:29" s="3" customFormat="1" ht="16" x14ac:dyDescent="0.2">
      <c r="A30" s="8"/>
      <c r="B30" s="30" t="s">
        <v>60</v>
      </c>
      <c r="C30" s="11">
        <v>60000</v>
      </c>
      <c r="D30" s="186">
        <v>12</v>
      </c>
      <c r="E30" s="143">
        <f t="shared" ref="E30:E31" si="12">D30*C30</f>
        <v>720000</v>
      </c>
      <c r="F30" s="11">
        <f>C30*1.04</f>
        <v>62400</v>
      </c>
      <c r="G30" s="186">
        <v>12</v>
      </c>
      <c r="H30" s="143">
        <f>G30*F30</f>
        <v>748800</v>
      </c>
      <c r="I30" s="11">
        <f>F30*1.04</f>
        <v>64896</v>
      </c>
      <c r="J30" s="186">
        <v>12</v>
      </c>
      <c r="K30" s="143">
        <f>J30*I30</f>
        <v>778752</v>
      </c>
      <c r="L30" s="11">
        <f>I30*1.04</f>
        <v>67491.839999999997</v>
      </c>
      <c r="M30" s="186">
        <v>12</v>
      </c>
      <c r="N30" s="143">
        <f>M30*L30</f>
        <v>809902.07999999996</v>
      </c>
      <c r="O30" s="11">
        <f>L30*1.04</f>
        <v>70191.513600000006</v>
      </c>
      <c r="P30" s="186">
        <v>12</v>
      </c>
      <c r="Q30" s="143">
        <f>P30*O30</f>
        <v>842298.16320000007</v>
      </c>
      <c r="R30" s="143"/>
      <c r="S30" s="143"/>
      <c r="T30" s="143"/>
      <c r="U30" s="143"/>
      <c r="V30" s="143"/>
      <c r="W30" s="144"/>
      <c r="X30" s="143"/>
      <c r="Y30" s="143"/>
      <c r="Z30" s="143"/>
      <c r="AA30" s="143"/>
      <c r="AB30" s="143"/>
      <c r="AC30" s="143"/>
    </row>
    <row r="31" spans="1:29" s="3" customFormat="1" ht="16" x14ac:dyDescent="0.2">
      <c r="A31" s="8"/>
      <c r="B31" s="30" t="s">
        <v>129</v>
      </c>
      <c r="C31" s="11">
        <v>20000</v>
      </c>
      <c r="D31" s="186">
        <v>12</v>
      </c>
      <c r="E31" s="143">
        <f t="shared" si="12"/>
        <v>240000</v>
      </c>
      <c r="F31" s="11">
        <v>20000</v>
      </c>
      <c r="G31" s="186">
        <v>12</v>
      </c>
      <c r="H31" s="143">
        <f t="shared" ref="H31" si="13">G31*F31</f>
        <v>240000</v>
      </c>
      <c r="I31" s="11">
        <v>20000</v>
      </c>
      <c r="J31" s="186">
        <v>12</v>
      </c>
      <c r="K31" s="143">
        <f t="shared" ref="K31" si="14">J31*I31</f>
        <v>240000</v>
      </c>
      <c r="L31" s="11">
        <v>20000</v>
      </c>
      <c r="M31" s="186">
        <v>12</v>
      </c>
      <c r="N31" s="143">
        <f t="shared" ref="N31" si="15">M31*L31</f>
        <v>240000</v>
      </c>
      <c r="O31" s="11">
        <v>20000</v>
      </c>
      <c r="P31" s="186">
        <v>12</v>
      </c>
      <c r="Q31" s="143">
        <f t="shared" ref="Q31" si="16">P31*O31</f>
        <v>240000</v>
      </c>
      <c r="R31" s="143"/>
      <c r="S31" s="143"/>
      <c r="T31" s="143"/>
      <c r="U31" s="143"/>
      <c r="V31" s="143"/>
      <c r="W31" s="144"/>
      <c r="X31" s="143"/>
      <c r="Y31" s="143"/>
      <c r="Z31" s="143"/>
      <c r="AA31" s="143"/>
      <c r="AB31" s="143"/>
      <c r="AC31" s="143"/>
    </row>
    <row r="32" spans="1:29" s="3" customFormat="1" ht="16" x14ac:dyDescent="0.2">
      <c r="A32" s="8"/>
      <c r="B32" s="30"/>
      <c r="C32" s="11"/>
      <c r="D32" s="186"/>
      <c r="E32" s="143"/>
      <c r="F32" s="11"/>
      <c r="G32" s="186"/>
      <c r="H32" s="143"/>
      <c r="I32" s="11"/>
      <c r="J32" s="186"/>
      <c r="K32" s="143"/>
      <c r="L32" s="11"/>
      <c r="M32" s="186"/>
      <c r="N32" s="143"/>
      <c r="O32" s="11"/>
      <c r="P32" s="186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</row>
    <row r="33" spans="1:29" s="3" customFormat="1" ht="17" thickBot="1" x14ac:dyDescent="0.25">
      <c r="A33" s="16"/>
      <c r="B33" s="31" t="s">
        <v>63</v>
      </c>
      <c r="C33" s="22"/>
      <c r="D33" s="189"/>
      <c r="E33" s="181">
        <f>SUM(E30:E32)</f>
        <v>960000</v>
      </c>
      <c r="F33" s="181"/>
      <c r="G33" s="194"/>
      <c r="H33" s="181">
        <f>SUM(H30:H32)</f>
        <v>988800</v>
      </c>
      <c r="I33" s="181"/>
      <c r="J33" s="194"/>
      <c r="K33" s="181">
        <f>SUM(K30:K32)</f>
        <v>1018752</v>
      </c>
      <c r="L33" s="181"/>
      <c r="M33" s="194"/>
      <c r="N33" s="181">
        <f>SUM(N30:N32)</f>
        <v>1049902.0800000001</v>
      </c>
      <c r="O33" s="181"/>
      <c r="P33" s="194"/>
      <c r="Q33" s="181">
        <f>SUM(Q30:Q32)</f>
        <v>1082298.1632000001</v>
      </c>
      <c r="R33" s="147"/>
      <c r="S33" s="147"/>
      <c r="T33" s="147"/>
      <c r="U33" s="147"/>
      <c r="V33" s="147"/>
      <c r="W33" s="147"/>
      <c r="X33" s="147"/>
      <c r="Y33" s="147"/>
      <c r="Z33" s="147"/>
      <c r="AA33" s="147"/>
      <c r="AB33" s="147"/>
      <c r="AC33" s="147"/>
    </row>
    <row r="34" spans="1:29" s="3" customFormat="1" ht="15.75" customHeight="1" thickTop="1" x14ac:dyDescent="0.2">
      <c r="A34" s="13"/>
      <c r="B34" s="18"/>
      <c r="C34" s="23"/>
      <c r="D34" s="190"/>
      <c r="E34" s="148"/>
      <c r="F34" s="23"/>
      <c r="G34" s="190"/>
      <c r="H34" s="148"/>
      <c r="I34" s="23"/>
      <c r="J34" s="190"/>
      <c r="K34" s="148"/>
      <c r="L34" s="23"/>
      <c r="M34" s="190"/>
      <c r="N34" s="148"/>
      <c r="O34" s="23"/>
      <c r="P34" s="190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</row>
    <row r="35" spans="1:29" s="34" customFormat="1" ht="16" x14ac:dyDescent="0.2">
      <c r="A35" s="8">
        <v>4</v>
      </c>
      <c r="B35" s="19" t="s">
        <v>110</v>
      </c>
      <c r="C35" s="35"/>
      <c r="D35" s="201"/>
      <c r="E35" s="35"/>
      <c r="F35" s="35"/>
      <c r="G35" s="201"/>
      <c r="H35" s="145"/>
      <c r="I35" s="35"/>
      <c r="J35" s="201"/>
      <c r="K35" s="35"/>
      <c r="L35" s="35"/>
      <c r="M35" s="201"/>
      <c r="N35" s="35"/>
      <c r="O35" s="35"/>
      <c r="P35" s="201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</row>
    <row r="36" spans="1:29" s="34" customFormat="1" ht="16" x14ac:dyDescent="0.2">
      <c r="A36" s="8"/>
      <c r="B36" s="9" t="s">
        <v>68</v>
      </c>
      <c r="C36" s="21">
        <v>40000</v>
      </c>
      <c r="D36" s="186">
        <v>1</v>
      </c>
      <c r="E36" s="143">
        <f t="shared" ref="E36:E38" si="17">D36*C36</f>
        <v>40000</v>
      </c>
      <c r="F36" s="21">
        <v>40000</v>
      </c>
      <c r="G36" s="186">
        <v>1</v>
      </c>
      <c r="H36" s="144">
        <f>(G36*C36)*1.04</f>
        <v>41600</v>
      </c>
      <c r="I36" s="21">
        <v>40000</v>
      </c>
      <c r="J36" s="186">
        <v>1</v>
      </c>
      <c r="K36" s="144">
        <f>((J36*C36)*1.04)*(1.04)</f>
        <v>43264</v>
      </c>
      <c r="L36" s="21">
        <v>40000</v>
      </c>
      <c r="M36" s="186">
        <v>1</v>
      </c>
      <c r="N36" s="144">
        <f>((M36*F36)*1.04)*(1.04)</f>
        <v>43264</v>
      </c>
      <c r="O36" s="21">
        <v>40000</v>
      </c>
      <c r="P36" s="186">
        <v>1</v>
      </c>
      <c r="Q36" s="144">
        <f>((P36*I36)*1.04)*(1.04)</f>
        <v>43264</v>
      </c>
      <c r="R36" s="143"/>
      <c r="S36" s="143"/>
      <c r="T36" s="143"/>
      <c r="U36" s="143"/>
      <c r="V36" s="143"/>
      <c r="W36" s="144"/>
      <c r="X36" s="143"/>
      <c r="Y36" s="143"/>
      <c r="Z36" s="143"/>
      <c r="AA36" s="143"/>
      <c r="AB36" s="143"/>
      <c r="AC36" s="143"/>
    </row>
    <row r="37" spans="1:29" s="34" customFormat="1" ht="16" x14ac:dyDescent="0.2">
      <c r="A37" s="8"/>
      <c r="B37" s="9" t="s">
        <v>69</v>
      </c>
      <c r="C37" s="21">
        <f>4000*12</f>
        <v>48000</v>
      </c>
      <c r="D37" s="186">
        <v>1</v>
      </c>
      <c r="E37" s="143">
        <f t="shared" si="17"/>
        <v>48000</v>
      </c>
      <c r="F37" s="21">
        <f>4000*12</f>
        <v>48000</v>
      </c>
      <c r="G37" s="186">
        <v>1</v>
      </c>
      <c r="H37" s="144">
        <f>(G37*C37)*1.04</f>
        <v>49920</v>
      </c>
      <c r="I37" s="21">
        <f>4000*12</f>
        <v>48000</v>
      </c>
      <c r="J37" s="186">
        <v>1</v>
      </c>
      <c r="K37" s="144">
        <f>((J37*C37)*1.04)*(1.04)</f>
        <v>51916.800000000003</v>
      </c>
      <c r="L37" s="21">
        <f>4000*12</f>
        <v>48000</v>
      </c>
      <c r="M37" s="186">
        <v>1</v>
      </c>
      <c r="N37" s="144">
        <f>((M37*F37)*1.04)*(1.04)</f>
        <v>51916.800000000003</v>
      </c>
      <c r="O37" s="21">
        <f>4000*12</f>
        <v>48000</v>
      </c>
      <c r="P37" s="186">
        <v>1</v>
      </c>
      <c r="Q37" s="144">
        <f>((P37*I37)*1.04)*(1.04)</f>
        <v>51916.800000000003</v>
      </c>
      <c r="R37" s="143"/>
      <c r="S37" s="143"/>
      <c r="T37" s="143"/>
      <c r="U37" s="143"/>
      <c r="V37" s="143"/>
      <c r="W37" s="144"/>
      <c r="X37" s="143"/>
      <c r="Y37" s="143"/>
      <c r="Z37" s="143"/>
      <c r="AA37" s="143"/>
      <c r="AB37" s="143"/>
      <c r="AC37" s="143"/>
    </row>
    <row r="38" spans="1:29" s="34" customFormat="1" ht="16" x14ac:dyDescent="0.2">
      <c r="A38" s="8"/>
      <c r="B38" s="9" t="s">
        <v>70</v>
      </c>
      <c r="C38" s="11">
        <v>50000</v>
      </c>
      <c r="D38" s="186">
        <v>1</v>
      </c>
      <c r="E38" s="143">
        <f t="shared" si="17"/>
        <v>50000</v>
      </c>
      <c r="F38" s="11">
        <v>50000</v>
      </c>
      <c r="G38" s="186">
        <v>1</v>
      </c>
      <c r="H38" s="144">
        <f>(G38*C38)*1.04</f>
        <v>52000</v>
      </c>
      <c r="I38" s="11">
        <v>50000</v>
      </c>
      <c r="J38" s="186">
        <v>1</v>
      </c>
      <c r="K38" s="144">
        <f>((J38*C38)*1.04)*(1.04)</f>
        <v>54080</v>
      </c>
      <c r="L38" s="11">
        <v>50000</v>
      </c>
      <c r="M38" s="186">
        <v>1</v>
      </c>
      <c r="N38" s="144">
        <f>((M38*F38)*1.04)*(1.04)</f>
        <v>54080</v>
      </c>
      <c r="O38" s="11">
        <v>50000</v>
      </c>
      <c r="P38" s="186">
        <v>1</v>
      </c>
      <c r="Q38" s="144">
        <f>((P38*I38)*1.04)*(1.04)</f>
        <v>54080</v>
      </c>
      <c r="R38" s="143"/>
      <c r="S38" s="143"/>
      <c r="T38" s="143"/>
      <c r="U38" s="143"/>
      <c r="V38" s="143"/>
      <c r="W38" s="144"/>
      <c r="X38" s="143"/>
      <c r="Y38" s="143"/>
      <c r="Z38" s="143"/>
      <c r="AA38" s="143"/>
      <c r="AB38" s="143"/>
      <c r="AC38" s="143"/>
    </row>
    <row r="39" spans="1:29" s="34" customFormat="1" ht="16" x14ac:dyDescent="0.2">
      <c r="A39" s="8"/>
      <c r="B39" s="9"/>
      <c r="C39" s="11"/>
      <c r="D39" s="186"/>
      <c r="E39" s="143"/>
      <c r="F39" s="11"/>
      <c r="G39" s="186"/>
      <c r="H39" s="143"/>
      <c r="I39" s="11"/>
      <c r="J39" s="186"/>
      <c r="K39" s="143"/>
      <c r="L39" s="11"/>
      <c r="M39" s="186"/>
      <c r="N39" s="143"/>
      <c r="O39" s="11"/>
      <c r="P39" s="186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  <c r="AB39" s="143"/>
      <c r="AC39" s="143"/>
    </row>
    <row r="40" spans="1:29" s="34" customFormat="1" ht="17" thickBot="1" x14ac:dyDescent="0.25">
      <c r="A40" s="16"/>
      <c r="B40" s="17" t="s">
        <v>63</v>
      </c>
      <c r="C40" s="32"/>
      <c r="D40" s="184"/>
      <c r="E40" s="181">
        <f>SUM(E36:E39)</f>
        <v>138000</v>
      </c>
      <c r="F40" s="181"/>
      <c r="G40" s="194"/>
      <c r="H40" s="181">
        <f>SUM(H36:H39)</f>
        <v>143520</v>
      </c>
      <c r="I40" s="181"/>
      <c r="J40" s="194"/>
      <c r="K40" s="181">
        <f>SUM(K36:K39)</f>
        <v>149260.79999999999</v>
      </c>
      <c r="L40" s="181"/>
      <c r="M40" s="194"/>
      <c r="N40" s="181">
        <f>SUM(N36:N39)</f>
        <v>149260.79999999999</v>
      </c>
      <c r="O40" s="181"/>
      <c r="P40" s="194"/>
      <c r="Q40" s="181">
        <f>SUM(Q36:Q39)</f>
        <v>149260.79999999999</v>
      </c>
      <c r="R40" s="152"/>
      <c r="S40" s="152"/>
      <c r="T40" s="152"/>
      <c r="U40" s="152"/>
      <c r="V40" s="152"/>
      <c r="W40" s="152"/>
      <c r="X40" s="152"/>
      <c r="Y40" s="152"/>
      <c r="Z40" s="152"/>
      <c r="AA40" s="152"/>
      <c r="AB40" s="152"/>
      <c r="AC40" s="152"/>
    </row>
    <row r="41" spans="1:29" s="3" customFormat="1" ht="17" thickTop="1" x14ac:dyDescent="0.2">
      <c r="A41" s="36"/>
      <c r="B41" s="18"/>
      <c r="C41" s="23"/>
      <c r="D41" s="190"/>
      <c r="E41" s="148"/>
      <c r="F41" s="23"/>
      <c r="G41" s="190"/>
      <c r="H41" s="148"/>
      <c r="I41" s="23"/>
      <c r="J41" s="190"/>
      <c r="K41" s="148"/>
      <c r="L41" s="23"/>
      <c r="M41" s="190"/>
      <c r="N41" s="148"/>
      <c r="O41" s="23"/>
      <c r="P41" s="190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</row>
    <row r="42" spans="1:29" s="3" customFormat="1" ht="16" x14ac:dyDescent="0.2">
      <c r="A42" s="8">
        <v>5</v>
      </c>
      <c r="B42" s="19" t="s">
        <v>71</v>
      </c>
      <c r="C42" s="11"/>
      <c r="D42" s="186"/>
      <c r="E42" s="143"/>
      <c r="F42" s="11"/>
      <c r="G42" s="186"/>
      <c r="H42" s="143"/>
      <c r="I42" s="11"/>
      <c r="J42" s="186"/>
      <c r="K42" s="143"/>
      <c r="L42" s="11"/>
      <c r="M42" s="186"/>
      <c r="N42" s="143"/>
      <c r="O42" s="11"/>
      <c r="P42" s="186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</row>
    <row r="43" spans="1:29" s="34" customFormat="1" ht="16" x14ac:dyDescent="0.2">
      <c r="A43" s="8"/>
      <c r="B43" s="9" t="s">
        <v>72</v>
      </c>
      <c r="C43" s="11"/>
      <c r="D43" s="186"/>
      <c r="E43" s="143">
        <v>50000</v>
      </c>
      <c r="F43" s="11"/>
      <c r="G43" s="186"/>
      <c r="H43" s="143">
        <f>E43*1.04</f>
        <v>52000</v>
      </c>
      <c r="I43" s="11"/>
      <c r="J43" s="186"/>
      <c r="K43" s="143">
        <f>H43*1.04</f>
        <v>54080</v>
      </c>
      <c r="L43" s="11"/>
      <c r="M43" s="186"/>
      <c r="N43" s="143">
        <f>K43*1.04</f>
        <v>56243.200000000004</v>
      </c>
      <c r="O43" s="11"/>
      <c r="P43" s="186"/>
      <c r="Q43" s="143">
        <f>N43*1.04</f>
        <v>58492.928000000007</v>
      </c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</row>
    <row r="44" spans="1:29" s="34" customFormat="1" ht="16" x14ac:dyDescent="0.2">
      <c r="A44" s="8"/>
      <c r="B44" s="9"/>
      <c r="C44" s="37"/>
      <c r="D44" s="202"/>
      <c r="E44" s="143">
        <f t="shared" ref="E44" si="18">D44*C44</f>
        <v>0</v>
      </c>
      <c r="F44" s="37"/>
      <c r="G44" s="202"/>
      <c r="H44" s="154"/>
      <c r="I44" s="37"/>
      <c r="J44" s="202"/>
      <c r="K44" s="154"/>
      <c r="L44" s="37"/>
      <c r="M44" s="202"/>
      <c r="N44" s="154"/>
      <c r="O44" s="37"/>
      <c r="P44" s="202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</row>
    <row r="45" spans="1:29" s="34" customFormat="1" ht="17" thickBot="1" x14ac:dyDescent="0.25">
      <c r="A45" s="16"/>
      <c r="B45" s="17" t="s">
        <v>63</v>
      </c>
      <c r="C45" s="32"/>
      <c r="D45" s="184"/>
      <c r="E45" s="181">
        <f>SUM(E43:E44)</f>
        <v>50000</v>
      </c>
      <c r="F45" s="32"/>
      <c r="G45" s="184"/>
      <c r="H45" s="181">
        <f>SUM(H43:H44)</f>
        <v>52000</v>
      </c>
      <c r="I45" s="32"/>
      <c r="J45" s="184"/>
      <c r="K45" s="181">
        <f>SUM(K43:K44)</f>
        <v>54080</v>
      </c>
      <c r="L45" s="32"/>
      <c r="M45" s="184"/>
      <c r="N45" s="181">
        <f>SUM(N43:N44)</f>
        <v>56243.200000000004</v>
      </c>
      <c r="O45" s="32"/>
      <c r="P45" s="184"/>
      <c r="Q45" s="181">
        <f>SUM(Q43:Q44)</f>
        <v>58492.928000000007</v>
      </c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29" s="34" customFormat="1" ht="17" thickTop="1" x14ac:dyDescent="0.2">
      <c r="A46" s="13"/>
      <c r="B46" s="18"/>
      <c r="C46" s="33"/>
      <c r="D46" s="185"/>
      <c r="E46" s="33"/>
      <c r="F46" s="33"/>
      <c r="G46" s="185"/>
      <c r="H46" s="33"/>
      <c r="I46" s="33"/>
      <c r="J46" s="185"/>
      <c r="K46" s="33"/>
      <c r="L46" s="33"/>
      <c r="M46" s="185"/>
      <c r="N46" s="33"/>
      <c r="O46" s="33"/>
      <c r="P46" s="185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</row>
    <row r="47" spans="1:29" s="34" customFormat="1" ht="16" x14ac:dyDescent="0.2">
      <c r="A47" s="8"/>
      <c r="B47" s="19"/>
      <c r="C47" s="11"/>
      <c r="D47" s="186"/>
      <c r="E47" s="20"/>
      <c r="F47" s="11"/>
      <c r="G47" s="186"/>
      <c r="H47" s="20"/>
      <c r="I47" s="11"/>
      <c r="J47" s="186"/>
      <c r="K47" s="20"/>
      <c r="L47" s="11"/>
      <c r="M47" s="186"/>
      <c r="N47" s="20"/>
      <c r="O47" s="11"/>
      <c r="P47" s="186"/>
      <c r="Q47" s="20"/>
      <c r="R47" s="11"/>
      <c r="S47" s="20"/>
      <c r="T47" s="11"/>
      <c r="U47" s="20"/>
      <c r="V47" s="11"/>
      <c r="W47" s="20"/>
      <c r="X47" s="11"/>
      <c r="Y47" s="20"/>
      <c r="Z47" s="11"/>
      <c r="AA47" s="20"/>
      <c r="AB47" s="11"/>
      <c r="AC47" s="20"/>
    </row>
    <row r="48" spans="1:29" s="34" customFormat="1" ht="16" x14ac:dyDescent="0.2">
      <c r="A48" s="8"/>
      <c r="B48" s="9"/>
      <c r="C48" s="11"/>
      <c r="D48" s="187"/>
      <c r="E48" s="143"/>
      <c r="F48" s="11"/>
      <c r="G48" s="187"/>
      <c r="H48" s="143"/>
      <c r="I48" s="11"/>
      <c r="J48" s="187"/>
      <c r="K48" s="143"/>
      <c r="L48" s="11"/>
      <c r="M48" s="187"/>
      <c r="N48" s="143"/>
      <c r="O48" s="11"/>
      <c r="P48" s="187"/>
      <c r="Q48" s="143"/>
      <c r="R48" s="155"/>
      <c r="S48" s="143"/>
      <c r="T48" s="155"/>
      <c r="U48" s="143"/>
      <c r="V48" s="155"/>
      <c r="W48" s="143"/>
      <c r="X48" s="155"/>
      <c r="Y48" s="143"/>
      <c r="Z48" s="155"/>
      <c r="AA48" s="143"/>
      <c r="AB48" s="155"/>
      <c r="AC48" s="143"/>
    </row>
    <row r="49" spans="1:29" s="34" customFormat="1" ht="16" x14ac:dyDescent="0.2">
      <c r="A49" s="8"/>
      <c r="B49" s="9"/>
      <c r="C49" s="11"/>
      <c r="D49" s="187"/>
      <c r="E49" s="143"/>
      <c r="F49" s="11"/>
      <c r="G49" s="187"/>
      <c r="H49" s="143"/>
      <c r="I49" s="11"/>
      <c r="J49" s="187"/>
      <c r="K49" s="143"/>
      <c r="L49" s="11"/>
      <c r="M49" s="187"/>
      <c r="N49" s="143"/>
      <c r="O49" s="11"/>
      <c r="P49" s="187"/>
      <c r="Q49" s="143"/>
      <c r="R49" s="155"/>
      <c r="S49" s="143"/>
      <c r="T49" s="155"/>
      <c r="U49" s="143"/>
      <c r="V49" s="155"/>
      <c r="W49" s="143"/>
      <c r="X49" s="155"/>
      <c r="Y49" s="143"/>
      <c r="Z49" s="155"/>
      <c r="AA49" s="143"/>
      <c r="AB49" s="155"/>
      <c r="AC49" s="143"/>
    </row>
    <row r="50" spans="1:29" s="34" customFormat="1" ht="16" x14ac:dyDescent="0.2">
      <c r="A50" s="8"/>
      <c r="B50" s="9"/>
      <c r="C50" s="20"/>
      <c r="D50" s="188"/>
      <c r="E50" s="143"/>
      <c r="F50" s="20"/>
      <c r="G50" s="188"/>
      <c r="H50" s="143"/>
      <c r="I50" s="20"/>
      <c r="J50" s="188"/>
      <c r="K50" s="143"/>
      <c r="L50" s="20"/>
      <c r="M50" s="188"/>
      <c r="N50" s="143"/>
      <c r="O50" s="20"/>
      <c r="P50" s="188"/>
      <c r="Q50" s="143"/>
      <c r="R50" s="20"/>
      <c r="S50" s="143"/>
      <c r="T50" s="20"/>
      <c r="U50" s="143"/>
      <c r="V50" s="20"/>
      <c r="W50" s="143"/>
      <c r="X50" s="20"/>
      <c r="Y50" s="143"/>
      <c r="Z50" s="20"/>
      <c r="AA50" s="143"/>
      <c r="AB50" s="20"/>
      <c r="AC50" s="143"/>
    </row>
    <row r="51" spans="1:29" s="34" customFormat="1" ht="17" thickBot="1" x14ac:dyDescent="0.25">
      <c r="A51" s="16"/>
      <c r="B51" s="17"/>
      <c r="C51" s="22"/>
      <c r="D51" s="189"/>
      <c r="E51" s="181"/>
      <c r="F51" s="181"/>
      <c r="G51" s="194"/>
      <c r="H51" s="181"/>
      <c r="I51" s="181"/>
      <c r="J51" s="194"/>
      <c r="K51" s="181"/>
      <c r="L51" s="181"/>
      <c r="M51" s="194"/>
      <c r="N51" s="181"/>
      <c r="O51" s="181"/>
      <c r="P51" s="194"/>
      <c r="Q51" s="181"/>
      <c r="R51" s="22"/>
      <c r="S51" s="147"/>
      <c r="T51" s="22"/>
      <c r="U51" s="147"/>
      <c r="V51" s="22"/>
      <c r="W51" s="147"/>
      <c r="X51" s="22"/>
      <c r="Y51" s="147"/>
      <c r="Z51" s="22"/>
      <c r="AA51" s="147"/>
      <c r="AB51" s="22"/>
      <c r="AC51" s="147"/>
    </row>
    <row r="52" spans="1:29" s="34" customFormat="1" ht="17" thickTop="1" x14ac:dyDescent="0.2">
      <c r="A52" s="13"/>
      <c r="B52" s="18"/>
      <c r="C52" s="23"/>
      <c r="D52" s="190"/>
      <c r="E52" s="23"/>
      <c r="F52" s="23"/>
      <c r="G52" s="190"/>
      <c r="H52" s="23"/>
      <c r="I52" s="23"/>
      <c r="J52" s="190"/>
      <c r="K52" s="23"/>
      <c r="L52" s="23"/>
      <c r="M52" s="190"/>
      <c r="N52" s="23"/>
      <c r="O52" s="23"/>
      <c r="P52" s="190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 spans="1:29" s="34" customFormat="1" ht="16" x14ac:dyDescent="0.2">
      <c r="A53" s="8"/>
      <c r="B53" s="9"/>
      <c r="C53" s="11"/>
      <c r="D53" s="187"/>
      <c r="E53" s="143"/>
      <c r="F53" s="11"/>
      <c r="G53" s="187"/>
      <c r="H53" s="153"/>
      <c r="I53" s="11"/>
      <c r="J53" s="187"/>
      <c r="K53" s="153"/>
      <c r="L53" s="11"/>
      <c r="M53" s="187"/>
      <c r="N53" s="153"/>
      <c r="O53" s="11"/>
      <c r="P53" s="187"/>
      <c r="Q53" s="153"/>
      <c r="R53" s="155"/>
      <c r="S53" s="153"/>
      <c r="T53" s="155"/>
      <c r="U53" s="153"/>
      <c r="V53" s="155"/>
      <c r="W53" s="153"/>
      <c r="X53" s="155"/>
      <c r="Y53" s="153"/>
      <c r="Z53" s="155"/>
      <c r="AA53" s="153"/>
      <c r="AB53" s="155"/>
      <c r="AC53" s="153"/>
    </row>
    <row r="54" spans="1:29" s="34" customFormat="1" ht="16" x14ac:dyDescent="0.2">
      <c r="A54" s="8"/>
      <c r="B54" s="9"/>
      <c r="C54" s="20"/>
      <c r="D54" s="188"/>
      <c r="E54" s="143"/>
      <c r="F54" s="20"/>
      <c r="G54" s="188"/>
      <c r="H54" s="143"/>
      <c r="I54" s="20"/>
      <c r="J54" s="188"/>
      <c r="K54" s="143"/>
      <c r="L54" s="20"/>
      <c r="M54" s="188"/>
      <c r="N54" s="143"/>
      <c r="O54" s="20"/>
      <c r="P54" s="188"/>
      <c r="Q54" s="143"/>
      <c r="R54" s="20"/>
      <c r="S54" s="143"/>
      <c r="T54" s="20"/>
      <c r="U54" s="143"/>
      <c r="V54" s="20"/>
      <c r="W54" s="143"/>
      <c r="X54" s="20"/>
      <c r="Y54" s="143"/>
      <c r="Z54" s="20"/>
      <c r="AA54" s="143"/>
      <c r="AB54" s="20"/>
      <c r="AC54" s="143"/>
    </row>
    <row r="55" spans="1:29" s="34" customFormat="1" ht="17" thickBot="1" x14ac:dyDescent="0.25">
      <c r="A55" s="16"/>
      <c r="B55" s="17" t="s">
        <v>63</v>
      </c>
      <c r="C55" s="22"/>
      <c r="D55" s="189"/>
      <c r="E55" s="147"/>
      <c r="F55" s="22"/>
      <c r="G55" s="189"/>
      <c r="H55" s="147"/>
      <c r="I55" s="22"/>
      <c r="J55" s="189"/>
      <c r="K55" s="147"/>
      <c r="L55" s="22"/>
      <c r="M55" s="189"/>
      <c r="N55" s="147"/>
      <c r="O55" s="22"/>
      <c r="P55" s="189"/>
      <c r="Q55" s="147"/>
      <c r="R55" s="22"/>
      <c r="S55" s="147"/>
      <c r="T55" s="22"/>
      <c r="U55" s="147"/>
      <c r="V55" s="22"/>
      <c r="W55" s="147"/>
      <c r="X55" s="22"/>
      <c r="Y55" s="147"/>
      <c r="Z55" s="22"/>
      <c r="AA55" s="147"/>
      <c r="AB55" s="22"/>
      <c r="AC55" s="147"/>
    </row>
    <row r="56" spans="1:29" s="34" customFormat="1" ht="18" thickTop="1" thickBot="1" x14ac:dyDescent="0.25">
      <c r="A56" s="40"/>
      <c r="B56" s="41" t="s">
        <v>77</v>
      </c>
      <c r="C56" s="42"/>
      <c r="D56" s="191"/>
      <c r="E56" s="181">
        <f>E55+E51+E45+E40+E33+E27+E20</f>
        <v>3548000</v>
      </c>
      <c r="F56" s="181"/>
      <c r="G56" s="194"/>
      <c r="H56" s="181">
        <f>H55+H51+H45+H40+H33+H27+H20</f>
        <v>3780160</v>
      </c>
      <c r="I56" s="181"/>
      <c r="J56" s="194"/>
      <c r="K56" s="181">
        <f>K55+K51+K45+K40+K33+K27+K20</f>
        <v>3921766.4000000004</v>
      </c>
      <c r="L56" s="181"/>
      <c r="M56" s="194"/>
      <c r="N56" s="181">
        <f>N55+N51+N45+N40+N33+N27+N20</f>
        <v>4063066.6239999998</v>
      </c>
      <c r="O56" s="181"/>
      <c r="P56" s="194"/>
      <c r="Q56" s="181">
        <f>Q55+Q51+Q45+Q40+Q33+Q27+Q20</f>
        <v>4210018.8569600005</v>
      </c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</row>
    <row r="57" spans="1:29" s="34" customFormat="1" ht="16" x14ac:dyDescent="0.2">
      <c r="A57" s="3"/>
      <c r="B57" s="258"/>
      <c r="C57" s="3"/>
      <c r="D57" s="195"/>
      <c r="E57" s="3"/>
      <c r="F57" s="3"/>
      <c r="G57" s="195"/>
      <c r="H57" s="3"/>
      <c r="I57" s="3"/>
      <c r="J57" s="195"/>
      <c r="K57" s="3"/>
      <c r="L57" s="3"/>
      <c r="M57" s="195"/>
      <c r="N57" s="3"/>
      <c r="O57" s="3"/>
      <c r="P57" s="195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s="34" customFormat="1" ht="16" x14ac:dyDescent="0.2">
      <c r="A58" s="3"/>
      <c r="B58" s="258"/>
      <c r="C58" s="3"/>
      <c r="D58" s="195"/>
      <c r="E58" s="3"/>
      <c r="F58" s="3"/>
      <c r="G58" s="195"/>
      <c r="H58" s="3"/>
      <c r="I58" s="3"/>
      <c r="J58" s="195"/>
      <c r="K58" s="3"/>
      <c r="L58" s="3"/>
      <c r="M58" s="195"/>
      <c r="N58" s="3"/>
      <c r="O58" s="3"/>
      <c r="P58" s="195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s="34" customFormat="1" ht="16" x14ac:dyDescent="0.2">
      <c r="A59" s="3"/>
      <c r="B59" s="258"/>
      <c r="C59" s="3"/>
      <c r="D59" s="195"/>
      <c r="E59" s="3"/>
      <c r="F59" s="3"/>
      <c r="G59" s="195"/>
      <c r="H59" s="3"/>
      <c r="I59" s="3"/>
      <c r="J59" s="195"/>
      <c r="K59" s="3"/>
      <c r="L59" s="3"/>
      <c r="M59" s="195"/>
      <c r="N59" s="3"/>
      <c r="O59" s="3"/>
      <c r="P59" s="195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s="34" customFormat="1" x14ac:dyDescent="0.15">
      <c r="B60" s="38"/>
      <c r="D60" s="203"/>
      <c r="G60" s="203"/>
      <c r="J60" s="203"/>
      <c r="M60" s="203"/>
      <c r="P60" s="203"/>
    </row>
    <row r="61" spans="1:29" s="34" customFormat="1" x14ac:dyDescent="0.15">
      <c r="B61" s="38"/>
      <c r="D61" s="203"/>
      <c r="G61" s="203"/>
      <c r="J61" s="203"/>
      <c r="M61" s="203"/>
      <c r="P61" s="203"/>
    </row>
    <row r="62" spans="1:29" s="34" customFormat="1" x14ac:dyDescent="0.15">
      <c r="B62" s="38"/>
      <c r="D62" s="203"/>
      <c r="G62" s="203"/>
      <c r="J62" s="203"/>
      <c r="M62" s="203"/>
      <c r="P62" s="203"/>
    </row>
    <row r="63" spans="1:29" s="34" customFormat="1" ht="14.25" customHeight="1" x14ac:dyDescent="0.15">
      <c r="D63" s="203"/>
      <c r="G63" s="203"/>
      <c r="J63" s="203"/>
      <c r="M63" s="203"/>
      <c r="P63" s="203"/>
    </row>
    <row r="64" spans="1:29" s="34" customFormat="1" x14ac:dyDescent="0.15">
      <c r="D64" s="203"/>
      <c r="G64" s="203"/>
      <c r="J64" s="203"/>
      <c r="M64" s="203"/>
      <c r="P64" s="203"/>
    </row>
    <row r="65" spans="1:29" s="34" customFormat="1" x14ac:dyDescent="0.15">
      <c r="D65" s="203"/>
      <c r="G65" s="203"/>
      <c r="J65" s="203"/>
      <c r="M65" s="203"/>
      <c r="P65" s="203"/>
    </row>
    <row r="66" spans="1:29" s="34" customFormat="1" x14ac:dyDescent="0.15">
      <c r="D66" s="203"/>
      <c r="G66" s="203"/>
      <c r="J66" s="203"/>
      <c r="M66" s="203"/>
      <c r="P66" s="203"/>
    </row>
    <row r="67" spans="1:29" s="34" customFormat="1" x14ac:dyDescent="0.15">
      <c r="D67" s="203"/>
      <c r="G67" s="203"/>
      <c r="J67" s="203"/>
      <c r="M67" s="203"/>
      <c r="P67" s="203"/>
    </row>
    <row r="68" spans="1:29" s="34" customFormat="1" x14ac:dyDescent="0.15">
      <c r="D68" s="203"/>
      <c r="G68" s="203"/>
      <c r="J68" s="203"/>
      <c r="M68" s="203"/>
      <c r="P68" s="203"/>
    </row>
    <row r="69" spans="1:29" s="34" customFormat="1" ht="12.75" customHeight="1" x14ac:dyDescent="0.15">
      <c r="D69" s="203"/>
      <c r="G69" s="203"/>
      <c r="J69" s="203"/>
      <c r="M69" s="203"/>
      <c r="P69" s="203"/>
    </row>
    <row r="70" spans="1:29" s="34" customFormat="1" ht="12.75" customHeight="1" x14ac:dyDescent="0.15">
      <c r="D70" s="203"/>
      <c r="G70" s="203"/>
      <c r="J70" s="203"/>
      <c r="M70" s="203"/>
      <c r="P70" s="203"/>
    </row>
    <row r="71" spans="1:29" s="34" customFormat="1" ht="12.75" customHeight="1" x14ac:dyDescent="0.15">
      <c r="D71" s="203"/>
      <c r="G71" s="203"/>
      <c r="J71" s="203"/>
      <c r="M71" s="203"/>
      <c r="P71" s="203"/>
    </row>
    <row r="72" spans="1:29" s="34" customFormat="1" ht="12.75" customHeight="1" x14ac:dyDescent="0.15">
      <c r="D72" s="203"/>
      <c r="G72" s="203"/>
      <c r="J72" s="203"/>
      <c r="M72" s="203"/>
      <c r="P72" s="203"/>
    </row>
    <row r="73" spans="1:29" s="34" customFormat="1" ht="12.75" customHeight="1" x14ac:dyDescent="0.15">
      <c r="D73" s="203"/>
      <c r="G73" s="203"/>
      <c r="J73" s="203"/>
      <c r="M73" s="203"/>
      <c r="P73" s="203"/>
    </row>
    <row r="74" spans="1:29" s="34" customFormat="1" ht="15" customHeight="1" x14ac:dyDescent="0.15">
      <c r="D74" s="203"/>
      <c r="G74" s="203"/>
      <c r="J74" s="203"/>
      <c r="M74" s="203"/>
      <c r="P74" s="203"/>
    </row>
    <row r="75" spans="1:29" s="34" customFormat="1" x14ac:dyDescent="0.15">
      <c r="D75" s="203"/>
      <c r="G75" s="203"/>
      <c r="J75" s="203"/>
      <c r="M75" s="203"/>
      <c r="P75" s="203"/>
    </row>
    <row r="76" spans="1:29" s="34" customFormat="1" x14ac:dyDescent="0.15">
      <c r="A76" s="2"/>
      <c r="B76" s="2"/>
      <c r="C76" s="2"/>
      <c r="D76" s="204"/>
      <c r="E76" s="156"/>
      <c r="F76" s="2"/>
      <c r="G76" s="204"/>
      <c r="H76" s="156"/>
      <c r="I76" s="2"/>
      <c r="J76" s="204"/>
      <c r="K76" s="156"/>
      <c r="L76" s="2"/>
      <c r="M76" s="204"/>
      <c r="N76" s="156"/>
      <c r="O76" s="2"/>
      <c r="P76" s="204"/>
      <c r="Q76" s="156"/>
      <c r="R76" s="156"/>
      <c r="S76" s="156"/>
      <c r="T76" s="156"/>
      <c r="U76" s="156"/>
      <c r="V76" s="156"/>
      <c r="W76" s="156"/>
      <c r="X76" s="156"/>
      <c r="Y76" s="156"/>
      <c r="Z76" s="156"/>
      <c r="AA76" s="156"/>
      <c r="AB76" s="156"/>
      <c r="AC76" s="156"/>
    </row>
    <row r="77" spans="1:29" s="34" customFormat="1" x14ac:dyDescent="0.15">
      <c r="A77" s="2"/>
      <c r="B77" s="2"/>
      <c r="C77" s="2"/>
      <c r="D77" s="204"/>
      <c r="E77" s="156"/>
      <c r="F77" s="2"/>
      <c r="G77" s="204"/>
      <c r="H77" s="156"/>
      <c r="I77" s="2"/>
      <c r="J77" s="204"/>
      <c r="K77" s="156"/>
      <c r="L77" s="2"/>
      <c r="M77" s="204"/>
      <c r="N77" s="156"/>
      <c r="O77" s="2"/>
      <c r="P77" s="204"/>
      <c r="Q77" s="156"/>
      <c r="R77" s="156"/>
      <c r="S77" s="156"/>
      <c r="T77" s="156"/>
      <c r="U77" s="156"/>
      <c r="V77" s="156"/>
      <c r="W77" s="156"/>
      <c r="X77" s="156"/>
      <c r="Y77" s="156"/>
      <c r="Z77" s="156"/>
      <c r="AA77" s="156"/>
      <c r="AB77" s="156"/>
      <c r="AC77" s="156"/>
    </row>
    <row r="78" spans="1:29" s="34" customFormat="1" x14ac:dyDescent="0.15">
      <c r="A78" s="2"/>
      <c r="B78" s="2"/>
      <c r="C78" s="2"/>
      <c r="D78" s="204"/>
      <c r="E78" s="156"/>
      <c r="F78" s="2"/>
      <c r="G78" s="204"/>
      <c r="H78" s="156"/>
      <c r="I78" s="2"/>
      <c r="J78" s="204"/>
      <c r="K78" s="156"/>
      <c r="L78" s="2"/>
      <c r="M78" s="204"/>
      <c r="N78" s="156"/>
      <c r="O78" s="2"/>
      <c r="P78" s="204"/>
      <c r="Q78" s="156"/>
      <c r="R78" s="156"/>
      <c r="S78" s="156"/>
      <c r="T78" s="156"/>
      <c r="U78" s="156"/>
      <c r="V78" s="156"/>
      <c r="W78" s="156"/>
      <c r="X78" s="156"/>
      <c r="Y78" s="156"/>
      <c r="Z78" s="156"/>
      <c r="AA78" s="156"/>
      <c r="AB78" s="156"/>
      <c r="AC78" s="156"/>
    </row>
    <row r="79" spans="1:29" s="34" customFormat="1" x14ac:dyDescent="0.15">
      <c r="A79" s="2"/>
      <c r="B79" s="2"/>
      <c r="C79" s="2"/>
      <c r="D79" s="204"/>
      <c r="E79" s="156"/>
      <c r="F79" s="2"/>
      <c r="G79" s="204"/>
      <c r="H79" s="156"/>
      <c r="I79" s="2"/>
      <c r="J79" s="204"/>
      <c r="K79" s="156"/>
      <c r="L79" s="2"/>
      <c r="M79" s="204"/>
      <c r="N79" s="156"/>
      <c r="O79" s="2"/>
      <c r="P79" s="204"/>
      <c r="Q79" s="156"/>
      <c r="R79" s="156"/>
      <c r="S79" s="156"/>
      <c r="T79" s="156"/>
      <c r="U79" s="156"/>
      <c r="V79" s="156"/>
      <c r="W79" s="156"/>
      <c r="X79" s="156"/>
      <c r="Y79" s="156"/>
      <c r="Z79" s="156"/>
      <c r="AA79" s="156"/>
      <c r="AB79" s="156"/>
      <c r="AC79" s="156"/>
    </row>
    <row r="80" spans="1:29" s="34" customFormat="1" x14ac:dyDescent="0.15">
      <c r="A80" s="2"/>
      <c r="B80" s="2"/>
      <c r="C80" s="2"/>
      <c r="D80" s="204"/>
      <c r="E80" s="156"/>
      <c r="F80" s="2"/>
      <c r="G80" s="204"/>
      <c r="H80" s="156"/>
      <c r="I80" s="2"/>
      <c r="J80" s="204"/>
      <c r="K80" s="156"/>
      <c r="L80" s="2"/>
      <c r="M80" s="204"/>
      <c r="N80" s="156"/>
      <c r="O80" s="2"/>
      <c r="P80" s="204"/>
      <c r="Q80" s="156"/>
      <c r="R80" s="156"/>
      <c r="S80" s="156"/>
      <c r="T80" s="156"/>
      <c r="U80" s="156"/>
      <c r="V80" s="156"/>
      <c r="W80" s="156"/>
      <c r="X80" s="156"/>
      <c r="Y80" s="156"/>
      <c r="Z80" s="156"/>
      <c r="AA80" s="156"/>
      <c r="AB80" s="156"/>
      <c r="AC80" s="156"/>
    </row>
    <row r="81" spans="1:29" s="34" customFormat="1" x14ac:dyDescent="0.15">
      <c r="A81" s="2"/>
      <c r="B81" s="2"/>
      <c r="C81" s="2"/>
      <c r="D81" s="204"/>
      <c r="E81" s="156"/>
      <c r="F81" s="2"/>
      <c r="G81" s="204"/>
      <c r="H81" s="156"/>
      <c r="I81" s="2"/>
      <c r="J81" s="204"/>
      <c r="K81" s="156"/>
      <c r="L81" s="2"/>
      <c r="M81" s="204"/>
      <c r="N81" s="156"/>
      <c r="O81" s="2"/>
      <c r="P81" s="204"/>
      <c r="Q81" s="156"/>
      <c r="R81" s="156"/>
      <c r="S81" s="156"/>
      <c r="T81" s="156"/>
      <c r="U81" s="156"/>
      <c r="V81" s="156"/>
      <c r="W81" s="156"/>
      <c r="X81" s="156"/>
      <c r="Y81" s="156"/>
      <c r="Z81" s="156"/>
      <c r="AA81" s="156"/>
      <c r="AB81" s="156"/>
      <c r="AC81" s="156"/>
    </row>
    <row r="82" spans="1:29" s="34" customFormat="1" x14ac:dyDescent="0.15">
      <c r="A82" s="2"/>
      <c r="B82" s="2"/>
      <c r="C82" s="2"/>
      <c r="D82" s="204"/>
      <c r="E82" s="156"/>
      <c r="F82" s="2"/>
      <c r="G82" s="204"/>
      <c r="H82" s="156"/>
      <c r="I82" s="2"/>
      <c r="J82" s="204"/>
      <c r="K82" s="156"/>
      <c r="L82" s="2"/>
      <c r="M82" s="204"/>
      <c r="N82" s="156"/>
      <c r="O82" s="2"/>
      <c r="P82" s="204"/>
      <c r="Q82" s="156"/>
      <c r="R82" s="156"/>
      <c r="S82" s="156"/>
      <c r="T82" s="156"/>
      <c r="U82" s="156"/>
      <c r="V82" s="156"/>
      <c r="W82" s="156"/>
      <c r="X82" s="156"/>
      <c r="Y82" s="156"/>
      <c r="Z82" s="156"/>
      <c r="AA82" s="156"/>
      <c r="AB82" s="156"/>
      <c r="AC82" s="156"/>
    </row>
    <row r="83" spans="1:29" s="34" customFormat="1" x14ac:dyDescent="0.15">
      <c r="A83" s="2"/>
      <c r="B83" s="2"/>
      <c r="C83" s="2"/>
      <c r="D83" s="204"/>
      <c r="E83" s="156"/>
      <c r="F83" s="2"/>
      <c r="G83" s="204"/>
      <c r="H83" s="156"/>
      <c r="I83" s="2"/>
      <c r="J83" s="204"/>
      <c r="K83" s="156"/>
      <c r="L83" s="2"/>
      <c r="M83" s="204"/>
      <c r="N83" s="156"/>
      <c r="O83" s="2"/>
      <c r="P83" s="204"/>
      <c r="Q83" s="156"/>
      <c r="R83" s="156"/>
      <c r="S83" s="156"/>
      <c r="T83" s="156"/>
      <c r="U83" s="156"/>
      <c r="V83" s="156"/>
      <c r="W83" s="156"/>
      <c r="X83" s="156"/>
      <c r="Y83" s="156"/>
      <c r="Z83" s="156"/>
      <c r="AA83" s="156"/>
      <c r="AB83" s="156"/>
      <c r="AC83" s="156"/>
    </row>
    <row r="84" spans="1:29" x14ac:dyDescent="0.15">
      <c r="D84" s="204"/>
      <c r="E84" s="156"/>
      <c r="G84" s="204"/>
      <c r="H84" s="156"/>
      <c r="J84" s="204"/>
      <c r="K84" s="156"/>
      <c r="M84" s="204"/>
      <c r="N84" s="156"/>
      <c r="P84" s="204"/>
      <c r="Q84" s="156"/>
      <c r="R84" s="156"/>
      <c r="S84" s="156"/>
      <c r="T84" s="156"/>
      <c r="U84" s="156"/>
      <c r="V84" s="156"/>
      <c r="W84" s="156"/>
      <c r="X84" s="156"/>
      <c r="Y84" s="156"/>
      <c r="Z84" s="156"/>
      <c r="AA84" s="156"/>
      <c r="AB84" s="156"/>
      <c r="AC84" s="156"/>
    </row>
    <row r="85" spans="1:29" x14ac:dyDescent="0.15">
      <c r="D85" s="204"/>
      <c r="E85" s="156"/>
      <c r="G85" s="204"/>
      <c r="H85" s="156"/>
      <c r="J85" s="204"/>
      <c r="K85" s="156"/>
      <c r="M85" s="204"/>
      <c r="N85" s="156"/>
      <c r="P85" s="204"/>
      <c r="Q85" s="156"/>
      <c r="R85" s="156"/>
      <c r="S85" s="156"/>
      <c r="T85" s="156"/>
      <c r="U85" s="156"/>
      <c r="V85" s="156"/>
      <c r="W85" s="156"/>
      <c r="X85" s="156"/>
      <c r="Y85" s="156"/>
      <c r="Z85" s="156"/>
      <c r="AA85" s="156"/>
      <c r="AB85" s="156"/>
      <c r="AC85" s="156"/>
    </row>
    <row r="97" spans="1:29" s="39" customFormat="1" x14ac:dyDescent="0.15">
      <c r="A97" s="2"/>
      <c r="B97" s="2"/>
      <c r="C97" s="2"/>
      <c r="D97" s="204"/>
      <c r="E97" s="156"/>
      <c r="F97" s="2"/>
      <c r="G97" s="204"/>
      <c r="H97" s="156"/>
      <c r="I97" s="2"/>
      <c r="J97" s="204"/>
      <c r="K97" s="156"/>
      <c r="L97" s="2"/>
      <c r="M97" s="204"/>
      <c r="N97" s="156"/>
      <c r="O97" s="2"/>
      <c r="P97" s="204"/>
      <c r="Q97" s="156"/>
      <c r="R97" s="156"/>
      <c r="S97" s="156"/>
      <c r="T97" s="156"/>
      <c r="U97" s="156"/>
      <c r="V97" s="156"/>
      <c r="W97" s="156"/>
      <c r="X97" s="156"/>
      <c r="Y97" s="156"/>
      <c r="Z97" s="156"/>
      <c r="AA97" s="156"/>
      <c r="AB97" s="156"/>
      <c r="AC97" s="156"/>
    </row>
    <row r="98" spans="1:29" s="39" customFormat="1" x14ac:dyDescent="0.15">
      <c r="A98" s="2"/>
      <c r="B98" s="2"/>
      <c r="C98" s="2"/>
      <c r="D98" s="204"/>
      <c r="E98" s="156"/>
      <c r="F98" s="2"/>
      <c r="G98" s="204"/>
      <c r="H98" s="156"/>
      <c r="I98" s="2"/>
      <c r="J98" s="204"/>
      <c r="K98" s="156"/>
      <c r="L98" s="2"/>
      <c r="M98" s="204"/>
      <c r="N98" s="156"/>
      <c r="O98" s="2"/>
      <c r="P98" s="204"/>
      <c r="Q98" s="156"/>
      <c r="R98" s="156"/>
      <c r="S98" s="156"/>
      <c r="T98" s="156"/>
      <c r="U98" s="156"/>
      <c r="V98" s="156"/>
      <c r="W98" s="156"/>
      <c r="X98" s="156"/>
      <c r="Y98" s="156"/>
      <c r="Z98" s="156"/>
      <c r="AA98" s="156"/>
      <c r="AB98" s="156"/>
      <c r="AC98" s="156"/>
    </row>
    <row r="99" spans="1:29" s="39" customFormat="1" x14ac:dyDescent="0.15">
      <c r="A99" s="2"/>
      <c r="B99" s="2"/>
      <c r="C99" s="2"/>
      <c r="D99" s="204"/>
      <c r="E99" s="156"/>
      <c r="F99" s="2"/>
      <c r="G99" s="204"/>
      <c r="H99" s="156"/>
      <c r="I99" s="2"/>
      <c r="J99" s="204"/>
      <c r="K99" s="156"/>
      <c r="L99" s="2"/>
      <c r="M99" s="204"/>
      <c r="N99" s="156"/>
      <c r="O99" s="2"/>
      <c r="P99" s="204"/>
      <c r="Q99" s="156"/>
      <c r="R99" s="156"/>
      <c r="S99" s="156"/>
      <c r="T99" s="156"/>
      <c r="U99" s="156"/>
      <c r="V99" s="156"/>
      <c r="W99" s="156"/>
      <c r="X99" s="156"/>
      <c r="Y99" s="156"/>
      <c r="Z99" s="156"/>
      <c r="AA99" s="156"/>
      <c r="AB99" s="156"/>
      <c r="AC99" s="156"/>
    </row>
  </sheetData>
  <mergeCells count="44">
    <mergeCell ref="Z9:Z10"/>
    <mergeCell ref="AA9:AA10"/>
    <mergeCell ref="AB9:AB10"/>
    <mergeCell ref="AC9:AC10"/>
    <mergeCell ref="T9:T10"/>
    <mergeCell ref="U9:U10"/>
    <mergeCell ref="V9:V10"/>
    <mergeCell ref="W9:W10"/>
    <mergeCell ref="X9:X10"/>
    <mergeCell ref="Y9:Y10"/>
    <mergeCell ref="S9:S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X8:Y8"/>
    <mergeCell ref="Z8:AA8"/>
    <mergeCell ref="AB8:AC8"/>
    <mergeCell ref="A9:A10"/>
    <mergeCell ref="B9:B10"/>
    <mergeCell ref="C9:C10"/>
    <mergeCell ref="D9:D10"/>
    <mergeCell ref="E9:E10"/>
    <mergeCell ref="F9:F10"/>
    <mergeCell ref="G9:G10"/>
    <mergeCell ref="G8:H8"/>
    <mergeCell ref="J8:K8"/>
    <mergeCell ref="M8:N8"/>
    <mergeCell ref="P8:Q8"/>
    <mergeCell ref="T8:U8"/>
    <mergeCell ref="V8:W8"/>
    <mergeCell ref="D8:E8"/>
    <mergeCell ref="A1:E1"/>
    <mergeCell ref="A2:E2"/>
    <mergeCell ref="A3:E3"/>
    <mergeCell ref="A5:E5"/>
    <mergeCell ref="A6:E6"/>
  </mergeCells>
  <pageMargins left="0.63" right="0.36" top="0.54" bottom="0.52" header="0.22" footer="0.19"/>
  <pageSetup paperSize="9" scale="65" fitToHeight="0" orientation="portrait" horizontalDpi="1200" verticalDpi="1200" r:id="rId1"/>
  <headerFooter alignWithMargins="0"/>
  <rowBreaks count="2" manualBreakCount="2">
    <brk id="28" max="7" man="1"/>
    <brk id="34" max="7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212C-AC7C-904F-99FE-F7D0DCD2D160}">
  <sheetPr>
    <tabColor rgb="FF92D050"/>
  </sheetPr>
  <dimension ref="A1:I41"/>
  <sheetViews>
    <sheetView zoomScale="125" workbookViewId="0">
      <selection activeCell="I16" sqref="I16"/>
    </sheetView>
  </sheetViews>
  <sheetFormatPr baseColWidth="10" defaultColWidth="11.5" defaultRowHeight="15" x14ac:dyDescent="0.2"/>
  <cols>
    <col min="1" max="1" width="101.5" style="58" customWidth="1"/>
    <col min="2" max="2" width="13.33203125" style="90" bestFit="1" customWidth="1"/>
    <col min="3" max="3" width="6" style="90" bestFit="1" customWidth="1"/>
    <col min="4" max="4" width="9.5" style="90" bestFit="1" customWidth="1"/>
    <col min="5" max="5" width="13.1640625" style="90" customWidth="1"/>
    <col min="6" max="6" width="11.5" style="90" bestFit="1" customWidth="1"/>
    <col min="7" max="8" width="18.5" style="90" bestFit="1" customWidth="1"/>
    <col min="9" max="9" width="6.1640625" style="90" bestFit="1" customWidth="1"/>
    <col min="10" max="10" width="9.6640625" style="90" bestFit="1" customWidth="1"/>
    <col min="11" max="16384" width="11.5" style="90"/>
  </cols>
  <sheetData>
    <row r="1" spans="1:9" s="105" customFormat="1" x14ac:dyDescent="0.2">
      <c r="A1" s="106" t="s">
        <v>79</v>
      </c>
      <c r="B1" s="107"/>
      <c r="C1" s="107"/>
      <c r="D1" s="107"/>
      <c r="E1" s="107"/>
      <c r="F1" s="108"/>
      <c r="G1" s="108"/>
      <c r="H1" s="108"/>
    </row>
    <row r="2" spans="1:9" s="58" customFormat="1" x14ac:dyDescent="0.2">
      <c r="A2" s="85"/>
      <c r="B2" s="86"/>
      <c r="C2" s="86"/>
      <c r="D2" s="86"/>
      <c r="E2" s="86"/>
      <c r="F2" s="87"/>
      <c r="G2" s="87"/>
      <c r="H2" s="87">
        <v>1</v>
      </c>
    </row>
    <row r="3" spans="1:9" s="58" customFormat="1" x14ac:dyDescent="0.2">
      <c r="A3" s="93" t="s">
        <v>83</v>
      </c>
      <c r="B3" s="92" t="s">
        <v>78</v>
      </c>
      <c r="C3" s="92" t="s">
        <v>44</v>
      </c>
      <c r="D3" s="92" t="s">
        <v>80</v>
      </c>
      <c r="E3" s="95" t="s">
        <v>43</v>
      </c>
      <c r="F3" s="96" t="s">
        <v>81</v>
      </c>
      <c r="G3" s="96" t="s">
        <v>82</v>
      </c>
      <c r="H3" s="96" t="s">
        <v>140</v>
      </c>
    </row>
    <row r="4" spans="1:9" s="58" customFormat="1" x14ac:dyDescent="0.2">
      <c r="A4" s="51" t="s">
        <v>84</v>
      </c>
      <c r="B4" s="50">
        <v>3</v>
      </c>
      <c r="C4" s="50"/>
      <c r="D4" s="50">
        <v>40000</v>
      </c>
      <c r="E4" s="50">
        <f>D4*B4</f>
        <v>120000</v>
      </c>
      <c r="F4" s="50">
        <v>5</v>
      </c>
      <c r="G4" s="157">
        <f>E4/F4</f>
        <v>24000</v>
      </c>
      <c r="H4" s="157"/>
    </row>
    <row r="5" spans="1:9" s="58" customFormat="1" x14ac:dyDescent="0.2">
      <c r="A5" s="51" t="s">
        <v>85</v>
      </c>
      <c r="B5" s="50">
        <v>2</v>
      </c>
      <c r="C5" s="50"/>
      <c r="D5" s="50">
        <v>5000</v>
      </c>
      <c r="E5" s="50">
        <f>D5*B5</f>
        <v>10000</v>
      </c>
      <c r="F5" s="50">
        <v>5</v>
      </c>
      <c r="G5" s="157">
        <f t="shared" ref="G5:G16" si="0">E5/F5</f>
        <v>2000</v>
      </c>
      <c r="H5" s="157"/>
    </row>
    <row r="6" spans="1:9" s="58" customFormat="1" x14ac:dyDescent="0.2">
      <c r="A6" s="259" t="s">
        <v>86</v>
      </c>
      <c r="B6" s="50"/>
      <c r="C6" s="50"/>
      <c r="D6" s="50"/>
      <c r="E6" s="50">
        <f>SUM(E7:E11)</f>
        <v>440000</v>
      </c>
      <c r="F6" s="50">
        <v>5</v>
      </c>
      <c r="G6" s="157">
        <f t="shared" si="0"/>
        <v>88000</v>
      </c>
      <c r="H6" s="157"/>
    </row>
    <row r="7" spans="1:9" s="58" customFormat="1" x14ac:dyDescent="0.2">
      <c r="A7" s="260" t="s">
        <v>121</v>
      </c>
      <c r="B7" s="50">
        <v>2</v>
      </c>
      <c r="C7" s="50"/>
      <c r="D7" s="50">
        <v>30000</v>
      </c>
      <c r="E7" s="50">
        <f>D7*B7</f>
        <v>60000</v>
      </c>
      <c r="F7" s="50"/>
      <c r="G7" s="157"/>
      <c r="H7" s="157"/>
    </row>
    <row r="8" spans="1:9" s="58" customFormat="1" x14ac:dyDescent="0.2">
      <c r="A8" s="260" t="s">
        <v>122</v>
      </c>
      <c r="B8" s="50">
        <v>2</v>
      </c>
      <c r="C8" s="50"/>
      <c r="D8" s="50">
        <v>30000</v>
      </c>
      <c r="E8" s="50">
        <f>D8*B8</f>
        <v>60000</v>
      </c>
      <c r="F8" s="50"/>
      <c r="G8" s="157"/>
      <c r="H8" s="157"/>
    </row>
    <row r="9" spans="1:9" s="58" customFormat="1" x14ac:dyDescent="0.2">
      <c r="A9" s="260" t="s">
        <v>123</v>
      </c>
      <c r="B9" s="50">
        <v>4</v>
      </c>
      <c r="C9" s="50"/>
      <c r="D9" s="50">
        <v>30000</v>
      </c>
      <c r="E9" s="50">
        <f>D9*B9</f>
        <v>120000</v>
      </c>
      <c r="F9" s="50"/>
      <c r="G9" s="157"/>
      <c r="H9" s="157"/>
    </row>
    <row r="10" spans="1:9" s="58" customFormat="1" x14ac:dyDescent="0.2">
      <c r="A10" s="260" t="s">
        <v>76</v>
      </c>
      <c r="B10" s="50"/>
      <c r="C10" s="50"/>
      <c r="D10" s="50"/>
      <c r="E10" s="50">
        <v>200000</v>
      </c>
      <c r="F10" s="50"/>
      <c r="G10" s="157"/>
      <c r="H10" s="157"/>
    </row>
    <row r="11" spans="1:9" s="58" customFormat="1" x14ac:dyDescent="0.2">
      <c r="A11" s="51"/>
      <c r="B11" s="50"/>
      <c r="C11" s="50"/>
      <c r="D11" s="50"/>
      <c r="E11" s="50"/>
      <c r="F11" s="50"/>
      <c r="G11" s="157"/>
      <c r="H11" s="157"/>
    </row>
    <row r="12" spans="1:9" s="58" customFormat="1" x14ac:dyDescent="0.2">
      <c r="A12" s="51" t="s">
        <v>87</v>
      </c>
      <c r="B12" s="50"/>
      <c r="C12" s="50"/>
      <c r="D12" s="50"/>
      <c r="E12" s="50">
        <v>50000</v>
      </c>
      <c r="F12" s="50">
        <v>5</v>
      </c>
      <c r="G12" s="157">
        <f t="shared" si="0"/>
        <v>10000</v>
      </c>
      <c r="H12" s="157"/>
    </row>
    <row r="13" spans="1:9" s="58" customFormat="1" x14ac:dyDescent="0.2">
      <c r="A13" s="51" t="s">
        <v>88</v>
      </c>
      <c r="B13" s="50"/>
      <c r="C13" s="50"/>
      <c r="D13" s="50"/>
      <c r="E13" s="50">
        <v>20000</v>
      </c>
      <c r="F13" s="50">
        <v>5</v>
      </c>
      <c r="G13" s="157">
        <f t="shared" si="0"/>
        <v>4000</v>
      </c>
      <c r="H13" s="157"/>
    </row>
    <row r="14" spans="1:9" s="58" customFormat="1" x14ac:dyDescent="0.2">
      <c r="A14" s="51"/>
      <c r="B14" s="50"/>
      <c r="C14" s="50"/>
      <c r="D14" s="50"/>
      <c r="E14" s="50"/>
      <c r="F14" s="50"/>
      <c r="G14" s="157"/>
      <c r="H14" s="157"/>
    </row>
    <row r="15" spans="1:9" s="58" customFormat="1" x14ac:dyDescent="0.2">
      <c r="A15" s="51" t="s">
        <v>124</v>
      </c>
      <c r="B15" s="50">
        <v>2</v>
      </c>
      <c r="C15" s="50"/>
      <c r="D15" s="50">
        <f>'Final Financial (2)'!Q20</f>
        <v>100000</v>
      </c>
      <c r="E15" s="50">
        <f t="shared" ref="E15:E16" si="1">D15*B15</f>
        <v>200000</v>
      </c>
      <c r="F15" s="50">
        <v>3</v>
      </c>
      <c r="G15" s="157">
        <f t="shared" si="0"/>
        <v>66666.666666666672</v>
      </c>
      <c r="H15" s="157"/>
      <c r="I15" s="58" t="s">
        <v>201</v>
      </c>
    </row>
    <row r="16" spans="1:9" s="58" customFormat="1" x14ac:dyDescent="0.2">
      <c r="A16" s="51" t="s">
        <v>125</v>
      </c>
      <c r="B16" s="50">
        <v>2</v>
      </c>
      <c r="C16" s="50"/>
      <c r="D16" s="50">
        <v>10000</v>
      </c>
      <c r="E16" s="50">
        <f t="shared" si="1"/>
        <v>20000</v>
      </c>
      <c r="F16" s="50">
        <v>3</v>
      </c>
      <c r="G16" s="157">
        <f t="shared" si="0"/>
        <v>6666.666666666667</v>
      </c>
      <c r="H16" s="157"/>
    </row>
    <row r="17" spans="1:8" s="58" customFormat="1" x14ac:dyDescent="0.2">
      <c r="A17" s="51"/>
      <c r="B17" s="50"/>
      <c r="C17" s="50"/>
      <c r="D17" s="50"/>
      <c r="E17" s="50"/>
      <c r="F17" s="50"/>
      <c r="G17" s="157"/>
      <c r="H17" s="157"/>
    </row>
    <row r="18" spans="1:8" s="58" customFormat="1" x14ac:dyDescent="0.2">
      <c r="A18" s="51"/>
      <c r="B18" s="50"/>
      <c r="C18" s="50"/>
      <c r="D18" s="50"/>
      <c r="E18" s="50"/>
      <c r="F18" s="50"/>
      <c r="G18" s="50"/>
      <c r="H18" s="50"/>
    </row>
    <row r="19" spans="1:8" s="58" customFormat="1" x14ac:dyDescent="0.2">
      <c r="A19" s="88" t="s">
        <v>45</v>
      </c>
      <c r="B19" s="94"/>
      <c r="C19" s="94"/>
      <c r="D19" s="94"/>
      <c r="E19" s="158">
        <f>E4+E5+E6+E12+E13+E15+E16</f>
        <v>860000</v>
      </c>
      <c r="F19" s="89"/>
      <c r="G19" s="158">
        <f>SUM(G4:G18)</f>
        <v>201333.33333333334</v>
      </c>
      <c r="H19" s="158">
        <f>(SUM(E15:E16)/3)*H2</f>
        <v>73333.333333333328</v>
      </c>
    </row>
    <row r="20" spans="1:8" s="58" customFormat="1" x14ac:dyDescent="0.2">
      <c r="A20" s="51"/>
      <c r="B20" s="50"/>
      <c r="C20" s="50"/>
      <c r="D20" s="50"/>
      <c r="E20" s="50"/>
      <c r="F20" s="50"/>
      <c r="G20" s="50"/>
      <c r="H20" s="50"/>
    </row>
    <row r="21" spans="1:8" ht="16" thickBot="1" x14ac:dyDescent="0.25">
      <c r="A21" s="52"/>
      <c r="B21" s="53"/>
      <c r="C21" s="53"/>
      <c r="D21" s="53"/>
      <c r="E21" s="53"/>
      <c r="F21" s="53"/>
      <c r="G21" s="53"/>
      <c r="H21" s="53"/>
    </row>
    <row r="25" spans="1:8" x14ac:dyDescent="0.2">
      <c r="A25" s="91"/>
    </row>
    <row r="41" spans="1:1" x14ac:dyDescent="0.2">
      <c r="A41" s="9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ECEE-010D-AE46-BDB0-64F0C4016565}">
  <sheetPr>
    <tabColor rgb="FF92D050"/>
  </sheetPr>
  <dimension ref="A1:AG5"/>
  <sheetViews>
    <sheetView zoomScaleNormal="100" workbookViewId="0">
      <pane xSplit="3" ySplit="5" topLeftCell="D6" activePane="bottomRight" state="frozen"/>
      <selection pane="topRight" activeCell="D1" sqref="D1"/>
      <selection pane="bottomLeft" activeCell="A9" sqref="A9"/>
      <selection pane="bottomRight" activeCell="C2" sqref="C2:C3"/>
    </sheetView>
  </sheetViews>
  <sheetFormatPr baseColWidth="10" defaultColWidth="11.5" defaultRowHeight="15" x14ac:dyDescent="0.2"/>
  <cols>
    <col min="1" max="1" width="10.33203125" style="172" customWidth="1"/>
    <col min="2" max="2" width="43.33203125" style="66" bestFit="1" customWidth="1"/>
    <col min="3" max="3" width="8.33203125" style="70" customWidth="1"/>
    <col min="4" max="4" width="14" style="70" bestFit="1" customWidth="1"/>
    <col min="5" max="5" width="9.83203125" style="66" bestFit="1" customWidth="1"/>
    <col min="6" max="6" width="12.1640625" style="66" customWidth="1"/>
    <col min="7" max="7" width="13.83203125" style="70" bestFit="1" customWidth="1"/>
    <col min="8" max="8" width="9.83203125" style="66" bestFit="1" customWidth="1"/>
    <col min="9" max="9" width="13.6640625" style="66" customWidth="1"/>
    <col min="10" max="10" width="14" style="70" bestFit="1" customWidth="1"/>
    <col min="11" max="11" width="9.83203125" style="66" bestFit="1" customWidth="1"/>
    <col min="12" max="12" width="13.1640625" style="66" customWidth="1"/>
    <col min="13" max="13" width="14" style="70" bestFit="1" customWidth="1"/>
    <col min="14" max="14" width="9.83203125" style="66" customWidth="1"/>
    <col min="15" max="15" width="14" style="66" customWidth="1"/>
    <col min="16" max="16" width="14" style="70" bestFit="1" customWidth="1"/>
    <col min="17" max="17" width="9.83203125" style="66" customWidth="1"/>
    <col min="18" max="18" width="13.5" style="66" customWidth="1"/>
    <col min="19" max="19" width="6.1640625" style="70" hidden="1" customWidth="1"/>
    <col min="20" max="20" width="9.83203125" style="66" hidden="1" customWidth="1"/>
    <col min="21" max="21" width="13.5" style="66" hidden="1" customWidth="1"/>
    <col min="22" max="22" width="6.1640625" style="70" hidden="1" customWidth="1"/>
    <col min="23" max="23" width="9.83203125" style="66" hidden="1" customWidth="1"/>
    <col min="24" max="24" width="13.5" style="66" hidden="1" customWidth="1"/>
    <col min="25" max="25" width="6.1640625" style="70" hidden="1" customWidth="1"/>
    <col min="26" max="26" width="9.83203125" style="66" hidden="1" customWidth="1"/>
    <col min="27" max="27" width="13.5" style="66" hidden="1" customWidth="1"/>
    <col min="28" max="28" width="6.1640625" style="70" hidden="1" customWidth="1"/>
    <col min="29" max="29" width="9.83203125" style="66" hidden="1" customWidth="1"/>
    <col min="30" max="30" width="13.5" style="66" hidden="1" customWidth="1"/>
    <col min="31" max="31" width="6.1640625" style="70" hidden="1" customWidth="1"/>
    <col min="32" max="32" width="9.83203125" style="66" hidden="1" customWidth="1"/>
    <col min="33" max="33" width="13.5" style="66" hidden="1" customWidth="1"/>
    <col min="34" max="16384" width="11.5" style="172"/>
  </cols>
  <sheetData>
    <row r="1" spans="1:33" ht="19" x14ac:dyDescent="0.2">
      <c r="A1" s="84"/>
      <c r="B1" s="1" t="s">
        <v>162</v>
      </c>
      <c r="C1" s="267">
        <f>'Final Financial'!E50</f>
        <v>0.05</v>
      </c>
      <c r="D1" s="345" t="s">
        <v>31</v>
      </c>
      <c r="E1" s="346"/>
      <c r="F1" s="347"/>
      <c r="G1" s="345" t="s">
        <v>32</v>
      </c>
      <c r="H1" s="346"/>
      <c r="I1" s="347"/>
      <c r="J1" s="345" t="s">
        <v>33</v>
      </c>
      <c r="K1" s="346"/>
      <c r="L1" s="347"/>
      <c r="M1" s="345" t="s">
        <v>34</v>
      </c>
      <c r="N1" s="346"/>
      <c r="O1" s="347"/>
      <c r="P1" s="345" t="s">
        <v>35</v>
      </c>
      <c r="Q1" s="346"/>
      <c r="R1" s="347"/>
      <c r="S1" s="345" t="s">
        <v>36</v>
      </c>
      <c r="T1" s="346"/>
      <c r="U1" s="347"/>
      <c r="V1" s="345" t="s">
        <v>37</v>
      </c>
      <c r="W1" s="346"/>
      <c r="X1" s="347"/>
      <c r="Y1" s="345" t="s">
        <v>38</v>
      </c>
      <c r="Z1" s="346"/>
      <c r="AA1" s="347"/>
      <c r="AB1" s="340" t="s">
        <v>39</v>
      </c>
      <c r="AC1" s="340"/>
      <c r="AD1" s="340"/>
      <c r="AE1" s="340" t="s">
        <v>107</v>
      </c>
      <c r="AF1" s="340"/>
      <c r="AG1" s="340"/>
    </row>
    <row r="2" spans="1:33" ht="15.75" customHeight="1" x14ac:dyDescent="0.2">
      <c r="A2" s="350"/>
      <c r="B2" s="348" t="s">
        <v>40</v>
      </c>
      <c r="C2" s="352" t="s">
        <v>164</v>
      </c>
      <c r="D2" s="341"/>
      <c r="E2" s="342"/>
      <c r="F2" s="343"/>
      <c r="G2" s="341"/>
      <c r="H2" s="342"/>
      <c r="I2" s="343"/>
      <c r="J2" s="341"/>
      <c r="K2" s="342"/>
      <c r="L2" s="343"/>
      <c r="M2" s="341"/>
      <c r="N2" s="342"/>
      <c r="O2" s="343"/>
      <c r="P2" s="341"/>
      <c r="Q2" s="342"/>
      <c r="R2" s="343"/>
      <c r="S2" s="341"/>
      <c r="T2" s="342"/>
      <c r="U2" s="343"/>
      <c r="V2" s="341"/>
      <c r="W2" s="342"/>
      <c r="X2" s="343"/>
      <c r="Y2" s="341"/>
      <c r="Z2" s="342"/>
      <c r="AA2" s="343"/>
      <c r="AB2" s="341"/>
      <c r="AC2" s="342"/>
      <c r="AD2" s="343"/>
      <c r="AE2" s="341"/>
      <c r="AF2" s="342"/>
      <c r="AG2" s="343"/>
    </row>
    <row r="3" spans="1:33" ht="18.75" customHeight="1" x14ac:dyDescent="0.2">
      <c r="A3" s="351"/>
      <c r="B3" s="349"/>
      <c r="C3" s="353"/>
      <c r="D3" s="71" t="s">
        <v>127</v>
      </c>
      <c r="E3" s="72" t="s">
        <v>42</v>
      </c>
      <c r="F3" s="72" t="s">
        <v>43</v>
      </c>
      <c r="G3" s="71" t="s">
        <v>127</v>
      </c>
      <c r="H3" s="72" t="s">
        <v>42</v>
      </c>
      <c r="I3" s="72" t="s">
        <v>43</v>
      </c>
      <c r="J3" s="71" t="s">
        <v>127</v>
      </c>
      <c r="K3" s="72" t="s">
        <v>42</v>
      </c>
      <c r="L3" s="72" t="s">
        <v>43</v>
      </c>
      <c r="M3" s="71" t="s">
        <v>127</v>
      </c>
      <c r="N3" s="72" t="s">
        <v>42</v>
      </c>
      <c r="O3" s="72" t="s">
        <v>43</v>
      </c>
      <c r="P3" s="71" t="s">
        <v>127</v>
      </c>
      <c r="Q3" s="72" t="s">
        <v>42</v>
      </c>
      <c r="R3" s="72" t="s">
        <v>43</v>
      </c>
      <c r="S3" s="71" t="s">
        <v>41</v>
      </c>
      <c r="T3" s="72" t="s">
        <v>42</v>
      </c>
      <c r="U3" s="72" t="s">
        <v>43</v>
      </c>
      <c r="V3" s="71" t="s">
        <v>41</v>
      </c>
      <c r="W3" s="72" t="s">
        <v>42</v>
      </c>
      <c r="X3" s="72" t="s">
        <v>43</v>
      </c>
      <c r="Y3" s="71" t="s">
        <v>41</v>
      </c>
      <c r="Z3" s="72" t="s">
        <v>42</v>
      </c>
      <c r="AA3" s="72" t="s">
        <v>43</v>
      </c>
      <c r="AB3" s="71" t="s">
        <v>41</v>
      </c>
      <c r="AC3" s="72" t="s">
        <v>42</v>
      </c>
      <c r="AD3" s="72" t="s">
        <v>43</v>
      </c>
      <c r="AE3" s="71" t="s">
        <v>41</v>
      </c>
      <c r="AF3" s="72" t="s">
        <v>42</v>
      </c>
      <c r="AG3" s="72" t="s">
        <v>43</v>
      </c>
    </row>
    <row r="4" spans="1:33" ht="15" customHeight="1" x14ac:dyDescent="0.2">
      <c r="A4" s="59"/>
      <c r="B4" s="83" t="s">
        <v>128</v>
      </c>
      <c r="C4" s="67">
        <v>2</v>
      </c>
      <c r="D4" s="67">
        <f>'Final Financial (2)'!Q22</f>
        <v>125</v>
      </c>
      <c r="E4" s="60">
        <f>'Final Financial (2)'!Q15</f>
        <v>20000</v>
      </c>
      <c r="F4" s="60">
        <f>E4*D4*$C$4</f>
        <v>5000000</v>
      </c>
      <c r="G4" s="67">
        <f>D4*(1+$C$1)</f>
        <v>131.25</v>
      </c>
      <c r="H4" s="60">
        <f>E4</f>
        <v>20000</v>
      </c>
      <c r="I4" s="60">
        <f>H4*G4*$C$4</f>
        <v>5250000</v>
      </c>
      <c r="J4" s="67">
        <f>G4*(1+$C$1)</f>
        <v>137.8125</v>
      </c>
      <c r="K4" s="60">
        <f>H4</f>
        <v>20000</v>
      </c>
      <c r="L4" s="60">
        <f>K4*J4*$C$4</f>
        <v>5512500</v>
      </c>
      <c r="M4" s="67">
        <f>J4*(1+$C$1)</f>
        <v>144.703125</v>
      </c>
      <c r="N4" s="60">
        <f>K4</f>
        <v>20000</v>
      </c>
      <c r="O4" s="60">
        <f>N4*M4*$C$4</f>
        <v>5788125</v>
      </c>
      <c r="P4" s="67">
        <f>M4*(1+$C$1)</f>
        <v>151.93828125000002</v>
      </c>
      <c r="Q4" s="60">
        <f>N4</f>
        <v>20000</v>
      </c>
      <c r="R4" s="60">
        <f>Q4*P4*$C$4</f>
        <v>6077531.2500000009</v>
      </c>
      <c r="S4" s="67"/>
      <c r="T4" s="60"/>
      <c r="U4" s="159"/>
      <c r="V4" s="67"/>
      <c r="W4" s="60"/>
      <c r="X4" s="159"/>
      <c r="Y4" s="67"/>
      <c r="Z4" s="60"/>
      <c r="AA4" s="159"/>
      <c r="AB4" s="67"/>
      <c r="AC4" s="60"/>
      <c r="AD4" s="159"/>
      <c r="AE4" s="67"/>
      <c r="AF4" s="60"/>
      <c r="AG4" s="159"/>
    </row>
    <row r="5" spans="1:33" ht="16" thickBot="1" x14ac:dyDescent="0.25">
      <c r="A5" s="63"/>
      <c r="B5" s="64"/>
      <c r="C5" s="69"/>
      <c r="D5" s="69"/>
      <c r="E5" s="65"/>
      <c r="F5" s="97">
        <f>SUM(F4:F4)</f>
        <v>5000000</v>
      </c>
      <c r="G5" s="69"/>
      <c r="H5" s="65"/>
      <c r="I5" s="97">
        <f>SUM(I4:I4)</f>
        <v>5250000</v>
      </c>
      <c r="J5" s="69"/>
      <c r="K5" s="65"/>
      <c r="L5" s="97">
        <f>SUM(L4:L4)</f>
        <v>5512500</v>
      </c>
      <c r="M5" s="69"/>
      <c r="N5" s="65"/>
      <c r="O5" s="97">
        <f>SUM(O4:O4)</f>
        <v>5788125</v>
      </c>
      <c r="P5" s="69"/>
      <c r="Q5" s="65"/>
      <c r="R5" s="97">
        <f>SUM(R4:R4)</f>
        <v>6077531.2500000009</v>
      </c>
      <c r="S5" s="69"/>
      <c r="T5" s="65"/>
      <c r="U5" s="97">
        <f>SUM(U4:U4)</f>
        <v>0</v>
      </c>
      <c r="V5" s="69"/>
      <c r="W5" s="65"/>
      <c r="X5" s="97">
        <f>SUM(X4:X4)</f>
        <v>0</v>
      </c>
      <c r="Y5" s="69"/>
      <c r="Z5" s="65"/>
      <c r="AA5" s="97">
        <f>SUM(AA4:AA4)</f>
        <v>0</v>
      </c>
      <c r="AB5" s="69"/>
      <c r="AC5" s="65"/>
      <c r="AD5" s="97">
        <f>SUM(AD4:AD4)</f>
        <v>0</v>
      </c>
      <c r="AE5" s="69"/>
      <c r="AF5" s="65"/>
      <c r="AG5" s="97">
        <f>SUM(AG4:AG4)</f>
        <v>0</v>
      </c>
    </row>
  </sheetData>
  <mergeCells count="23">
    <mergeCell ref="AE2:AG2"/>
    <mergeCell ref="M2:O2"/>
    <mergeCell ref="P2:R2"/>
    <mergeCell ref="S2:U2"/>
    <mergeCell ref="V2:X2"/>
    <mergeCell ref="Y2:AA2"/>
    <mergeCell ref="AB2:AD2"/>
    <mergeCell ref="V1:X1"/>
    <mergeCell ref="Y1:AA1"/>
    <mergeCell ref="AB1:AD1"/>
    <mergeCell ref="AE1:AG1"/>
    <mergeCell ref="A2:A3"/>
    <mergeCell ref="B2:B3"/>
    <mergeCell ref="C2:C3"/>
    <mergeCell ref="D2:F2"/>
    <mergeCell ref="G2:I2"/>
    <mergeCell ref="J2:L2"/>
    <mergeCell ref="D1:F1"/>
    <mergeCell ref="G1:I1"/>
    <mergeCell ref="J1:L1"/>
    <mergeCell ref="M1:O1"/>
    <mergeCell ref="P1:R1"/>
    <mergeCell ref="S1:U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0270-6C9E-4B41-9861-810F3B3ED0F7}">
  <sheetPr>
    <tabColor rgb="FF974806"/>
  </sheetPr>
  <dimension ref="C1:V64"/>
  <sheetViews>
    <sheetView tabSelected="1" topLeftCell="A20" workbookViewId="0">
      <pane xSplit="4" topLeftCell="E1" activePane="topRight" state="frozen"/>
      <selection pane="topRight" activeCell="I36" sqref="I36"/>
    </sheetView>
  </sheetViews>
  <sheetFormatPr baseColWidth="10" defaultColWidth="14.5" defaultRowHeight="15" customHeight="1" x14ac:dyDescent="0.2"/>
  <cols>
    <col min="1" max="3" width="8.6640625" customWidth="1"/>
    <col min="4" max="4" width="38.83203125" style="140" customWidth="1"/>
    <col min="5" max="5" width="19" style="112" customWidth="1"/>
    <col min="6" max="6" width="17.6640625" style="109" customWidth="1"/>
    <col min="7" max="9" width="19.5" style="109" customWidth="1"/>
    <col min="10" max="14" width="15.83203125" style="109" hidden="1" customWidth="1"/>
  </cols>
  <sheetData>
    <row r="1" spans="3:19" x14ac:dyDescent="0.2">
      <c r="D1" s="141" t="s">
        <v>0</v>
      </c>
      <c r="E1" s="119">
        <v>1</v>
      </c>
      <c r="F1" s="120">
        <f>E1+1</f>
        <v>2</v>
      </c>
      <c r="G1" s="120">
        <f t="shared" ref="G1:N1" si="0">F1+1</f>
        <v>3</v>
      </c>
      <c r="H1" s="120">
        <f t="shared" si="0"/>
        <v>4</v>
      </c>
      <c r="I1" s="120">
        <f t="shared" si="0"/>
        <v>5</v>
      </c>
      <c r="J1" s="120">
        <f t="shared" si="0"/>
        <v>6</v>
      </c>
      <c r="K1" s="120">
        <f t="shared" si="0"/>
        <v>7</v>
      </c>
      <c r="L1" s="120">
        <f t="shared" si="0"/>
        <v>8</v>
      </c>
      <c r="M1" s="120">
        <f t="shared" si="0"/>
        <v>9</v>
      </c>
      <c r="N1" s="120">
        <f t="shared" si="0"/>
        <v>10</v>
      </c>
    </row>
    <row r="2" spans="3:19" ht="17" thickBot="1" x14ac:dyDescent="0.25">
      <c r="D2" s="121"/>
      <c r="E2" s="122" t="s">
        <v>1</v>
      </c>
      <c r="F2" s="122" t="s">
        <v>2</v>
      </c>
      <c r="G2" s="122" t="s">
        <v>3</v>
      </c>
      <c r="H2" s="122" t="s">
        <v>4</v>
      </c>
      <c r="I2" s="122" t="s">
        <v>5</v>
      </c>
      <c r="J2" s="123" t="s">
        <v>6</v>
      </c>
      <c r="K2" s="123" t="s">
        <v>7</v>
      </c>
      <c r="L2" s="123" t="s">
        <v>8</v>
      </c>
      <c r="M2" s="123" t="s">
        <v>9</v>
      </c>
      <c r="N2" s="123" t="s">
        <v>105</v>
      </c>
    </row>
    <row r="3" spans="3:19" ht="17" thickBot="1" x14ac:dyDescent="0.25">
      <c r="D3" s="116"/>
      <c r="E3" s="162"/>
      <c r="F3" s="162"/>
      <c r="G3" s="162"/>
      <c r="H3" s="162"/>
      <c r="I3" s="162"/>
      <c r="J3" s="176"/>
      <c r="K3" s="162"/>
      <c r="L3" s="162"/>
      <c r="M3" s="162"/>
      <c r="N3" s="162"/>
    </row>
    <row r="4" spans="3:19" ht="20" thickBot="1" x14ac:dyDescent="0.25">
      <c r="D4" s="336" t="s">
        <v>10</v>
      </c>
      <c r="E4" s="337"/>
      <c r="F4" s="337"/>
      <c r="G4" s="337"/>
      <c r="H4" s="337"/>
      <c r="I4" s="337"/>
      <c r="J4" s="337"/>
      <c r="K4" s="337"/>
      <c r="L4" s="337"/>
      <c r="M4" s="337"/>
      <c r="N4" s="371"/>
    </row>
    <row r="5" spans="3:19" x14ac:dyDescent="0.2">
      <c r="D5" s="133" t="s">
        <v>11</v>
      </c>
      <c r="E5" s="113">
        <f>'CAPEX (2)'!E19</f>
        <v>860000</v>
      </c>
      <c r="F5" s="110"/>
      <c r="G5" s="111"/>
      <c r="H5" s="111">
        <f>SUM('CAPEX (2)'!E15:E16)</f>
        <v>220000</v>
      </c>
      <c r="I5" s="111"/>
      <c r="J5" s="117"/>
      <c r="K5" s="117"/>
      <c r="L5" s="117"/>
      <c r="M5" s="117"/>
      <c r="N5" s="117"/>
    </row>
    <row r="6" spans="3:19" x14ac:dyDescent="0.2">
      <c r="D6" s="133" t="s">
        <v>126</v>
      </c>
      <c r="E6" s="113">
        <f>CAPEX!E12</f>
        <v>0</v>
      </c>
      <c r="F6" s="110"/>
      <c r="G6" s="111"/>
      <c r="H6" s="111"/>
      <c r="I6" s="111"/>
      <c r="J6" s="117"/>
      <c r="K6" s="117"/>
      <c r="L6" s="117"/>
      <c r="M6" s="117"/>
      <c r="N6" s="117"/>
    </row>
    <row r="7" spans="3:19" ht="16" thickBot="1" x14ac:dyDescent="0.25">
      <c r="D7" s="134" t="s">
        <v>12</v>
      </c>
      <c r="E7" s="124">
        <f t="shared" ref="E7:N7" si="1">SUM(E5:E6)</f>
        <v>860000</v>
      </c>
      <c r="F7" s="124">
        <f t="shared" si="1"/>
        <v>0</v>
      </c>
      <c r="G7" s="124">
        <f t="shared" si="1"/>
        <v>0</v>
      </c>
      <c r="H7" s="124">
        <f t="shared" si="1"/>
        <v>220000</v>
      </c>
      <c r="I7" s="124">
        <f t="shared" si="1"/>
        <v>0</v>
      </c>
      <c r="J7" s="124">
        <f t="shared" si="1"/>
        <v>0</v>
      </c>
      <c r="K7" s="124">
        <f t="shared" si="1"/>
        <v>0</v>
      </c>
      <c r="L7" s="124">
        <f t="shared" si="1"/>
        <v>0</v>
      </c>
      <c r="M7" s="124">
        <f t="shared" si="1"/>
        <v>0</v>
      </c>
      <c r="N7" s="124">
        <f t="shared" si="1"/>
        <v>0</v>
      </c>
    </row>
    <row r="8" spans="3:19" ht="20" thickBot="1" x14ac:dyDescent="0.25">
      <c r="D8" s="338" t="s">
        <v>13</v>
      </c>
      <c r="E8" s="339"/>
      <c r="F8" s="339"/>
      <c r="G8" s="339"/>
      <c r="H8" s="339"/>
      <c r="I8" s="339"/>
      <c r="J8" s="339"/>
      <c r="K8" s="339"/>
      <c r="L8" s="339"/>
      <c r="M8" s="339"/>
      <c r="N8" s="372"/>
    </row>
    <row r="9" spans="3:19" ht="15.75" customHeight="1" x14ac:dyDescent="0.2">
      <c r="D9" s="125" t="s">
        <v>14</v>
      </c>
      <c r="E9" s="126">
        <f>'Revenue &amp; COGS (2)'!F5</f>
        <v>5000000</v>
      </c>
      <c r="F9" s="127">
        <f>'Revenue &amp; COGS (2)'!I5</f>
        <v>5250000</v>
      </c>
      <c r="G9" s="128">
        <f>'Revenue &amp; COGS (2)'!L5</f>
        <v>5512500</v>
      </c>
      <c r="H9" s="128">
        <f>'Revenue &amp; COGS (2)'!O5</f>
        <v>5788125</v>
      </c>
      <c r="I9" s="128">
        <f>'Revenue &amp; COGS (2)'!R5</f>
        <v>6077531.2500000009</v>
      </c>
      <c r="J9" s="129"/>
      <c r="K9" s="129"/>
      <c r="L9" s="129"/>
      <c r="M9" s="129"/>
      <c r="N9" s="129"/>
    </row>
    <row r="10" spans="3:19" x14ac:dyDescent="0.2">
      <c r="C10" s="261">
        <f>'Final Financial'!E43</f>
        <v>0.08</v>
      </c>
      <c r="D10" s="133" t="s">
        <v>165</v>
      </c>
      <c r="E10" s="113">
        <f>E9*$C$10</f>
        <v>400000</v>
      </c>
      <c r="F10" s="113">
        <f t="shared" ref="F10:G10" si="2">F9*$C$10</f>
        <v>420000</v>
      </c>
      <c r="G10" s="113">
        <f t="shared" si="2"/>
        <v>441000</v>
      </c>
      <c r="H10" s="113">
        <f t="shared" ref="H10" si="3">H9*$C$10</f>
        <v>463050</v>
      </c>
      <c r="I10" s="113">
        <f t="shared" ref="I10" si="4">I9*$C$10</f>
        <v>486202.50000000006</v>
      </c>
      <c r="J10" s="117"/>
      <c r="K10" s="117"/>
      <c r="L10" s="117"/>
      <c r="M10" s="117"/>
      <c r="N10" s="117"/>
      <c r="P10" t="s">
        <v>117</v>
      </c>
      <c r="Q10">
        <v>10000</v>
      </c>
      <c r="R10" t="s">
        <v>135</v>
      </c>
    </row>
    <row r="11" spans="3:19" x14ac:dyDescent="0.2">
      <c r="C11" s="261">
        <v>0.03</v>
      </c>
      <c r="D11" s="133" t="s">
        <v>169</v>
      </c>
      <c r="E11" s="113">
        <f>$C$11*E9</f>
        <v>150000</v>
      </c>
      <c r="F11" s="113">
        <f>$C$11*F9</f>
        <v>157500</v>
      </c>
      <c r="G11" s="113">
        <f t="shared" ref="G11:I11" si="5">$C$11*G9</f>
        <v>165375</v>
      </c>
      <c r="H11" s="113">
        <f t="shared" si="5"/>
        <v>173643.75</v>
      </c>
      <c r="I11" s="113">
        <f t="shared" si="5"/>
        <v>182325.93750000003</v>
      </c>
      <c r="J11" s="117"/>
      <c r="K11" s="117"/>
      <c r="L11" s="117"/>
      <c r="M11" s="117"/>
      <c r="N11" s="117"/>
      <c r="Q11">
        <v>136000</v>
      </c>
      <c r="R11" t="s">
        <v>136</v>
      </c>
      <c r="S11" t="s">
        <v>137</v>
      </c>
    </row>
    <row r="12" spans="3:19" x14ac:dyDescent="0.2">
      <c r="D12" s="133" t="s">
        <v>130</v>
      </c>
      <c r="E12" s="113">
        <f>'GEN &amp; ADMIN (2)'!E56</f>
        <v>3548000</v>
      </c>
      <c r="F12" s="110">
        <f>'GEN &amp; ADMIN (2)'!H56</f>
        <v>3780160</v>
      </c>
      <c r="G12" s="111">
        <f>'GEN &amp; ADMIN (2)'!K56</f>
        <v>3921766.4000000004</v>
      </c>
      <c r="H12" s="111">
        <f>'GEN &amp; ADMIN (2)'!N56</f>
        <v>4063066.6239999998</v>
      </c>
      <c r="I12" s="111">
        <f>'GEN &amp; ADMIN (2)'!Q56</f>
        <v>4210018.8569600005</v>
      </c>
      <c r="J12" s="117"/>
      <c r="K12" s="117"/>
      <c r="L12" s="117"/>
      <c r="M12" s="117"/>
      <c r="N12" s="117"/>
      <c r="Q12">
        <v>60000</v>
      </c>
      <c r="R12" t="s">
        <v>138</v>
      </c>
    </row>
    <row r="13" spans="3:19" x14ac:dyDescent="0.2">
      <c r="C13" s="261">
        <v>0.05</v>
      </c>
      <c r="D13" s="133" t="s">
        <v>167</v>
      </c>
      <c r="E13" s="113">
        <f>$C$13*E9</f>
        <v>250000</v>
      </c>
      <c r="F13" s="113">
        <f t="shared" ref="F13:I13" si="6">$C$13*F9</f>
        <v>262500</v>
      </c>
      <c r="G13" s="113">
        <f t="shared" si="6"/>
        <v>275625</v>
      </c>
      <c r="H13" s="113">
        <f t="shared" si="6"/>
        <v>289406.25</v>
      </c>
      <c r="I13" s="113">
        <f t="shared" si="6"/>
        <v>303876.56250000006</v>
      </c>
      <c r="J13" s="117"/>
      <c r="K13" s="117"/>
      <c r="L13" s="117"/>
      <c r="M13" s="117"/>
      <c r="N13" s="117"/>
      <c r="Q13">
        <v>600000</v>
      </c>
      <c r="R13" t="s">
        <v>139</v>
      </c>
    </row>
    <row r="14" spans="3:19" ht="16" x14ac:dyDescent="0.2">
      <c r="D14" s="130" t="s">
        <v>18</v>
      </c>
      <c r="E14" s="131">
        <f t="shared" ref="E14:N14" si="7">SUM(E10:E13)</f>
        <v>4348000</v>
      </c>
      <c r="F14" s="131">
        <f>SUM(F10:F13)</f>
        <v>4620160</v>
      </c>
      <c r="G14" s="131">
        <f t="shared" si="7"/>
        <v>4803766.4000000004</v>
      </c>
      <c r="H14" s="131">
        <f t="shared" si="7"/>
        <v>4989166.6239999998</v>
      </c>
      <c r="I14" s="131">
        <f t="shared" si="7"/>
        <v>5182423.8569600005</v>
      </c>
      <c r="J14" s="131">
        <f t="shared" si="7"/>
        <v>0</v>
      </c>
      <c r="K14" s="131">
        <f t="shared" si="7"/>
        <v>0</v>
      </c>
      <c r="L14" s="131">
        <f t="shared" si="7"/>
        <v>0</v>
      </c>
      <c r="M14" s="131">
        <f t="shared" si="7"/>
        <v>0</v>
      </c>
      <c r="N14" s="131">
        <f t="shared" si="7"/>
        <v>0</v>
      </c>
    </row>
    <row r="15" spans="3:19" s="109" customFormat="1" ht="15.75" customHeight="1" x14ac:dyDescent="0.2">
      <c r="D15" s="135" t="s">
        <v>19</v>
      </c>
      <c r="E15" s="132">
        <f t="shared" ref="E15:N15" si="8">E9-E14</f>
        <v>652000</v>
      </c>
      <c r="F15" s="132">
        <f t="shared" si="8"/>
        <v>629840</v>
      </c>
      <c r="G15" s="132">
        <f t="shared" si="8"/>
        <v>708733.59999999963</v>
      </c>
      <c r="H15" s="132">
        <f t="shared" si="8"/>
        <v>798958.37600000016</v>
      </c>
      <c r="I15" s="132">
        <f t="shared" si="8"/>
        <v>895107.39304000046</v>
      </c>
      <c r="J15" s="132">
        <f t="shared" si="8"/>
        <v>0</v>
      </c>
      <c r="K15" s="132">
        <f t="shared" si="8"/>
        <v>0</v>
      </c>
      <c r="L15" s="132">
        <f t="shared" si="8"/>
        <v>0</v>
      </c>
      <c r="M15" s="132">
        <f t="shared" si="8"/>
        <v>0</v>
      </c>
      <c r="N15" s="132">
        <f t="shared" si="8"/>
        <v>0</v>
      </c>
      <c r="P15" s="263" t="s">
        <v>117</v>
      </c>
      <c r="Q15" s="263">
        <f>'Final Financial'!E41</f>
        <v>20000</v>
      </c>
    </row>
    <row r="16" spans="3:19" ht="15.75" customHeight="1" x14ac:dyDescent="0.2">
      <c r="D16" s="133" t="s">
        <v>20</v>
      </c>
      <c r="E16" s="113">
        <f>'CAPEX (2)'!$G$19</f>
        <v>201333.33333333334</v>
      </c>
      <c r="F16" s="113">
        <f>'CAPEX (2)'!$G$19</f>
        <v>201333.33333333334</v>
      </c>
      <c r="G16" s="113">
        <f>'CAPEX (2)'!$G$19</f>
        <v>201333.33333333334</v>
      </c>
      <c r="H16" s="113">
        <f>'CAPEX (2)'!$G$19</f>
        <v>201333.33333333334</v>
      </c>
      <c r="I16" s="113">
        <f>'CAPEX (2)'!$G$19</f>
        <v>201333.33333333334</v>
      </c>
      <c r="J16" s="111"/>
      <c r="K16" s="111"/>
      <c r="L16" s="111"/>
      <c r="M16" s="111"/>
      <c r="N16" s="111"/>
    </row>
    <row r="17" spans="3:22" ht="15.75" customHeight="1" x14ac:dyDescent="0.2">
      <c r="D17" s="133" t="s">
        <v>140</v>
      </c>
      <c r="E17" s="113"/>
      <c r="F17" s="115"/>
      <c r="G17" s="115"/>
      <c r="H17" s="115"/>
      <c r="I17" s="115">
        <f>'CAPEX (2)'!H19</f>
        <v>73333.333333333328</v>
      </c>
      <c r="J17" s="115"/>
      <c r="K17" s="115"/>
      <c r="L17" s="115"/>
      <c r="M17" s="115"/>
      <c r="N17" s="115"/>
      <c r="R17" t="s">
        <v>142</v>
      </c>
    </row>
    <row r="18" spans="3:22" ht="15.75" customHeight="1" x14ac:dyDescent="0.2">
      <c r="D18" s="133" t="s">
        <v>112</v>
      </c>
      <c r="E18" s="231">
        <f>E15-E16</f>
        <v>450666.66666666663</v>
      </c>
      <c r="F18" s="231">
        <f>F15-F16</f>
        <v>428506.66666666663</v>
      </c>
      <c r="G18" s="231">
        <f t="shared" ref="G18:I18" si="9">G15-G16</f>
        <v>507400.26666666626</v>
      </c>
      <c r="H18" s="231">
        <f>H15-H16</f>
        <v>597625.04266666679</v>
      </c>
      <c r="I18" s="231">
        <f t="shared" si="9"/>
        <v>693774.05970666709</v>
      </c>
      <c r="J18" s="231"/>
      <c r="K18" s="231"/>
      <c r="L18" s="231"/>
      <c r="M18" s="231"/>
      <c r="N18" s="231"/>
    </row>
    <row r="19" spans="3:22" ht="15.75" customHeight="1" x14ac:dyDescent="0.2">
      <c r="C19" s="261">
        <v>0.25</v>
      </c>
      <c r="D19" s="133" t="s">
        <v>111</v>
      </c>
      <c r="E19" s="231">
        <f>E18*$C$19</f>
        <v>112666.66666666666</v>
      </c>
      <c r="F19" s="231">
        <f>F18*$C$19</f>
        <v>107126.66666666666</v>
      </c>
      <c r="G19" s="231">
        <f>G18*$C$19</f>
        <v>126850.06666666656</v>
      </c>
      <c r="H19" s="231">
        <f t="shared" ref="H19:I19" si="10">H18*$C$19</f>
        <v>149406.2606666667</v>
      </c>
      <c r="I19" s="231">
        <f t="shared" si="10"/>
        <v>173443.51492666677</v>
      </c>
      <c r="J19" s="230"/>
      <c r="K19" s="230"/>
      <c r="L19" s="230"/>
      <c r="M19" s="230"/>
      <c r="N19" s="230"/>
    </row>
    <row r="20" spans="3:22" ht="15.75" customHeight="1" x14ac:dyDescent="0.2">
      <c r="D20" s="232" t="s">
        <v>113</v>
      </c>
      <c r="E20" s="233">
        <f>E18-E19</f>
        <v>338000</v>
      </c>
      <c r="F20" s="233">
        <f t="shared" ref="F20:I20" si="11">F18-F19</f>
        <v>321380</v>
      </c>
      <c r="G20" s="233">
        <f t="shared" si="11"/>
        <v>380550.19999999972</v>
      </c>
      <c r="H20" s="233">
        <f t="shared" si="11"/>
        <v>448218.78200000012</v>
      </c>
      <c r="I20" s="233">
        <f t="shared" si="11"/>
        <v>520330.54478000035</v>
      </c>
      <c r="J20" s="233"/>
      <c r="K20" s="233"/>
      <c r="L20" s="233"/>
      <c r="M20" s="233"/>
      <c r="N20" s="233"/>
      <c r="P20" s="263" t="s">
        <v>146</v>
      </c>
      <c r="Q20" s="263">
        <f>'Final Financial'!E39</f>
        <v>100000</v>
      </c>
    </row>
    <row r="21" spans="3:22" ht="15.75" customHeight="1" x14ac:dyDescent="0.2">
      <c r="D21" s="133"/>
      <c r="E21" s="113"/>
      <c r="F21" s="115"/>
      <c r="G21" s="115"/>
      <c r="H21" s="115"/>
      <c r="I21" s="115"/>
      <c r="J21" s="115"/>
      <c r="K21" s="115"/>
      <c r="L21" s="115"/>
      <c r="M21" s="115"/>
      <c r="N21" s="115"/>
    </row>
    <row r="22" spans="3:22" ht="15.75" customHeight="1" thickBot="1" x14ac:dyDescent="0.25">
      <c r="D22" s="136" t="s">
        <v>21</v>
      </c>
      <c r="E22" s="234">
        <f>E15+E17-E19</f>
        <v>539333.33333333337</v>
      </c>
      <c r="F22" s="234">
        <f>F15+F17-F19-F7</f>
        <v>522713.33333333337</v>
      </c>
      <c r="G22" s="234">
        <f t="shared" ref="G22:I22" si="12">G15+G17-G19-G7</f>
        <v>581883.53333333309</v>
      </c>
      <c r="H22" s="234">
        <f t="shared" si="12"/>
        <v>429552.1153333335</v>
      </c>
      <c r="I22" s="234">
        <f t="shared" si="12"/>
        <v>794997.21144666709</v>
      </c>
      <c r="J22" s="234"/>
      <c r="K22" s="234"/>
      <c r="L22" s="234"/>
      <c r="M22" s="234"/>
      <c r="N22" s="234"/>
      <c r="P22" s="263" t="s">
        <v>150</v>
      </c>
      <c r="Q22" s="263">
        <f>'Final Financial'!E44</f>
        <v>125</v>
      </c>
    </row>
    <row r="23" spans="3:22" ht="20" thickBot="1" x14ac:dyDescent="0.3">
      <c r="D23" s="334" t="s">
        <v>22</v>
      </c>
      <c r="E23" s="335"/>
      <c r="F23" s="335"/>
      <c r="G23" s="335"/>
      <c r="H23" s="335"/>
      <c r="I23" s="335"/>
      <c r="J23" s="373"/>
      <c r="K23"/>
      <c r="L23"/>
      <c r="M23"/>
      <c r="N23"/>
      <c r="P23" s="274"/>
      <c r="Q23" s="275"/>
      <c r="R23" s="366" t="s">
        <v>159</v>
      </c>
      <c r="S23" s="366"/>
      <c r="T23" s="366"/>
      <c r="U23" s="366"/>
      <c r="V23" s="367"/>
    </row>
    <row r="24" spans="3:22" ht="15.75" customHeight="1" x14ac:dyDescent="0.2">
      <c r="D24" s="137" t="s">
        <v>23</v>
      </c>
      <c r="E24" s="236">
        <f>E15-E7</f>
        <v>-208000</v>
      </c>
      <c r="F24" s="239">
        <f>F15-F7</f>
        <v>629840</v>
      </c>
      <c r="G24" s="239">
        <f>G15-G7</f>
        <v>708733.59999999963</v>
      </c>
      <c r="H24" s="239">
        <f>H15-H7</f>
        <v>578958.37600000016</v>
      </c>
      <c r="I24" s="239">
        <f>I15-I7</f>
        <v>895107.39304000046</v>
      </c>
      <c r="J24" s="239"/>
      <c r="K24" s="239"/>
      <c r="L24" s="239"/>
      <c r="M24" s="239"/>
      <c r="N24" s="239"/>
      <c r="P24" s="276"/>
      <c r="Q24" s="269">
        <f>I36</f>
        <v>0.46144154480620136</v>
      </c>
      <c r="R24" s="281">
        <v>20000</v>
      </c>
      <c r="S24" s="281">
        <f>R24+5000</f>
        <v>25000</v>
      </c>
      <c r="T24" s="281">
        <f>S24+5000</f>
        <v>30000</v>
      </c>
      <c r="U24" s="281">
        <f>T24+5000</f>
        <v>35000</v>
      </c>
      <c r="V24" s="282">
        <f>U24+5000</f>
        <v>40000</v>
      </c>
    </row>
    <row r="25" spans="3:22" ht="15.75" customHeight="1" x14ac:dyDescent="0.2">
      <c r="D25" s="253" t="s">
        <v>24</v>
      </c>
      <c r="E25" s="254">
        <f>(E9-E10-E11)/E9</f>
        <v>0.89</v>
      </c>
      <c r="F25" s="254">
        <f t="shared" ref="F25:I25" si="13">(F9-F10-F11)/F9</f>
        <v>0.89</v>
      </c>
      <c r="G25" s="254">
        <f t="shared" si="13"/>
        <v>0.89</v>
      </c>
      <c r="H25" s="254">
        <f t="shared" si="13"/>
        <v>0.89</v>
      </c>
      <c r="I25" s="254">
        <f t="shared" si="13"/>
        <v>0.89</v>
      </c>
      <c r="J25" s="237"/>
      <c r="K25" s="237"/>
      <c r="L25" s="237"/>
      <c r="M25" s="237"/>
      <c r="N25" s="237"/>
      <c r="P25" s="374" t="s">
        <v>149</v>
      </c>
      <c r="Q25" s="281">
        <f>30000</f>
        <v>30000</v>
      </c>
      <c r="R25" s="270">
        <f t="dataTable" ref="R25:V31" dt2D="1" dtr="1" r1="Q15" r2="Q20" ca="1"/>
        <v>0.60301814148148158</v>
      </c>
      <c r="S25" s="270">
        <v>1.8601379331481478</v>
      </c>
      <c r="T25" s="271">
        <v>3.1172577248148148</v>
      </c>
      <c r="U25" s="271">
        <v>4.3743775164814824</v>
      </c>
      <c r="V25" s="278">
        <v>5.6314973081481474</v>
      </c>
    </row>
    <row r="26" spans="3:22" ht="15.75" customHeight="1" x14ac:dyDescent="0.2">
      <c r="D26" s="137" t="s">
        <v>25</v>
      </c>
      <c r="E26" s="237">
        <f>(E15-E16)/E9</f>
        <v>9.0133333333333329E-2</v>
      </c>
      <c r="F26" s="237">
        <f>(F15-F16)/F9</f>
        <v>8.1620317460317449E-2</v>
      </c>
      <c r="G26" s="237">
        <f>(G15-G16)/G9</f>
        <v>9.2045399848828341E-2</v>
      </c>
      <c r="H26" s="237">
        <f>(H15-H16)/H9</f>
        <v>0.10325019633588887</v>
      </c>
      <c r="I26" s="237">
        <f>(I15-I16)/I9</f>
        <v>0.11415392717341716</v>
      </c>
      <c r="J26" s="237"/>
      <c r="K26" s="237"/>
      <c r="L26" s="237"/>
      <c r="M26" s="237"/>
      <c r="N26" s="237"/>
      <c r="P26" s="374"/>
      <c r="Q26" s="281">
        <f>Q25+5000</f>
        <v>35000</v>
      </c>
      <c r="R26" s="270">
        <v>0.59110465095890397</v>
      </c>
      <c r="S26" s="270">
        <v>1.8310036235616436</v>
      </c>
      <c r="T26" s="271">
        <v>3.0709025961643834</v>
      </c>
      <c r="U26" s="271">
        <v>4.3108015687671237</v>
      </c>
      <c r="V26" s="278">
        <v>5.5507005413698627</v>
      </c>
    </row>
    <row r="27" spans="3:22" ht="15.75" customHeight="1" x14ac:dyDescent="0.2">
      <c r="D27" s="253" t="s">
        <v>115</v>
      </c>
      <c r="E27" s="254" t="s">
        <v>141</v>
      </c>
      <c r="F27" s="254">
        <f>F20/F9</f>
        <v>6.1215238095238093E-2</v>
      </c>
      <c r="G27" s="254">
        <f>G20/G9</f>
        <v>6.9034049886621263E-2</v>
      </c>
      <c r="H27" s="254">
        <f>H20/H9</f>
        <v>7.7437647251916666E-2</v>
      </c>
      <c r="I27" s="254">
        <f>I20/I9</f>
        <v>8.5615445380062882E-2</v>
      </c>
      <c r="J27" s="237"/>
      <c r="K27" s="237"/>
      <c r="L27" s="237"/>
      <c r="M27" s="237"/>
      <c r="N27" s="237"/>
      <c r="P27" s="374"/>
      <c r="Q27" s="281">
        <f t="shared" ref="Q27:Q31" si="14">Q26+5000</f>
        <v>40000</v>
      </c>
      <c r="R27" s="270">
        <v>0.57951314666666665</v>
      </c>
      <c r="S27" s="270">
        <v>1.8026567277477479</v>
      </c>
      <c r="T27" s="271">
        <v>3.0258003088288286</v>
      </c>
      <c r="U27" s="271">
        <v>4.248943889909909</v>
      </c>
      <c r="V27" s="278">
        <v>5.4720874709909912</v>
      </c>
    </row>
    <row r="28" spans="3:22" ht="15.75" customHeight="1" x14ac:dyDescent="0.2">
      <c r="D28" s="137" t="s">
        <v>26</v>
      </c>
      <c r="E28" s="114">
        <v>0.1</v>
      </c>
      <c r="F28" s="240"/>
      <c r="G28" s="240"/>
      <c r="H28" s="240"/>
      <c r="I28" s="240"/>
      <c r="J28" s="240"/>
      <c r="K28" s="240"/>
      <c r="L28" s="240"/>
      <c r="M28" s="240"/>
      <c r="N28" s="240"/>
      <c r="P28" s="374"/>
      <c r="Q28" s="281">
        <f t="shared" si="14"/>
        <v>45000</v>
      </c>
      <c r="R28" s="270">
        <v>0.56823074915555571</v>
      </c>
      <c r="S28" s="270">
        <v>1.775065749155555</v>
      </c>
      <c r="T28" s="271">
        <v>2.9819007491555558</v>
      </c>
      <c r="U28" s="271">
        <v>4.1887357491555566</v>
      </c>
      <c r="V28" s="278">
        <v>5.3955707491555547</v>
      </c>
    </row>
    <row r="29" spans="3:22" ht="15.75" customHeight="1" x14ac:dyDescent="0.2">
      <c r="D29" s="137" t="s">
        <v>27</v>
      </c>
      <c r="E29" s="238">
        <f>NPV(E28,E22,F22,G22,H22,I22)-E7</f>
        <v>1286495.8265683949</v>
      </c>
      <c r="F29" s="240"/>
      <c r="G29" s="240"/>
      <c r="H29" s="240"/>
      <c r="I29" s="240"/>
      <c r="J29" s="240"/>
      <c r="K29" s="240"/>
      <c r="L29" s="240"/>
      <c r="M29" s="240"/>
      <c r="N29" s="240"/>
      <c r="P29" s="374"/>
      <c r="Q29" s="281">
        <f t="shared" si="14"/>
        <v>50000</v>
      </c>
      <c r="R29" s="270">
        <v>0.55724525684210513</v>
      </c>
      <c r="S29" s="270">
        <v>1.7482008489473686</v>
      </c>
      <c r="T29" s="271">
        <v>2.9391564410526314</v>
      </c>
      <c r="U29" s="271">
        <v>4.1301120331578947</v>
      </c>
      <c r="V29" s="278">
        <v>5.3210676252631579</v>
      </c>
    </row>
    <row r="30" spans="3:22" ht="15.75" customHeight="1" x14ac:dyDescent="0.2">
      <c r="D30" s="137" t="s">
        <v>28</v>
      </c>
      <c r="E30" s="113"/>
      <c r="F30" s="235"/>
      <c r="G30" s="235"/>
      <c r="H30" s="235"/>
      <c r="I30" s="235"/>
      <c r="J30" s="235"/>
      <c r="K30" s="235"/>
      <c r="L30" s="235"/>
      <c r="M30" s="235"/>
      <c r="N30" s="235"/>
      <c r="P30" s="374"/>
      <c r="Q30" s="281">
        <f t="shared" si="14"/>
        <v>55000</v>
      </c>
      <c r="R30" s="270">
        <v>0.54654510199134199</v>
      </c>
      <c r="S30" s="270">
        <v>1.7220337383549786</v>
      </c>
      <c r="T30" s="271">
        <v>2.8975223747186147</v>
      </c>
      <c r="U30" s="271">
        <v>4.0730110110822499</v>
      </c>
      <c r="V30" s="278">
        <v>5.2484996474458878</v>
      </c>
    </row>
    <row r="31" spans="3:22" ht="15.75" customHeight="1" x14ac:dyDescent="0.2">
      <c r="D31" s="137" t="s">
        <v>29</v>
      </c>
      <c r="E31" s="113"/>
      <c r="F31" s="241"/>
      <c r="G31" s="241"/>
      <c r="H31" s="241"/>
      <c r="I31" s="241"/>
      <c r="J31" s="241"/>
      <c r="K31" s="241"/>
      <c r="L31" s="241"/>
      <c r="M31" s="241"/>
      <c r="N31" s="241"/>
      <c r="P31" s="374"/>
      <c r="Q31" s="281">
        <f t="shared" si="14"/>
        <v>60000</v>
      </c>
      <c r="R31" s="270">
        <v>0.5361193100854702</v>
      </c>
      <c r="S31" s="270">
        <v>1.6965375793162392</v>
      </c>
      <c r="T31" s="271">
        <v>2.8569558485470088</v>
      </c>
      <c r="U31" s="271">
        <v>4.0173741177777789</v>
      </c>
      <c r="V31" s="278">
        <v>5.1777923870085463</v>
      </c>
    </row>
    <row r="32" spans="3:22" ht="15.75" customHeight="1" thickBot="1" x14ac:dyDescent="0.25">
      <c r="D32" s="138" t="s">
        <v>30</v>
      </c>
      <c r="E32" s="118"/>
      <c r="F32" s="242"/>
      <c r="G32" s="242"/>
      <c r="H32" s="242"/>
      <c r="I32" s="242"/>
      <c r="J32" s="242"/>
      <c r="K32" s="242"/>
      <c r="L32" s="242"/>
      <c r="M32" s="242"/>
      <c r="N32" s="242"/>
      <c r="P32" s="283"/>
      <c r="Q32" s="281"/>
      <c r="R32" s="268"/>
      <c r="S32" s="268"/>
      <c r="T32" s="268"/>
      <c r="U32" s="268"/>
      <c r="V32" s="277"/>
    </row>
    <row r="33" spans="4:22" s="109" customFormat="1" ht="15.75" customHeight="1" x14ac:dyDescent="0.2">
      <c r="D33" s="139"/>
      <c r="E33" s="112"/>
      <c r="O33"/>
      <c r="P33" s="283"/>
      <c r="Q33" s="284">
        <f>I36</f>
        <v>0.46144154480620136</v>
      </c>
      <c r="R33" s="281">
        <v>20000</v>
      </c>
      <c r="S33" s="281">
        <f>R33+5000</f>
        <v>25000</v>
      </c>
      <c r="T33" s="281">
        <f>S33+5000</f>
        <v>30000</v>
      </c>
      <c r="U33" s="281">
        <f>T33+5000</f>
        <v>35000</v>
      </c>
      <c r="V33" s="282">
        <f>U33+5000</f>
        <v>40000</v>
      </c>
    </row>
    <row r="34" spans="4:22" s="109" customFormat="1" ht="15.75" customHeight="1" x14ac:dyDescent="0.2">
      <c r="D34" s="139"/>
      <c r="E34" s="243"/>
      <c r="F34" s="244"/>
      <c r="G34" s="244"/>
      <c r="H34" s="244"/>
      <c r="I34" s="244"/>
      <c r="O34"/>
      <c r="P34" s="374" t="s">
        <v>148</v>
      </c>
      <c r="Q34" s="285">
        <v>0.05</v>
      </c>
      <c r="R34" s="272">
        <f t="dataTable" ref="R34:V39" dt2D="1" dtr="1" r1="Q15" r2="C10"/>
        <v>0.61179474248062005</v>
      </c>
      <c r="S34" s="272">
        <v>1.7018554256201555</v>
      </c>
      <c r="T34" s="272">
        <v>2.7919161087596898</v>
      </c>
      <c r="U34" s="272">
        <v>3.8819767918992243</v>
      </c>
      <c r="V34" s="279">
        <v>4.9720374750387597</v>
      </c>
    </row>
    <row r="35" spans="4:22" s="109" customFormat="1" ht="15.75" customHeight="1" x14ac:dyDescent="0.2">
      <c r="D35" s="139" t="s">
        <v>144</v>
      </c>
      <c r="E35" s="243">
        <f>E7</f>
        <v>860000</v>
      </c>
      <c r="F35" s="243">
        <f>E35+E18</f>
        <v>1310666.6666666665</v>
      </c>
      <c r="G35" s="243">
        <f t="shared" ref="G35:I35" si="15">F35+F18</f>
        <v>1739173.333333333</v>
      </c>
      <c r="H35" s="243">
        <f t="shared" si="15"/>
        <v>2246573.5999999992</v>
      </c>
      <c r="I35" s="243">
        <f t="shared" si="15"/>
        <v>2844198.6426666658</v>
      </c>
      <c r="O35"/>
      <c r="P35" s="374"/>
      <c r="Q35" s="285">
        <f>Q34+1%</f>
        <v>6.0000000000000005E-2</v>
      </c>
      <c r="R35" s="272">
        <v>0.56167700992248037</v>
      </c>
      <c r="S35" s="272">
        <v>1.6392082599224806</v>
      </c>
      <c r="T35" s="272">
        <v>2.7167395099224807</v>
      </c>
      <c r="U35" s="272">
        <v>3.7942707599224796</v>
      </c>
      <c r="V35" s="279">
        <v>4.8718020099224812</v>
      </c>
    </row>
    <row r="36" spans="4:22" s="109" customFormat="1" ht="15.75" customHeight="1" x14ac:dyDescent="0.2">
      <c r="D36" s="139" t="s">
        <v>145</v>
      </c>
      <c r="E36" s="112"/>
      <c r="F36" s="112"/>
      <c r="G36" s="112"/>
      <c r="H36" s="112"/>
      <c r="I36" s="262">
        <f>((I35-E35)/E35)/5</f>
        <v>0.46144154480620136</v>
      </c>
      <c r="O36"/>
      <c r="P36" s="374"/>
      <c r="Q36" s="285">
        <f t="shared" ref="Q36:Q39" si="16">Q35+1%</f>
        <v>7.0000000000000007E-2</v>
      </c>
      <c r="R36" s="272">
        <v>0.51155927736434093</v>
      </c>
      <c r="S36" s="272">
        <v>1.5765610942248065</v>
      </c>
      <c r="T36" s="272">
        <v>2.6415629110852712</v>
      </c>
      <c r="U36" s="272">
        <v>3.7065647279457359</v>
      </c>
      <c r="V36" s="279">
        <v>4.7715665448062019</v>
      </c>
    </row>
    <row r="37" spans="4:22" s="109" customFormat="1" ht="15.75" customHeight="1" x14ac:dyDescent="0.2">
      <c r="D37" s="139"/>
      <c r="E37" s="112"/>
      <c r="I37" s="286">
        <f>((I35-E35)/E35)</f>
        <v>2.3072077240310067</v>
      </c>
      <c r="O37"/>
      <c r="P37" s="374"/>
      <c r="Q37" s="285">
        <f t="shared" si="16"/>
        <v>0.08</v>
      </c>
      <c r="R37" s="272">
        <v>0.46144154480620136</v>
      </c>
      <c r="S37" s="272">
        <v>1.5139139285271319</v>
      </c>
      <c r="T37" s="272">
        <v>2.5663863122480617</v>
      </c>
      <c r="U37" s="272">
        <v>3.6188586959689912</v>
      </c>
      <c r="V37" s="279">
        <v>4.6713310796899226</v>
      </c>
    </row>
    <row r="38" spans="4:22" s="109" customFormat="1" ht="15.75" customHeight="1" x14ac:dyDescent="0.2">
      <c r="D38" s="139" t="s">
        <v>147</v>
      </c>
      <c r="E38" s="244">
        <f>$Q$20+((E10/2))</f>
        <v>300000</v>
      </c>
      <c r="F38" s="244">
        <f t="shared" ref="F38:I38" si="17">$Q$20+((F10/2))</f>
        <v>310000</v>
      </c>
      <c r="G38" s="244">
        <f t="shared" si="17"/>
        <v>320500</v>
      </c>
      <c r="H38" s="244">
        <f t="shared" si="17"/>
        <v>331525</v>
      </c>
      <c r="I38" s="244">
        <f t="shared" si="17"/>
        <v>343101.25</v>
      </c>
      <c r="O38"/>
      <c r="P38" s="374"/>
      <c r="Q38" s="285">
        <f t="shared" si="16"/>
        <v>0.09</v>
      </c>
      <c r="R38" s="272">
        <v>0.41132381224806186</v>
      </c>
      <c r="S38" s="272">
        <v>1.4512667628294575</v>
      </c>
      <c r="T38" s="272">
        <v>2.4912097134108526</v>
      </c>
      <c r="U38" s="272">
        <v>3.5311526639922475</v>
      </c>
      <c r="V38" s="279">
        <v>4.5710956145736441</v>
      </c>
    </row>
    <row r="39" spans="4:22" s="109" customFormat="1" ht="15.75" customHeight="1" x14ac:dyDescent="0.2">
      <c r="D39" s="139"/>
      <c r="E39" s="112"/>
      <c r="O39"/>
      <c r="P39" s="374"/>
      <c r="Q39" s="285">
        <f t="shared" si="16"/>
        <v>9.9999999999999992E-2</v>
      </c>
      <c r="R39" s="272">
        <v>0.36120607968992224</v>
      </c>
      <c r="S39" s="272">
        <v>1.3886195971317832</v>
      </c>
      <c r="T39" s="272">
        <v>2.4160331145736431</v>
      </c>
      <c r="U39" s="272">
        <v>3.4434466320155033</v>
      </c>
      <c r="V39" s="279">
        <v>4.4708601494573639</v>
      </c>
    </row>
    <row r="40" spans="4:22" s="109" customFormat="1" ht="15.75" customHeight="1" x14ac:dyDescent="0.2">
      <c r="D40" s="265" t="s">
        <v>152</v>
      </c>
      <c r="E40" s="266">
        <f>'Final Financial'!E12/'Final Financial (2)'!E38</f>
        <v>32.06</v>
      </c>
      <c r="F40" s="266">
        <f>'Final Financial'!F12/'Final Financial (2)'!F38</f>
        <v>34.412645161290321</v>
      </c>
      <c r="G40" s="266">
        <f>'Final Financial'!G12/'Final Financial (2)'!G38</f>
        <v>37.022756942277695</v>
      </c>
      <c r="H40" s="266">
        <f>'Final Financial'!H12/'Final Financial (2)'!H38</f>
        <v>38.801072618957853</v>
      </c>
      <c r="I40" s="266">
        <f>'Final Financial'!I12/'Final Financial (2)'!I38</f>
        <v>40.677462061126278</v>
      </c>
      <c r="O40"/>
      <c r="P40" s="283"/>
      <c r="Q40" s="281"/>
      <c r="R40" s="273"/>
      <c r="S40" s="273"/>
      <c r="T40" s="273"/>
      <c r="U40" s="273"/>
      <c r="V40" s="280"/>
    </row>
    <row r="41" spans="4:22" s="109" customFormat="1" ht="15.75" customHeight="1" x14ac:dyDescent="0.2">
      <c r="D41" s="139" t="s">
        <v>153</v>
      </c>
      <c r="E41" s="112">
        <f>ROUND((E40/2),0)</f>
        <v>16</v>
      </c>
      <c r="F41" s="112">
        <f t="shared" ref="F41:I41" si="18">ROUND((F40/2),0)</f>
        <v>17</v>
      </c>
      <c r="G41" s="112">
        <f t="shared" si="18"/>
        <v>19</v>
      </c>
      <c r="H41" s="112">
        <f t="shared" si="18"/>
        <v>19</v>
      </c>
      <c r="I41" s="112">
        <f t="shared" si="18"/>
        <v>20</v>
      </c>
      <c r="M41" s="109">
        <v>1</v>
      </c>
      <c r="O41"/>
      <c r="P41" s="283"/>
      <c r="Q41" s="284">
        <f>I36</f>
        <v>0.46144154480620136</v>
      </c>
      <c r="R41" s="281">
        <v>20000</v>
      </c>
      <c r="S41" s="281">
        <f>R41+5000</f>
        <v>25000</v>
      </c>
      <c r="T41" s="281">
        <f>S41+5000</f>
        <v>30000</v>
      </c>
      <c r="U41" s="281">
        <f>T41+5000</f>
        <v>35000</v>
      </c>
      <c r="V41" s="282">
        <f>U41+5000</f>
        <v>40000</v>
      </c>
    </row>
    <row r="42" spans="4:22" s="109" customFormat="1" ht="15.75" customHeight="1" x14ac:dyDescent="0.2">
      <c r="D42" s="139" t="s">
        <v>154</v>
      </c>
      <c r="E42" s="264">
        <f>E40*$Q$22</f>
        <v>4007.5000000000005</v>
      </c>
      <c r="F42" s="264">
        <f t="shared" ref="F42:I42" si="19">F40*$Q$22</f>
        <v>4301.5806451612898</v>
      </c>
      <c r="G42" s="264">
        <f t="shared" si="19"/>
        <v>4627.8446177847118</v>
      </c>
      <c r="H42" s="264">
        <f t="shared" si="19"/>
        <v>4850.134077369732</v>
      </c>
      <c r="I42" s="264">
        <f t="shared" si="19"/>
        <v>5084.682757640785</v>
      </c>
      <c r="O42"/>
      <c r="P42" s="368" t="s">
        <v>151</v>
      </c>
      <c r="Q42" s="281">
        <v>35</v>
      </c>
      <c r="R42" s="272">
        <f t="dataTable" ref="R42:V51" dt2D="1" dtr="1" r1="Q15" r2="Q22" ca="1"/>
        <v>-2.5696789203100776</v>
      </c>
      <c r="S42" s="272">
        <v>-2.2749866528682174</v>
      </c>
      <c r="T42" s="272">
        <v>-1.9802943854263568</v>
      </c>
      <c r="U42" s="272">
        <v>-1.6856021179844962</v>
      </c>
      <c r="V42" s="279">
        <v>-1.3909098505426356</v>
      </c>
    </row>
    <row r="43" spans="4:22" s="109" customFormat="1" ht="15.75" customHeight="1" x14ac:dyDescent="0.2">
      <c r="D43" s="139"/>
      <c r="E43" s="112"/>
      <c r="O43"/>
      <c r="P43" s="368"/>
      <c r="Q43" s="281">
        <f>Q42+10</f>
        <v>45</v>
      </c>
      <c r="R43" s="272">
        <v>-2.23288775751938</v>
      </c>
      <c r="S43" s="272">
        <v>-1.853997699379845</v>
      </c>
      <c r="T43" s="272">
        <v>-1.4751076412403097</v>
      </c>
      <c r="U43" s="272">
        <v>-1.096217583100775</v>
      </c>
      <c r="V43" s="279">
        <v>-0.71732752496124019</v>
      </c>
    </row>
    <row r="44" spans="4:22" s="109" customFormat="1" ht="15.75" customHeight="1" x14ac:dyDescent="0.2">
      <c r="D44" s="139"/>
      <c r="E44" s="112"/>
      <c r="O44"/>
      <c r="P44" s="368"/>
      <c r="Q44" s="281">
        <f t="shared" ref="Q44:Q46" si="20">Q43+10</f>
        <v>55</v>
      </c>
      <c r="R44" s="272">
        <v>-1.8960965947286823</v>
      </c>
      <c r="S44" s="272">
        <v>-1.4330087458914729</v>
      </c>
      <c r="T44" s="272">
        <v>-0.96992089705426354</v>
      </c>
      <c r="U44" s="272">
        <v>-0.50683304821705433</v>
      </c>
      <c r="V44" s="279">
        <v>-4.3745199379845043E-2</v>
      </c>
    </row>
    <row r="45" spans="4:22" s="109" customFormat="1" ht="15.75" customHeight="1" x14ac:dyDescent="0.2">
      <c r="D45" s="139"/>
      <c r="E45" s="112"/>
      <c r="O45"/>
      <c r="P45" s="368"/>
      <c r="Q45" s="281">
        <f t="shared" si="20"/>
        <v>65</v>
      </c>
      <c r="R45" s="272">
        <v>-1.559305431937984</v>
      </c>
      <c r="S45" s="272">
        <v>-1.0120197924031005</v>
      </c>
      <c r="T45" s="272">
        <v>-0.46473415286821673</v>
      </c>
      <c r="U45" s="272">
        <v>8.2551486666667076E-2</v>
      </c>
      <c r="V45" s="279">
        <v>0.62983712620155086</v>
      </c>
    </row>
    <row r="46" spans="4:22" s="109" customFormat="1" ht="15.75" customHeight="1" x14ac:dyDescent="0.2">
      <c r="D46" s="139"/>
      <c r="E46" s="112"/>
      <c r="O46"/>
      <c r="P46" s="368"/>
      <c r="Q46" s="281">
        <f t="shared" si="20"/>
        <v>75</v>
      </c>
      <c r="R46" s="272">
        <v>-1.2225142691472868</v>
      </c>
      <c r="S46" s="272">
        <v>-0.59103083891472874</v>
      </c>
      <c r="T46" s="272">
        <v>4.045259131782937E-2</v>
      </c>
      <c r="U46" s="272">
        <v>0.67193602155038745</v>
      </c>
      <c r="V46" s="279">
        <v>1.303419451782946</v>
      </c>
    </row>
    <row r="47" spans="4:22" s="109" customFormat="1" ht="15.75" customHeight="1" x14ac:dyDescent="0.2">
      <c r="D47" s="139"/>
      <c r="E47" s="112"/>
      <c r="O47"/>
      <c r="P47" s="369"/>
      <c r="Q47" s="323">
        <v>85</v>
      </c>
      <c r="R47" s="324">
        <v>-0.88572310635658913</v>
      </c>
      <c r="S47" s="324">
        <v>-0.17004188542635668</v>
      </c>
      <c r="T47" s="324">
        <v>0.54563933550387578</v>
      </c>
      <c r="U47" s="324">
        <v>1.261320556434109</v>
      </c>
      <c r="V47" s="325">
        <v>1.9770017773643414</v>
      </c>
    </row>
    <row r="48" spans="4:22" s="109" customFormat="1" ht="15.75" customHeight="1" x14ac:dyDescent="0.2">
      <c r="D48" s="139"/>
      <c r="E48" s="112"/>
      <c r="O48"/>
      <c r="P48" s="369"/>
      <c r="Q48" s="323">
        <v>95</v>
      </c>
      <c r="R48" s="324">
        <v>-0.54893194356589126</v>
      </c>
      <c r="S48" s="324">
        <v>0.25094706806201583</v>
      </c>
      <c r="T48" s="324">
        <v>1.0508260796899231</v>
      </c>
      <c r="U48" s="324">
        <v>1.85070509131783</v>
      </c>
      <c r="V48" s="325">
        <v>2.6505841029457367</v>
      </c>
    </row>
    <row r="49" spans="4:22" s="109" customFormat="1" ht="15.75" customHeight="1" x14ac:dyDescent="0.2">
      <c r="D49" s="139"/>
      <c r="E49" s="112"/>
      <c r="O49"/>
      <c r="P49" s="369"/>
      <c r="Q49" s="323">
        <v>105</v>
      </c>
      <c r="R49" s="324">
        <v>-0.21214078077519388</v>
      </c>
      <c r="S49" s="324">
        <v>0.67193602155038756</v>
      </c>
      <c r="T49" s="324">
        <v>1.5560128238759696</v>
      </c>
      <c r="U49" s="324">
        <v>2.4400896262015501</v>
      </c>
      <c r="V49" s="325">
        <v>3.3241664285271311</v>
      </c>
    </row>
    <row r="50" spans="4:22" s="109" customFormat="1" ht="15.75" customHeight="1" x14ac:dyDescent="0.2">
      <c r="D50" s="139"/>
      <c r="E50" s="112"/>
      <c r="O50"/>
      <c r="P50" s="369"/>
      <c r="Q50" s="323">
        <v>115</v>
      </c>
      <c r="R50" s="324">
        <v>0.12465038201550407</v>
      </c>
      <c r="S50" s="324">
        <v>1.09292497503876</v>
      </c>
      <c r="T50" s="324">
        <v>2.0611995680620163</v>
      </c>
      <c r="U50" s="324">
        <v>3.0294741610852709</v>
      </c>
      <c r="V50" s="325">
        <v>3.9977487541085273</v>
      </c>
    </row>
    <row r="51" spans="4:22" s="109" customFormat="1" ht="15.75" customHeight="1" thickBot="1" x14ac:dyDescent="0.25">
      <c r="D51" s="139"/>
      <c r="E51" s="112"/>
      <c r="O51"/>
      <c r="P51" s="370"/>
      <c r="Q51" s="53">
        <v>125</v>
      </c>
      <c r="R51" s="326">
        <v>0.46144154480620136</v>
      </c>
      <c r="S51" s="326">
        <v>1.5139139285271319</v>
      </c>
      <c r="T51" s="326">
        <v>2.5663863122480617</v>
      </c>
      <c r="U51" s="326">
        <v>3.6188586959689912</v>
      </c>
      <c r="V51" s="327">
        <v>4.6713310796899226</v>
      </c>
    </row>
    <row r="52" spans="4:22" s="109" customFormat="1" ht="15.75" customHeight="1" x14ac:dyDescent="0.2">
      <c r="D52" s="139" t="s">
        <v>170</v>
      </c>
      <c r="E52" s="112"/>
      <c r="O52"/>
      <c r="P52"/>
      <c r="Q52"/>
    </row>
    <row r="53" spans="4:22" s="112" customFormat="1" ht="15.75" customHeight="1" x14ac:dyDescent="0.2">
      <c r="D53" s="139" t="s">
        <v>171</v>
      </c>
      <c r="E53" s="112">
        <v>1500000</v>
      </c>
      <c r="F53" s="109"/>
      <c r="G53" s="109"/>
      <c r="H53" s="109"/>
      <c r="I53" s="109"/>
      <c r="J53" s="109"/>
      <c r="K53" s="109"/>
      <c r="L53" s="109"/>
      <c r="M53" s="109"/>
      <c r="N53" s="109"/>
      <c r="O53"/>
      <c r="P53"/>
      <c r="Q53"/>
    </row>
    <row r="54" spans="4:22" s="112" customFormat="1" ht="15.75" customHeight="1" x14ac:dyDescent="0.2">
      <c r="D54" s="139" t="s">
        <v>124</v>
      </c>
      <c r="E54" s="112">
        <v>50000</v>
      </c>
      <c r="F54" s="109"/>
      <c r="G54" s="109"/>
      <c r="H54" s="109"/>
      <c r="I54" s="109"/>
      <c r="J54" s="109"/>
      <c r="K54" s="109"/>
      <c r="L54" s="109"/>
      <c r="M54" s="109"/>
      <c r="N54" s="109"/>
      <c r="O54"/>
      <c r="P54"/>
      <c r="Q54"/>
    </row>
    <row r="55" spans="4:22" s="112" customFormat="1" ht="15.75" customHeight="1" x14ac:dyDescent="0.2">
      <c r="D55" s="139" t="s">
        <v>172</v>
      </c>
      <c r="E55" s="112">
        <v>10000</v>
      </c>
      <c r="F55" s="109"/>
      <c r="G55" s="109"/>
      <c r="H55" s="109"/>
      <c r="I55" s="109"/>
      <c r="J55" s="109"/>
      <c r="K55" s="109"/>
      <c r="L55" s="109"/>
      <c r="M55" s="109"/>
      <c r="N55" s="109"/>
      <c r="O55"/>
      <c r="P55"/>
      <c r="Q55"/>
    </row>
    <row r="56" spans="4:22" s="112" customFormat="1" ht="15.75" customHeight="1" x14ac:dyDescent="0.2">
      <c r="D56" s="139" t="s">
        <v>173</v>
      </c>
      <c r="E56" s="112">
        <v>500000</v>
      </c>
      <c r="F56" s="109"/>
      <c r="G56" s="109"/>
      <c r="H56" s="109"/>
      <c r="I56" s="109"/>
      <c r="J56" s="109"/>
      <c r="K56" s="109"/>
      <c r="L56" s="109"/>
      <c r="M56" s="109"/>
      <c r="N56" s="109"/>
      <c r="O56"/>
      <c r="P56"/>
      <c r="Q56"/>
    </row>
    <row r="57" spans="4:22" s="112" customFormat="1" ht="15.75" customHeight="1" x14ac:dyDescent="0.2">
      <c r="D57" s="139" t="s">
        <v>174</v>
      </c>
      <c r="E57" s="112">
        <v>500000</v>
      </c>
      <c r="F57" s="109"/>
      <c r="G57" s="109"/>
      <c r="H57" s="109"/>
      <c r="I57" s="109"/>
      <c r="J57" s="109"/>
      <c r="K57" s="109"/>
      <c r="L57" s="109"/>
      <c r="M57" s="109"/>
      <c r="N57" s="109"/>
      <c r="O57"/>
      <c r="P57"/>
      <c r="Q57"/>
    </row>
    <row r="58" spans="4:22" s="112" customFormat="1" ht="15.75" customHeight="1" x14ac:dyDescent="0.2">
      <c r="D58" s="139" t="s">
        <v>175</v>
      </c>
      <c r="E58" s="286">
        <f>(E53-SUM(E54:E57))/E53</f>
        <v>0.29333333333333333</v>
      </c>
      <c r="F58" s="109"/>
      <c r="G58" s="109"/>
      <c r="H58" s="109"/>
      <c r="I58" s="109"/>
      <c r="J58" s="109"/>
      <c r="K58" s="109"/>
      <c r="L58" s="109"/>
      <c r="M58" s="109"/>
      <c r="N58" s="109"/>
      <c r="O58"/>
      <c r="P58"/>
      <c r="Q58"/>
    </row>
    <row r="62" spans="4:22" ht="15" customHeight="1" x14ac:dyDescent="0.2">
      <c r="D62" s="140" t="s">
        <v>208</v>
      </c>
      <c r="E62" s="112">
        <f>30*0.75</f>
        <v>22.5</v>
      </c>
    </row>
    <row r="63" spans="4:22" ht="15" customHeight="1" x14ac:dyDescent="0.2">
      <c r="D63" s="140" t="s">
        <v>209</v>
      </c>
      <c r="E63" s="112">
        <f>220*12</f>
        <v>2640</v>
      </c>
    </row>
    <row r="64" spans="4:22" ht="15" customHeight="1" x14ac:dyDescent="0.2">
      <c r="D64" s="140" t="s">
        <v>210</v>
      </c>
      <c r="E64" s="264">
        <f>E63/E62</f>
        <v>117.33333333333333</v>
      </c>
    </row>
  </sheetData>
  <mergeCells count="7">
    <mergeCell ref="R23:V23"/>
    <mergeCell ref="P42:P51"/>
    <mergeCell ref="D4:N4"/>
    <mergeCell ref="D8:N8"/>
    <mergeCell ref="D23:J23"/>
    <mergeCell ref="P34:P39"/>
    <mergeCell ref="P25:P31"/>
  </mergeCells>
  <conditionalFormatting sqref="E15">
    <cfRule type="cellIs" dxfId="9" priority="13" operator="lessThan">
      <formula>0</formula>
    </cfRule>
  </conditionalFormatting>
  <conditionalFormatting sqref="F15">
    <cfRule type="cellIs" dxfId="8" priority="12" operator="lessThan">
      <formula>0</formula>
    </cfRule>
  </conditionalFormatting>
  <conditionalFormatting sqref="G15">
    <cfRule type="cellIs" dxfId="7" priority="11" operator="lessThan">
      <formula>0</formula>
    </cfRule>
  </conditionalFormatting>
  <conditionalFormatting sqref="J15">
    <cfRule type="cellIs" dxfId="6" priority="10" operator="lessThan">
      <formula>0</formula>
    </cfRule>
  </conditionalFormatting>
  <conditionalFormatting sqref="L15">
    <cfRule type="cellIs" dxfId="5" priority="8" operator="lessThan">
      <formula>0</formula>
    </cfRule>
  </conditionalFormatting>
  <conditionalFormatting sqref="K15">
    <cfRule type="cellIs" dxfId="4" priority="9" operator="lessThan">
      <formula>0</formula>
    </cfRule>
  </conditionalFormatting>
  <conditionalFormatting sqref="M15">
    <cfRule type="cellIs" dxfId="3" priority="7" operator="lessThan">
      <formula>0</formula>
    </cfRule>
  </conditionalFormatting>
  <conditionalFormatting sqref="N15">
    <cfRule type="cellIs" dxfId="2" priority="6" operator="lessThan">
      <formula>0</formula>
    </cfRule>
  </conditionalFormatting>
  <conditionalFormatting sqref="H15">
    <cfRule type="cellIs" dxfId="1" priority="5" operator="lessThan">
      <formula>0</formula>
    </cfRule>
  </conditionalFormatting>
  <conditionalFormatting sqref="I15">
    <cfRule type="cellIs" dxfId="0" priority="4" operator="lessThan">
      <formula>0</formula>
    </cfRule>
  </conditionalFormatting>
  <conditionalFormatting sqref="R25:V31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{52AC1CEB-ED6C-BA4F-8A11-1117D5C7F554}</x14:id>
        </ext>
      </extLst>
    </cfRule>
  </conditionalFormatting>
  <conditionalFormatting sqref="R34:V3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{E5F42EE8-268E-8344-8721-D90DEC5028C7}</x14:id>
        </ext>
      </extLst>
    </cfRule>
  </conditionalFormatting>
  <conditionalFormatting sqref="R42:V5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{3124D5EE-0E23-2B47-9367-E4D374B38343}</x14:id>
        </ext>
      </extLst>
    </cfRule>
  </conditionalFormatting>
  <pageMargins left="0.7" right="0.7" top="0.75" bottom="0.75" header="0" footer="0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2AC1CEB-ED6C-BA4F-8A11-1117D5C7F55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R25:V31</xm:sqref>
        </x14:conditionalFormatting>
        <x14:conditionalFormatting xmlns:xm="http://schemas.microsoft.com/office/excel/2006/main">
          <x14:cfRule type="dataBar" id="{E5F42EE8-268E-8344-8721-D90DEC5028C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R34:V39</xm:sqref>
        </x14:conditionalFormatting>
        <x14:conditionalFormatting xmlns:xm="http://schemas.microsoft.com/office/excel/2006/main">
          <x14:cfRule type="dataBar" id="{3124D5EE-0E23-2B47-9367-E4D374B3834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R42:V50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Final Financial</vt:lpstr>
      <vt:lpstr>Revenue &amp; COGS</vt:lpstr>
      <vt:lpstr>GEN &amp; ADMIN</vt:lpstr>
      <vt:lpstr>CAPEX</vt:lpstr>
      <vt:lpstr>MARKETING</vt:lpstr>
      <vt:lpstr>GEN &amp; ADMIN (2)</vt:lpstr>
      <vt:lpstr>CAPEX (2)</vt:lpstr>
      <vt:lpstr>Revenue &amp; COGS (2)</vt:lpstr>
      <vt:lpstr>Final Financial (2)</vt:lpstr>
      <vt:lpstr>'GEN &amp; ADMIN'!Print_Area</vt:lpstr>
      <vt:lpstr>'GEN &amp; ADMIN (2)'!Print_Area</vt:lpstr>
      <vt:lpstr>'GEN &amp; ADMIN'!Print_Titles</vt:lpstr>
      <vt:lpstr>'GEN &amp; ADMIN (2)'!Print_Titles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2019-05-22T08:00:07Z</dcterms:created>
  <dcterms:modified xsi:type="dcterms:W3CDTF">2020-06-10T06:42:01Z</dcterms:modified>
  <cp:category/>
  <cp:contentStatus/>
</cp:coreProperties>
</file>