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olf\Documents\GitHub\Blindbot\"/>
    </mc:Choice>
  </mc:AlternateContent>
  <bookViews>
    <workbookView xWindow="360" yWindow="0" windowWidth="1980" windowHeight="117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17" i="1" l="1"/>
  <c r="Q40" i="1"/>
  <c r="I41" i="1" s="1"/>
  <c r="D50" i="1" s="1"/>
  <c r="W17" i="1"/>
  <c r="W20" i="1" s="1"/>
  <c r="V17" i="1"/>
  <c r="V20" i="1" s="1"/>
  <c r="U17" i="1"/>
  <c r="U20" i="1" s="1"/>
  <c r="T17" i="1"/>
  <c r="T20" i="1" s="1"/>
  <c r="S17" i="1"/>
  <c r="R17" i="1"/>
  <c r="R20" i="1" s="1"/>
  <c r="W16" i="1"/>
  <c r="V16" i="1"/>
  <c r="U16" i="1"/>
  <c r="T16" i="1"/>
  <c r="S16" i="1"/>
  <c r="R16" i="1"/>
  <c r="S20" i="1"/>
  <c r="I59" i="1" l="1"/>
  <c r="I57" i="1"/>
  <c r="I62" i="1"/>
  <c r="I61" i="1"/>
  <c r="I58" i="1"/>
  <c r="I60" i="1"/>
  <c r="G43" i="1"/>
  <c r="H43" i="1"/>
  <c r="L42" i="1"/>
  <c r="J43" i="1"/>
  <c r="J42" i="1"/>
  <c r="I43" i="1"/>
  <c r="I42" i="1"/>
  <c r="H42" i="1"/>
  <c r="G42" i="1"/>
  <c r="K43" i="1"/>
  <c r="K42" i="1"/>
  <c r="L43" i="1"/>
  <c r="J41" i="1"/>
  <c r="H41" i="1"/>
  <c r="L41" i="1"/>
  <c r="G41" i="1"/>
  <c r="K41" i="1"/>
  <c r="B52" i="1" l="1"/>
  <c r="D52" i="1"/>
  <c r="C52" i="1"/>
  <c r="G52" i="1"/>
  <c r="F52" i="1"/>
  <c r="E52" i="1"/>
  <c r="D51" i="1"/>
  <c r="B51" i="1"/>
  <c r="B49" i="1"/>
  <c r="F49" i="1"/>
  <c r="C49" i="1"/>
  <c r="D49" i="1"/>
  <c r="G51" i="1"/>
  <c r="G49" i="1"/>
  <c r="E49" i="1"/>
  <c r="E51" i="1"/>
  <c r="C51" i="1"/>
  <c r="F51" i="1"/>
  <c r="B50" i="1"/>
  <c r="C50" i="1"/>
  <c r="G50" i="1"/>
  <c r="F50" i="1"/>
  <c r="E50" i="1"/>
  <c r="Q37" i="1"/>
  <c r="AF12" i="1" l="1"/>
  <c r="AD12" i="1"/>
  <c r="AB12" i="1"/>
  <c r="AE11" i="1"/>
  <c r="AC11" i="1"/>
  <c r="AA11" i="1"/>
  <c r="AE12" i="1"/>
  <c r="AC12" i="1"/>
  <c r="AA12" i="1"/>
  <c r="AF11" i="1"/>
  <c r="AD11" i="1"/>
  <c r="AB11" i="1"/>
  <c r="Q33" i="1"/>
  <c r="Q34" i="1"/>
  <c r="AB5" i="1" s="1"/>
  <c r="Q36" i="1"/>
  <c r="AA8" i="1" s="1"/>
  <c r="Q38" i="1"/>
  <c r="AA9" i="1" s="1"/>
  <c r="Q32" i="1"/>
  <c r="I13" i="1"/>
  <c r="I12" i="1"/>
  <c r="G4" i="1"/>
  <c r="G2" i="1"/>
  <c r="I7" i="1" s="1"/>
  <c r="E10" i="1"/>
  <c r="C11" i="1"/>
  <c r="E13" i="1"/>
  <c r="C14" i="1"/>
  <c r="J12" i="1"/>
  <c r="M12" i="1"/>
  <c r="L14" i="1"/>
  <c r="N14" i="1"/>
  <c r="K14" i="1"/>
  <c r="I14" i="1"/>
  <c r="N12" i="1"/>
  <c r="L12" i="1"/>
  <c r="K12" i="1"/>
  <c r="N13" i="1"/>
  <c r="M13" i="1"/>
  <c r="L13" i="1"/>
  <c r="K13" i="1"/>
  <c r="J13" i="1"/>
  <c r="AA14" i="1" l="1"/>
  <c r="AC6" i="1"/>
  <c r="AE6" i="1"/>
  <c r="AA6" i="1"/>
  <c r="AB6" i="1"/>
  <c r="AD6" i="1"/>
  <c r="AF6" i="1"/>
  <c r="AE5" i="1"/>
  <c r="AF4" i="1"/>
  <c r="AA10" i="1"/>
  <c r="AE10" i="1"/>
  <c r="AC10" i="1"/>
  <c r="AF9" i="1"/>
  <c r="AD9" i="1"/>
  <c r="AB9" i="1"/>
  <c r="AF10" i="1"/>
  <c r="AD10" i="1"/>
  <c r="AB10" i="1"/>
  <c r="AE9" i="1"/>
  <c r="AC9" i="1"/>
  <c r="AF8" i="1"/>
  <c r="AD8" i="1"/>
  <c r="AB8" i="1"/>
  <c r="AE8" i="1"/>
  <c r="AC8" i="1"/>
  <c r="AF7" i="1"/>
  <c r="AD7" i="1"/>
  <c r="AB7" i="1"/>
  <c r="AE7" i="1"/>
  <c r="AC7" i="1"/>
  <c r="AA7" i="1"/>
  <c r="I5" i="1"/>
  <c r="D12" i="1" s="1"/>
  <c r="I4" i="1"/>
  <c r="D11" i="1" s="1"/>
  <c r="G3" i="1"/>
  <c r="J7" i="1" s="1"/>
  <c r="C9" i="1" s="1"/>
  <c r="D14" i="1"/>
  <c r="B9" i="1"/>
  <c r="I2" i="1"/>
  <c r="D9" i="1" s="1"/>
  <c r="I3" i="1"/>
  <c r="AB4" i="1" s="1"/>
  <c r="AB13" i="1" l="1"/>
  <c r="AB16" i="1" s="1"/>
  <c r="S27" i="1" s="1"/>
  <c r="AA4" i="1"/>
  <c r="AF5" i="1"/>
  <c r="AF13" i="1" s="1"/>
  <c r="AD4" i="1"/>
  <c r="AC4" i="1"/>
  <c r="B12" i="1"/>
  <c r="AB15" i="1"/>
  <c r="AB18" i="1" s="1"/>
  <c r="AB14" i="1"/>
  <c r="AB17" i="1" s="1"/>
  <c r="B13" i="1"/>
  <c r="B10" i="1"/>
  <c r="J4" i="1"/>
  <c r="AC5" i="1" s="1"/>
  <c r="E14" i="1"/>
  <c r="J2" i="1"/>
  <c r="AA5" i="1" s="1"/>
  <c r="J5" i="1"/>
  <c r="I6" i="1"/>
  <c r="AE4" i="1" s="1"/>
  <c r="AE13" i="1" s="1"/>
  <c r="D10" i="1"/>
  <c r="B11" i="1"/>
  <c r="AF14" i="1" l="1"/>
  <c r="AC13" i="1"/>
  <c r="AB23" i="1"/>
  <c r="S28" i="1"/>
  <c r="E12" i="1"/>
  <c r="AD5" i="1"/>
  <c r="AD13" i="1" s="1"/>
  <c r="AF16" i="1"/>
  <c r="W27" i="1" s="1"/>
  <c r="AF15" i="1"/>
  <c r="AF18" i="1" s="1"/>
  <c r="B14" i="1"/>
  <c r="C13" i="1"/>
  <c r="E9" i="1"/>
  <c r="C12" i="1"/>
  <c r="E11" i="1"/>
  <c r="C10" i="1"/>
  <c r="D13" i="1"/>
  <c r="AA17" i="1" l="1"/>
  <c r="R29" i="1" s="1"/>
  <c r="AF17" i="1"/>
  <c r="W29" i="1" s="1"/>
  <c r="AF23" i="1"/>
  <c r="W28" i="1"/>
  <c r="AB22" i="1"/>
  <c r="S29" i="1"/>
  <c r="AB21" i="1"/>
  <c r="AA15" i="1"/>
  <c r="AA18" i="1" s="1"/>
  <c r="AA13" i="1"/>
  <c r="AA16" i="1" s="1"/>
  <c r="AE16" i="1"/>
  <c r="V27" i="1" s="1"/>
  <c r="AE15" i="1"/>
  <c r="AE18" i="1" s="1"/>
  <c r="AD14" i="1"/>
  <c r="AD16" i="1"/>
  <c r="U27" i="1" s="1"/>
  <c r="AD15" i="1"/>
  <c r="AD18" i="1" s="1"/>
  <c r="AC14" i="1"/>
  <c r="AC15" i="1"/>
  <c r="AC18" i="1" s="1"/>
  <c r="AC16" i="1"/>
  <c r="AE14" i="1"/>
  <c r="AB31" i="1" l="1"/>
  <c r="S3" i="1" s="1"/>
  <c r="S6" i="1" s="1"/>
  <c r="AF21" i="1"/>
  <c r="AF22" i="1"/>
  <c r="AC17" i="1"/>
  <c r="T29" i="1" s="1"/>
  <c r="AE17" i="1"/>
  <c r="V29" i="1" s="1"/>
  <c r="AD17" i="1"/>
  <c r="U29" i="1" s="1"/>
  <c r="T27" i="1"/>
  <c r="AA22" i="1"/>
  <c r="R27" i="1"/>
  <c r="AC23" i="1"/>
  <c r="T28" i="1"/>
  <c r="AD23" i="1"/>
  <c r="U28" i="1"/>
  <c r="AA23" i="1"/>
  <c r="R28" i="1"/>
  <c r="AE23" i="1"/>
  <c r="V28" i="1"/>
  <c r="AB24" i="1"/>
  <c r="AA21" i="1"/>
  <c r="S15" i="1"/>
  <c r="S18" i="1" s="1"/>
  <c r="S14" i="1"/>
  <c r="AF31" i="1" l="1"/>
  <c r="W3" i="1" s="1"/>
  <c r="W6" i="1" s="1"/>
  <c r="AA31" i="1"/>
  <c r="AD21" i="1"/>
  <c r="AE22" i="1"/>
  <c r="AF24" i="1"/>
  <c r="W13" i="1" s="1"/>
  <c r="AE21" i="1"/>
  <c r="AC21" i="1"/>
  <c r="AD22" i="1"/>
  <c r="AC22" i="1"/>
  <c r="AA24" i="1"/>
  <c r="R13" i="1" s="1"/>
  <c r="AB25" i="1"/>
  <c r="AB28" i="1" s="1"/>
  <c r="AB29" i="1" s="1"/>
  <c r="S5" i="1" s="1"/>
  <c r="S8" i="1" s="1"/>
  <c r="AB26" i="1"/>
  <c r="S13" i="1"/>
  <c r="W14" i="1"/>
  <c r="W15" i="1"/>
  <c r="W18" i="1" s="1"/>
  <c r="AE31" i="1" l="1"/>
  <c r="V3" i="1" s="1"/>
  <c r="V6" i="1" s="1"/>
  <c r="AD31" i="1"/>
  <c r="U3" i="1" s="1"/>
  <c r="U6" i="1" s="1"/>
  <c r="AC31" i="1"/>
  <c r="T3" i="1" s="1"/>
  <c r="T6" i="1" s="1"/>
  <c r="AD24" i="1"/>
  <c r="U13" i="1" s="1"/>
  <c r="AF26" i="1"/>
  <c r="AE24" i="1"/>
  <c r="AE25" i="1" s="1"/>
  <c r="AE27" i="1" s="1"/>
  <c r="AF25" i="1"/>
  <c r="AF28" i="1" s="1"/>
  <c r="AF29" i="1" s="1"/>
  <c r="W5" i="1" s="1"/>
  <c r="W8" i="1" s="1"/>
  <c r="AC24" i="1"/>
  <c r="T13" i="1" s="1"/>
  <c r="AB27" i="1"/>
  <c r="AB30" i="1" s="1"/>
  <c r="S4" i="1" s="1"/>
  <c r="AA25" i="1"/>
  <c r="AA27" i="1" s="1"/>
  <c r="AA26" i="1"/>
  <c r="T15" i="1"/>
  <c r="T18" i="1" s="1"/>
  <c r="T14" i="1"/>
  <c r="V14" i="1"/>
  <c r="V15" i="1"/>
  <c r="V18" i="1" s="1"/>
  <c r="R15" i="1"/>
  <c r="R18" i="1" s="1"/>
  <c r="R14" i="1"/>
  <c r="U14" i="1"/>
  <c r="U15" i="1"/>
  <c r="U18" i="1" s="1"/>
  <c r="R3" i="1"/>
  <c r="R6" i="1" s="1"/>
  <c r="AD25" i="1" l="1"/>
  <c r="AD27" i="1" s="1"/>
  <c r="AD26" i="1"/>
  <c r="V13" i="1"/>
  <c r="AE26" i="1"/>
  <c r="AE30" i="1" s="1"/>
  <c r="V4" i="1" s="1"/>
  <c r="AF27" i="1"/>
  <c r="AF30" i="1" s="1"/>
  <c r="W4" i="1" s="1"/>
  <c r="AC25" i="1"/>
  <c r="AC27" i="1" s="1"/>
  <c r="AC26" i="1"/>
  <c r="AA28" i="1"/>
  <c r="AA29" i="1" s="1"/>
  <c r="R5" i="1" s="1"/>
  <c r="R8" i="1" s="1"/>
  <c r="AE28" i="1"/>
  <c r="AE29" i="1" s="1"/>
  <c r="V5" i="1" s="1"/>
  <c r="V8" i="1" s="1"/>
  <c r="S7" i="1"/>
  <c r="S21" i="1"/>
  <c r="S24" i="1" s="1"/>
  <c r="S25" i="1" s="1"/>
  <c r="S19" i="1"/>
  <c r="S23" i="1" s="1"/>
  <c r="AA30" i="1"/>
  <c r="AD30" i="1" l="1"/>
  <c r="U4" i="1" s="1"/>
  <c r="U21" i="1" s="1"/>
  <c r="U24" i="1" s="1"/>
  <c r="AD28" i="1"/>
  <c r="AD29" i="1" s="1"/>
  <c r="U5" i="1" s="1"/>
  <c r="U8" i="1" s="1"/>
  <c r="AC28" i="1"/>
  <c r="AC29" i="1" s="1"/>
  <c r="T5" i="1" s="1"/>
  <c r="T8" i="1" s="1"/>
  <c r="AC30" i="1"/>
  <c r="T4" i="1" s="1"/>
  <c r="T19" i="1" s="1"/>
  <c r="S22" i="1"/>
  <c r="W21" i="1"/>
  <c r="W24" i="1" s="1"/>
  <c r="W25" i="1" s="1"/>
  <c r="W19" i="1"/>
  <c r="W23" i="1" s="1"/>
  <c r="W7" i="1"/>
  <c r="V7" i="1"/>
  <c r="V19" i="1"/>
  <c r="V23" i="1" s="1"/>
  <c r="V21" i="1"/>
  <c r="V24" i="1" s="1"/>
  <c r="V25" i="1" s="1"/>
  <c r="R4" i="1"/>
  <c r="R19" i="1" s="1"/>
  <c r="R23" i="1" s="1"/>
  <c r="U7" i="1" l="1"/>
  <c r="U19" i="1"/>
  <c r="U23" i="1" s="1"/>
  <c r="U25" i="1"/>
  <c r="T23" i="1"/>
  <c r="T21" i="1"/>
  <c r="T24" i="1" s="1"/>
  <c r="T25" i="1" s="1"/>
  <c r="T22" i="1"/>
  <c r="T7" i="1"/>
  <c r="W22" i="1"/>
  <c r="V22" i="1"/>
  <c r="R22" i="1"/>
  <c r="R21" i="1"/>
  <c r="R24" i="1" s="1"/>
  <c r="R25" i="1" s="1"/>
  <c r="R7" i="1"/>
  <c r="U22" i="1" l="1"/>
</calcChain>
</file>

<file path=xl/sharedStrings.xml><?xml version="1.0" encoding="utf-8"?>
<sst xmlns="http://schemas.openxmlformats.org/spreadsheetml/2006/main" count="124" uniqueCount="106">
  <si>
    <t>Body</t>
  </si>
  <si>
    <t>X</t>
  </si>
  <si>
    <t>Z</t>
  </si>
  <si>
    <t>Center</t>
  </si>
  <si>
    <t>X1</t>
  </si>
  <si>
    <t>Z1</t>
  </si>
  <si>
    <t>X2</t>
  </si>
  <si>
    <t>Z2</t>
  </si>
  <si>
    <t>Legs Angles</t>
  </si>
  <si>
    <t>Leg Num</t>
  </si>
  <si>
    <t>Coxa</t>
  </si>
  <si>
    <t>Femur</t>
  </si>
  <si>
    <t>Tibia</t>
  </si>
  <si>
    <t>Dimension</t>
  </si>
  <si>
    <t>Coxa Length</t>
  </si>
  <si>
    <t>Femur Length</t>
  </si>
  <si>
    <t>Tibia Length</t>
  </si>
  <si>
    <t>CoxaBodyCenterOffset</t>
  </si>
  <si>
    <t>Inputs</t>
  </si>
  <si>
    <t>PosX</t>
  </si>
  <si>
    <t>PosY</t>
  </si>
  <si>
    <t>PosZ</t>
  </si>
  <si>
    <t>RotX</t>
  </si>
  <si>
    <t>RotY</t>
  </si>
  <si>
    <t>RotZ</t>
  </si>
  <si>
    <t>LegLengthXZ</t>
  </si>
  <si>
    <t>FeetPosX</t>
  </si>
  <si>
    <t>FeetPosY</t>
  </si>
  <si>
    <t>FeetPosZ</t>
  </si>
  <si>
    <t>Display Data</t>
  </si>
  <si>
    <t>Body IK</t>
  </si>
  <si>
    <t>TotalZ</t>
  </si>
  <si>
    <t>TotalX</t>
  </si>
  <si>
    <t>LegNum</t>
  </si>
  <si>
    <t>BodyCoxaOffsetX</t>
  </si>
  <si>
    <t>BodyCoxaOffsetZ</t>
  </si>
  <si>
    <t>BodyCoxaOffset</t>
  </si>
  <si>
    <t>FeetPosX (wrt coxa)</t>
  </si>
  <si>
    <t>FeetPosY (wrt coxa)</t>
  </si>
  <si>
    <t>FeetPosZ (wrt coxa)</t>
  </si>
  <si>
    <t>Init Feet Position</t>
  </si>
  <si>
    <t>BodyIkX</t>
  </si>
  <si>
    <t>BodyIkZ</t>
  </si>
  <si>
    <t>BodyIkY</t>
  </si>
  <si>
    <t>Leg IK</t>
  </si>
  <si>
    <t>CoxaFeetDist</t>
  </si>
  <si>
    <t>IKSW</t>
  </si>
  <si>
    <t>IKA1</t>
  </si>
  <si>
    <t>IKA2</t>
  </si>
  <si>
    <t>IKFemurAngle</t>
  </si>
  <si>
    <t>TAngle</t>
  </si>
  <si>
    <t>IKTibiaAngle</t>
  </si>
  <si>
    <t>IKCoxaAngle</t>
  </si>
  <si>
    <t>New PosX</t>
  </si>
  <si>
    <t>New PosY</t>
  </si>
  <si>
    <t>New PosZ</t>
  </si>
  <si>
    <t>Y</t>
  </si>
  <si>
    <t>SideLength of Hexagon</t>
  </si>
  <si>
    <t>Body Display</t>
  </si>
  <si>
    <t>mm</t>
  </si>
  <si>
    <t>CoxaStartPosY</t>
  </si>
  <si>
    <t>CoxaEndPosY</t>
  </si>
  <si>
    <t>CoxaStartPosXZ</t>
  </si>
  <si>
    <t>CoxaEndPosXZ</t>
  </si>
  <si>
    <t>FemurStartPosY</t>
  </si>
  <si>
    <t>FemurEndPosY</t>
  </si>
  <si>
    <t>FemurStartPosXZ</t>
  </si>
  <si>
    <t>FemurEndPosXZ</t>
  </si>
  <si>
    <t>TibiaStartPosY</t>
  </si>
  <si>
    <t>TibiaEndPosY</t>
  </si>
  <si>
    <t>TibiaStartPosXZ</t>
  </si>
  <si>
    <t>TibiaEndPosXZ</t>
  </si>
  <si>
    <t>Gait</t>
  </si>
  <si>
    <t>Gait Setup</t>
  </si>
  <si>
    <t>LegLiftHeight</t>
  </si>
  <si>
    <t>TravelLengthX</t>
  </si>
  <si>
    <t>TravelLengthZ</t>
  </si>
  <si>
    <t>GaitPosX</t>
  </si>
  <si>
    <t>GaitPosY</t>
  </si>
  <si>
    <t>GaitPosZ</t>
  </si>
  <si>
    <t>GaitRotY</t>
  </si>
  <si>
    <t>TravelRotationY</t>
  </si>
  <si>
    <t>Conidtions</t>
  </si>
  <si>
    <t>GaitStep=GaitLegNr+1</t>
  </si>
  <si>
    <t>GaitStep=GaitLegNr-5</t>
  </si>
  <si>
    <t>cos(rotX)</t>
  </si>
  <si>
    <t>sin(rotX)</t>
  </si>
  <si>
    <t>sin(rotZ)</t>
  </si>
  <si>
    <t>cos(rotZ)</t>
  </si>
  <si>
    <t>sin(rotY+rotationY)</t>
  </si>
  <si>
    <t>cos(rotY+rotationY)</t>
  </si>
  <si>
    <t>TotalY</t>
  </si>
  <si>
    <t>IK Algor. 2</t>
  </si>
  <si>
    <t>Gait Step</t>
  </si>
  <si>
    <t>Leg Sequence</t>
  </si>
  <si>
    <t>Step=LegNr</t>
  </si>
  <si>
    <t>Step=LegNr-5</t>
  </si>
  <si>
    <t>Step=LegNr+1</t>
  </si>
  <si>
    <t>For Calculating Gait pos</t>
  </si>
  <si>
    <t>x</t>
  </si>
  <si>
    <t>Gait step</t>
  </si>
  <si>
    <t>Leg Seque  1</t>
  </si>
  <si>
    <t xml:space="preserve">Cur </t>
  </si>
  <si>
    <t>Tranform X</t>
  </si>
  <si>
    <t>Tranform Y</t>
  </si>
  <si>
    <t>Tranform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</si>
</sst>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E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3" borderId="13" xfId="0" applyFont="1" applyFill="1" applyBorder="1"/>
    <xf numFmtId="0" fontId="0" fillId="0" borderId="1" xfId="0" applyBorder="1"/>
    <xf numFmtId="0" fontId="0" fillId="3" borderId="0" xfId="0" applyFill="1"/>
    <xf numFmtId="0" fontId="0" fillId="0" borderId="12" xfId="0" applyFont="1" applyFill="1" applyBorder="1"/>
    <xf numFmtId="0" fontId="0" fillId="0" borderId="3" xfId="0" applyBorder="1"/>
    <xf numFmtId="0" fontId="0" fillId="5" borderId="9" xfId="0" applyFill="1" applyBorder="1"/>
    <xf numFmtId="0" fontId="3" fillId="0" borderId="14" xfId="0" applyFont="1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3" fillId="2" borderId="2" xfId="0" applyNumberFormat="1" applyFont="1" applyFill="1" applyBorder="1"/>
    <xf numFmtId="164" fontId="0" fillId="2" borderId="9" xfId="0" applyNumberFormat="1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4" xfId="0" applyNumberFormat="1" applyFont="1" applyFill="1" applyBorder="1"/>
    <xf numFmtId="164" fontId="0" fillId="4" borderId="15" xfId="0" applyNumberFormat="1" applyFont="1" applyFill="1" applyBorder="1"/>
    <xf numFmtId="164" fontId="0" fillId="4" borderId="0" xfId="0" applyNumberFormat="1" applyFill="1" applyBorder="1"/>
    <xf numFmtId="164" fontId="0" fillId="4" borderId="6" xfId="0" applyNumberFormat="1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0" fontId="0" fillId="7" borderId="8" xfId="0" applyFill="1" applyBorder="1"/>
    <xf numFmtId="0" fontId="1" fillId="3" borderId="10" xfId="0" applyFont="1" applyFill="1" applyBorder="1"/>
    <xf numFmtId="0" fontId="0" fillId="5" borderId="7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164" fontId="0" fillId="4" borderId="15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0" fontId="0" fillId="0" borderId="1" xfId="0" applyFont="1" applyFill="1" applyBorder="1"/>
    <xf numFmtId="0" fontId="4" fillId="0" borderId="5" xfId="0" applyFont="1" applyBorder="1"/>
    <xf numFmtId="0" fontId="0" fillId="0" borderId="5" xfId="0" applyFont="1" applyBorder="1"/>
    <xf numFmtId="0" fontId="0" fillId="0" borderId="2" xfId="0" applyFont="1" applyBorder="1"/>
    <xf numFmtId="0" fontId="4" fillId="0" borderId="7" xfId="0" applyFont="1" applyBorder="1"/>
    <xf numFmtId="0" fontId="5" fillId="0" borderId="0" xfId="0" applyFont="1"/>
    <xf numFmtId="0" fontId="0" fillId="5" borderId="13" xfId="0" applyFill="1" applyBorder="1"/>
    <xf numFmtId="2" fontId="0" fillId="6" borderId="0" xfId="0" applyNumberFormat="1" applyFill="1" applyBorder="1"/>
    <xf numFmtId="2" fontId="0" fillId="6" borderId="6" xfId="0" applyNumberFormat="1" applyFill="1" applyBorder="1"/>
    <xf numFmtId="0" fontId="0" fillId="0" borderId="4" xfId="0" applyBorder="1"/>
    <xf numFmtId="0" fontId="0" fillId="5" borderId="12" xfId="0" applyFill="1" applyBorder="1"/>
    <xf numFmtId="0" fontId="0" fillId="0" borderId="13" xfId="0" applyFont="1" applyFill="1" applyBorder="1"/>
    <xf numFmtId="0" fontId="0" fillId="0" borderId="4" xfId="0" applyFont="1" applyFill="1" applyBorder="1"/>
    <xf numFmtId="2" fontId="0" fillId="8" borderId="0" xfId="0" applyNumberFormat="1" applyFill="1" applyBorder="1"/>
    <xf numFmtId="2" fontId="0" fillId="8" borderId="8" xfId="0" applyNumberFormat="1" applyFill="1" applyBorder="1"/>
    <xf numFmtId="2" fontId="0" fillId="9" borderId="0" xfId="0" applyNumberFormat="1" applyFont="1" applyFill="1" applyBorder="1"/>
    <xf numFmtId="0" fontId="0" fillId="10" borderId="0" xfId="0" applyFill="1"/>
    <xf numFmtId="0" fontId="0" fillId="11" borderId="0" xfId="0" applyFill="1"/>
    <xf numFmtId="0" fontId="6" fillId="11" borderId="0" xfId="0" applyFont="1" applyFill="1"/>
    <xf numFmtId="2" fontId="0" fillId="8" borderId="6" xfId="0" applyNumberFormat="1" applyFill="1" applyBorder="1"/>
    <xf numFmtId="2" fontId="0" fillId="8" borderId="9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2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  <xf numFmtId="0" fontId="0" fillId="10" borderId="14" xfId="0" applyFill="1" applyBorder="1"/>
    <xf numFmtId="0" fontId="0" fillId="10" borderId="15" xfId="0" applyFill="1" applyBorder="1"/>
    <xf numFmtId="0" fontId="0" fillId="0" borderId="11" xfId="0" applyFont="1" applyFill="1" applyBorder="1"/>
    <xf numFmtId="164" fontId="0" fillId="7" borderId="9" xfId="0" applyNumberFormat="1" applyFill="1" applyBorder="1"/>
    <xf numFmtId="2" fontId="0" fillId="0" borderId="0" xfId="0" applyNumberFormat="1"/>
    <xf numFmtId="0" fontId="0" fillId="5" borderId="5" xfId="0" applyFill="1" applyBorder="1"/>
    <xf numFmtId="0" fontId="0" fillId="5" borderId="6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2" xfId="0" applyFill="1" applyBorder="1"/>
    <xf numFmtId="0" fontId="0" fillId="5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FC1"/>
      <color rgb="FF9D87B7"/>
      <color rgb="FF51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14451955082922E-2"/>
          <c:y val="2.4504264359666548E-2"/>
          <c:w val="0.8689170263042616"/>
          <c:h val="0.92269786120077169"/>
        </c:manualLayout>
      </c:layout>
      <c:scatterChart>
        <c:scatterStyle val="lineMarker"/>
        <c:varyColors val="0"/>
        <c:ser>
          <c:idx val="6"/>
          <c:order val="0"/>
          <c:tx>
            <c:v>Leg1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(Sheet1!$I$2,Sheet1!$R$27)</c:f>
              <c:numCache>
                <c:formatCode>0.0</c:formatCode>
                <c:ptCount val="2"/>
                <c:pt idx="0">
                  <c:v>22.5</c:v>
                </c:pt>
                <c:pt idx="1">
                  <c:v>44.602494018395177</c:v>
                </c:pt>
              </c:numCache>
            </c:numRef>
          </c:xVal>
          <c:yVal>
            <c:numRef>
              <c:f>(Sheet1!$J$2,Sheet1!$R$29)</c:f>
              <c:numCache>
                <c:formatCode>0.0</c:formatCode>
                <c:ptCount val="2"/>
                <c:pt idx="0">
                  <c:v>38.97114317029974</c:v>
                </c:pt>
                <c:pt idx="1">
                  <c:v>80.465008092579737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B-4568-8008-5A34DF8E7025}"/>
            </c:ext>
          </c:extLst>
        </c:ser>
        <c:ser>
          <c:idx val="7"/>
          <c:order val="1"/>
          <c:tx>
            <c:v>Leg2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(Sheet1!$I$3,Sheet1!$S$27)</c:f>
              <c:numCache>
                <c:formatCode>0.0</c:formatCode>
                <c:ptCount val="2"/>
                <c:pt idx="0">
                  <c:v>45</c:v>
                </c:pt>
                <c:pt idx="1">
                  <c:v>91.985987954387994</c:v>
                </c:pt>
              </c:numCache>
            </c:numRef>
          </c:xVal>
          <c:yVal>
            <c:numRef>
              <c:f>(Sheet1!$J$3,Sheet1!$S$29)</c:f>
              <c:numCache>
                <c:formatCode>0.0</c:formatCode>
                <c:ptCount val="2"/>
                <c:pt idx="0">
                  <c:v>0</c:v>
                </c:pt>
                <c:pt idx="1">
                  <c:v>1.605621392230083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B-4568-8008-5A34DF8E7025}"/>
            </c:ext>
          </c:extLst>
        </c:ser>
        <c:ser>
          <c:idx val="8"/>
          <c:order val="2"/>
          <c:tx>
            <c:v>Leg3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(Sheet1!$I$4,Sheet1!$T$27)</c:f>
              <c:numCache>
                <c:formatCode>0.0</c:formatCode>
                <c:ptCount val="2"/>
                <c:pt idx="0">
                  <c:v>22.5</c:v>
                </c:pt>
                <c:pt idx="1">
                  <c:v>47.383511668751922</c:v>
                </c:pt>
              </c:numCache>
            </c:numRef>
          </c:xVal>
          <c:yVal>
            <c:numRef>
              <c:f>(Sheet1!$J$4,Sheet1!$T$29)</c:f>
              <c:numCache>
                <c:formatCode>0.0</c:formatCode>
                <c:ptCount val="2"/>
                <c:pt idx="0">
                  <c:v>-38.97114317029974</c:v>
                </c:pt>
                <c:pt idx="1">
                  <c:v>-78.85938639082319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B-4568-8008-5A34DF8E7025}"/>
            </c:ext>
          </c:extLst>
        </c:ser>
        <c:ser>
          <c:idx val="9"/>
          <c:order val="3"/>
          <c:tx>
            <c:v>Leg4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(Sheet1!$I$5,Sheet1!$U$27)</c:f>
              <c:numCache>
                <c:formatCode>0.0</c:formatCode>
                <c:ptCount val="2"/>
                <c:pt idx="0">
                  <c:v>-22.5</c:v>
                </c:pt>
                <c:pt idx="1">
                  <c:v>-44.602494018395177</c:v>
                </c:pt>
              </c:numCache>
            </c:numRef>
          </c:xVal>
          <c:yVal>
            <c:numRef>
              <c:f>(Sheet1!$J$5,Sheet1!$U$29)</c:f>
              <c:numCache>
                <c:formatCode>0.0</c:formatCode>
                <c:ptCount val="2"/>
                <c:pt idx="0">
                  <c:v>-38.97114317029974</c:v>
                </c:pt>
                <c:pt idx="1">
                  <c:v>-80.465008092579737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CB-4568-8008-5A34DF8E7025}"/>
            </c:ext>
          </c:extLst>
        </c:ser>
        <c:ser>
          <c:idx val="10"/>
          <c:order val="4"/>
          <c:tx>
            <c:v>Leg5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(Sheet1!$I$6,Sheet1!$V$27)</c:f>
              <c:numCache>
                <c:formatCode>0.0</c:formatCode>
                <c:ptCount val="2"/>
                <c:pt idx="0">
                  <c:v>-45</c:v>
                </c:pt>
                <c:pt idx="1">
                  <c:v>-91.985987954387994</c:v>
                </c:pt>
              </c:numCache>
            </c:numRef>
          </c:xVal>
          <c:yVal>
            <c:numRef>
              <c:f>(Sheet1!$J$6,Sheet1!$V$29)</c:f>
              <c:numCache>
                <c:formatCode>0.0</c:formatCode>
                <c:ptCount val="2"/>
                <c:pt idx="0">
                  <c:v>0</c:v>
                </c:pt>
                <c:pt idx="1">
                  <c:v>-1.605621392230083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CB-4568-8008-5A34DF8E7025}"/>
            </c:ext>
          </c:extLst>
        </c:ser>
        <c:ser>
          <c:idx val="11"/>
          <c:order val="5"/>
          <c:tx>
            <c:v>Leg6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(Sheet1!$I$7,Sheet1!$W$27)</c:f>
              <c:numCache>
                <c:formatCode>0.0</c:formatCode>
                <c:ptCount val="2"/>
                <c:pt idx="0">
                  <c:v>-22.5</c:v>
                </c:pt>
                <c:pt idx="1">
                  <c:v>-47.383511668751922</c:v>
                </c:pt>
              </c:numCache>
            </c:numRef>
          </c:xVal>
          <c:yVal>
            <c:numRef>
              <c:f>(Sheet1!$J$7,Sheet1!$W$29)</c:f>
              <c:numCache>
                <c:formatCode>0.0</c:formatCode>
                <c:ptCount val="2"/>
                <c:pt idx="0">
                  <c:v>38.97114317029974</c:v>
                </c:pt>
                <c:pt idx="1">
                  <c:v>78.85938639082319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CB-4568-8008-5A34DF8E7025}"/>
            </c:ext>
          </c:extLst>
        </c:ser>
        <c:ser>
          <c:idx val="0"/>
          <c:order val="6"/>
          <c:tx>
            <c:v>Body1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(Sheet1!$B$9,Sheet1!$D$9)</c:f>
              <c:numCache>
                <c:formatCode>0.0</c:formatCode>
                <c:ptCount val="2"/>
                <c:pt idx="0">
                  <c:v>-22.5</c:v>
                </c:pt>
                <c:pt idx="1">
                  <c:v>22.5</c:v>
                </c:pt>
              </c:numCache>
            </c:numRef>
          </c:xVal>
          <c:yVal>
            <c:numRef>
              <c:f>(Sheet1!$C$9,Sheet1!$E$9)</c:f>
              <c:numCache>
                <c:formatCode>0.0</c:formatCode>
                <c:ptCount val="2"/>
                <c:pt idx="0">
                  <c:v>38.97114317029974</c:v>
                </c:pt>
                <c:pt idx="1">
                  <c:v>38.97114317029974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CB-4568-8008-5A34DF8E7025}"/>
            </c:ext>
          </c:extLst>
        </c:ser>
        <c:ser>
          <c:idx val="1"/>
          <c:order val="7"/>
          <c:tx>
            <c:v>Body2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(Sheet1!$B$10,Sheet1!$D$10)</c:f>
              <c:numCache>
                <c:formatCode>0.0</c:formatCode>
                <c:ptCount val="2"/>
                <c:pt idx="0">
                  <c:v>22.5</c:v>
                </c:pt>
                <c:pt idx="1">
                  <c:v>45</c:v>
                </c:pt>
              </c:numCache>
            </c:numRef>
          </c:xVal>
          <c:yVal>
            <c:numRef>
              <c:f>(Sheet1!$C$10,Sheet1!$E$10)</c:f>
              <c:numCache>
                <c:formatCode>0.0</c:formatCode>
                <c:ptCount val="2"/>
                <c:pt idx="0">
                  <c:v>38.97114317029974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CB-4568-8008-5A34DF8E7025}"/>
            </c:ext>
          </c:extLst>
        </c:ser>
        <c:ser>
          <c:idx val="2"/>
          <c:order val="8"/>
          <c:tx>
            <c:v>Body3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(Sheet1!$B$11,Sheet1!$D$11)</c:f>
              <c:numCache>
                <c:formatCode>0.0</c:formatCode>
                <c:ptCount val="2"/>
                <c:pt idx="0">
                  <c:v>45</c:v>
                </c:pt>
                <c:pt idx="1">
                  <c:v>22.5</c:v>
                </c:pt>
              </c:numCache>
            </c:numRef>
          </c:xVal>
          <c:yVal>
            <c:numRef>
              <c:f>(Sheet1!$C$11,Sheet1!$E$11)</c:f>
              <c:numCache>
                <c:formatCode>0.0</c:formatCode>
                <c:ptCount val="2"/>
                <c:pt idx="0">
                  <c:v>0</c:v>
                </c:pt>
                <c:pt idx="1">
                  <c:v>-38.97114317029974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CB-4568-8008-5A34DF8E7025}"/>
            </c:ext>
          </c:extLst>
        </c:ser>
        <c:ser>
          <c:idx val="3"/>
          <c:order val="9"/>
          <c:tx>
            <c:v>Body4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(Sheet1!$B$12,Sheet1!$D$12)</c:f>
              <c:numCache>
                <c:formatCode>0.0</c:formatCode>
                <c:ptCount val="2"/>
                <c:pt idx="0">
                  <c:v>22.5</c:v>
                </c:pt>
                <c:pt idx="1">
                  <c:v>-22.5</c:v>
                </c:pt>
              </c:numCache>
            </c:numRef>
          </c:xVal>
          <c:yVal>
            <c:numRef>
              <c:f>(Sheet1!$C$12,Sheet1!$E$12)</c:f>
              <c:numCache>
                <c:formatCode>0.0</c:formatCode>
                <c:ptCount val="2"/>
                <c:pt idx="0">
                  <c:v>-38.97114317029974</c:v>
                </c:pt>
                <c:pt idx="1">
                  <c:v>-38.97114317029974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CB-4568-8008-5A34DF8E7025}"/>
            </c:ext>
          </c:extLst>
        </c:ser>
        <c:ser>
          <c:idx val="4"/>
          <c:order val="10"/>
          <c:tx>
            <c:v>Body5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(Sheet1!$B$13,Sheet1!$D$13)</c:f>
              <c:numCache>
                <c:formatCode>0.0</c:formatCode>
                <c:ptCount val="2"/>
                <c:pt idx="0">
                  <c:v>-22.5</c:v>
                </c:pt>
                <c:pt idx="1">
                  <c:v>-45</c:v>
                </c:pt>
              </c:numCache>
            </c:numRef>
          </c:xVal>
          <c:yVal>
            <c:numRef>
              <c:f>(Sheet1!$C$13,Sheet1!$E$13)</c:f>
              <c:numCache>
                <c:formatCode>0.0</c:formatCode>
                <c:ptCount val="2"/>
                <c:pt idx="0">
                  <c:v>-38.97114317029974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CB-4568-8008-5A34DF8E7025}"/>
            </c:ext>
          </c:extLst>
        </c:ser>
        <c:ser>
          <c:idx val="5"/>
          <c:order val="11"/>
          <c:tx>
            <c:v>Body6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(Sheet1!$B$14,Sheet1!$D$14)</c:f>
              <c:numCache>
                <c:formatCode>0.0</c:formatCode>
                <c:ptCount val="2"/>
                <c:pt idx="0">
                  <c:v>-45</c:v>
                </c:pt>
                <c:pt idx="1">
                  <c:v>-22.5</c:v>
                </c:pt>
              </c:numCache>
            </c:numRef>
          </c:xVal>
          <c:yVal>
            <c:numRef>
              <c:f>(Sheet1!$C$14,Sheet1!$E$14)</c:f>
              <c:numCache>
                <c:formatCode>0.0</c:formatCode>
                <c:ptCount val="2"/>
                <c:pt idx="0">
                  <c:v>0</c:v>
                </c:pt>
                <c:pt idx="1">
                  <c:v>38.97114317029974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CB-4568-8008-5A34DF8E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4128"/>
        <c:axId val="120197504"/>
      </c:scatterChart>
      <c:valAx>
        <c:axId val="112704128"/>
        <c:scaling>
          <c:orientation val="minMax"/>
          <c:max val="150"/>
          <c:min val="-150"/>
        </c:scaling>
        <c:delete val="0"/>
        <c:axPos val="b"/>
        <c:numFmt formatCode="0.0" sourceLinked="1"/>
        <c:majorTickMark val="cross"/>
        <c:minorTickMark val="none"/>
        <c:tickLblPos val="nextTo"/>
        <c:crossAx val="120197504"/>
        <c:crosses val="autoZero"/>
        <c:crossBetween val="midCat"/>
      </c:valAx>
      <c:valAx>
        <c:axId val="120197504"/>
        <c:scaling>
          <c:orientation val="minMax"/>
          <c:max val="150"/>
          <c:min val="-150"/>
        </c:scaling>
        <c:delete val="0"/>
        <c:axPos val="l"/>
        <c:numFmt formatCode="0.0" sourceLinked="1"/>
        <c:majorTickMark val="cross"/>
        <c:minorTickMark val="none"/>
        <c:tickLblPos val="nextTo"/>
        <c:crossAx val="11270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Sheet1!$R$16:$R$17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Sheet1!$R$14:$R$15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4-4ADE-A30B-15E506013154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Sheet1!$R$20:$R$21</c:f>
              <c:numCache>
                <c:formatCode>0.0</c:formatCode>
                <c:ptCount val="2"/>
                <c:pt idx="0">
                  <c:v>12</c:v>
                </c:pt>
                <c:pt idx="1">
                  <c:v>46.999999999999979</c:v>
                </c:pt>
              </c:numCache>
            </c:numRef>
          </c:xVal>
          <c:yVal>
            <c:numRef>
              <c:f>Sheet1!$R$18:$R$19</c:f>
              <c:numCache>
                <c:formatCode>0.0</c:formatCode>
                <c:ptCount val="2"/>
                <c:pt idx="0">
                  <c:v>72</c:v>
                </c:pt>
                <c:pt idx="1">
                  <c:v>72.000001249496052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54-4ADE-A30B-15E506013154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Sheet1!$R$24:$R$25</c:f>
              <c:numCache>
                <c:formatCode>0.0</c:formatCode>
                <c:ptCount val="2"/>
                <c:pt idx="0">
                  <c:v>46.999999999999979</c:v>
                </c:pt>
                <c:pt idx="1">
                  <c:v>47.013416273521436</c:v>
                </c:pt>
              </c:numCache>
            </c:numRef>
          </c:xVal>
          <c:yVal>
            <c:numRef>
              <c:f>Sheet1!$R$22:$R$23</c:f>
              <c:numCache>
                <c:formatCode>0.0</c:formatCode>
                <c:ptCount val="2"/>
                <c:pt idx="0">
                  <c:v>72.000001249496052</c:v>
                </c:pt>
                <c:pt idx="1">
                  <c:v>2.4994710372538975E-6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4-4ADE-A30B-15E50601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0496"/>
        <c:axId val="112652288"/>
      </c:scatterChart>
      <c:valAx>
        <c:axId val="112650496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12652288"/>
        <c:crosses val="autoZero"/>
        <c:crossBetween val="midCat"/>
        <c:majorUnit val="20"/>
      </c:valAx>
      <c:valAx>
        <c:axId val="11265228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1265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Sheet1!$S$16:$S$17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Sheet1!$S$14:$S$15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7-4CCC-9B14-340108747556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Sheet1!$S$20:$S$21</c:f>
              <c:numCache>
                <c:formatCode>0.0</c:formatCode>
                <c:ptCount val="2"/>
                <c:pt idx="0">
                  <c:v>12</c:v>
                </c:pt>
                <c:pt idx="1">
                  <c:v>46.999999999999979</c:v>
                </c:pt>
              </c:numCache>
            </c:numRef>
          </c:xVal>
          <c:yVal>
            <c:numRef>
              <c:f>Sheet1!$S$18:$S$19</c:f>
              <c:numCache>
                <c:formatCode>0.0</c:formatCode>
                <c:ptCount val="2"/>
                <c:pt idx="0">
                  <c:v>72</c:v>
                </c:pt>
                <c:pt idx="1">
                  <c:v>72.000001249527941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57-4CCC-9B14-340108747556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Sheet1!$S$24:$S$25</c:f>
              <c:numCache>
                <c:formatCode>0.0</c:formatCode>
                <c:ptCount val="2"/>
                <c:pt idx="0">
                  <c:v>46.999999999999979</c:v>
                </c:pt>
                <c:pt idx="1">
                  <c:v>47.013416444638935</c:v>
                </c:pt>
              </c:numCache>
            </c:numRef>
          </c:xVal>
          <c:yVal>
            <c:numRef>
              <c:f>Sheet1!$S$22:$S$23</c:f>
              <c:numCache>
                <c:formatCode>0.0</c:formatCode>
                <c:ptCount val="2"/>
                <c:pt idx="0">
                  <c:v>72.000001249527941</c:v>
                </c:pt>
                <c:pt idx="1">
                  <c:v>2.4995348013590046E-6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57-4CCC-9B14-34010874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6384"/>
        <c:axId val="120257920"/>
      </c:scatterChart>
      <c:valAx>
        <c:axId val="120256384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20257920"/>
        <c:crosses val="autoZero"/>
        <c:crossBetween val="midCat"/>
        <c:majorUnit val="20"/>
      </c:valAx>
      <c:valAx>
        <c:axId val="12025792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025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Sheet1!$T$16:$T$17</c:f>
              <c:numCache>
                <c:formatCode>0.0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Sheet1!$T$14:$T$15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F-4964-AE99-5F377DBDCF1F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Sheet1!$T$20:$T$21</c:f>
              <c:numCache>
                <c:formatCode>0.0</c:formatCode>
                <c:ptCount val="2"/>
                <c:pt idx="0">
                  <c:v>12</c:v>
                </c:pt>
                <c:pt idx="1">
                  <c:v>46.999999999999979</c:v>
                </c:pt>
              </c:numCache>
            </c:numRef>
          </c:xVal>
          <c:yVal>
            <c:numRef>
              <c:f>Sheet1!$T$18:$T$19</c:f>
              <c:numCache>
                <c:formatCode>0.0</c:formatCode>
                <c:ptCount val="2"/>
                <c:pt idx="0">
                  <c:v>72</c:v>
                </c:pt>
                <c:pt idx="1">
                  <c:v>72.000001249559801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EF-4964-AE99-5F377DBDCF1F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Sheet1!$T$24:$T$25</c:f>
              <c:numCache>
                <c:formatCode>0.0</c:formatCode>
                <c:ptCount val="2"/>
                <c:pt idx="0">
                  <c:v>46.999999999999979</c:v>
                </c:pt>
                <c:pt idx="1">
                  <c:v>47.013416615756341</c:v>
                </c:pt>
              </c:numCache>
            </c:numRef>
          </c:xVal>
          <c:yVal>
            <c:numRef>
              <c:f>Sheet1!$T$22:$T$23</c:f>
              <c:numCache>
                <c:formatCode>0.0</c:formatCode>
                <c:ptCount val="2"/>
                <c:pt idx="0">
                  <c:v>72.000001249559801</c:v>
                </c:pt>
                <c:pt idx="1">
                  <c:v>2.499598551253257E-6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EF-4964-AE99-5F377DBD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6720"/>
        <c:axId val="128208256"/>
      </c:scatterChart>
      <c:valAx>
        <c:axId val="128206720"/>
        <c:scaling>
          <c:orientation val="minMax"/>
          <c:max val="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128208256"/>
        <c:crosses val="autoZero"/>
        <c:crossBetween val="midCat"/>
        <c:majorUnit val="20"/>
      </c:valAx>
      <c:valAx>
        <c:axId val="128208256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820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Sheet1!$U$16:$U$17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Sheet1!$U$14:$U$15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6-49BE-9C25-7766FCD0B2EF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Sheet1!$U$20:$U$21</c:f>
              <c:numCache>
                <c:formatCode>0.0</c:formatCode>
                <c:ptCount val="2"/>
                <c:pt idx="0">
                  <c:v>-12</c:v>
                </c:pt>
                <c:pt idx="1">
                  <c:v>-46.999999999999979</c:v>
                </c:pt>
              </c:numCache>
            </c:numRef>
          </c:xVal>
          <c:yVal>
            <c:numRef>
              <c:f>Sheet1!$U$18:$U$19</c:f>
              <c:numCache>
                <c:formatCode>0.0</c:formatCode>
                <c:ptCount val="2"/>
                <c:pt idx="0">
                  <c:v>72</c:v>
                </c:pt>
                <c:pt idx="1">
                  <c:v>72.000001249496052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C6-49BE-9C25-7766FCD0B2EF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Sheet1!$U$24:$U$25</c:f>
              <c:numCache>
                <c:formatCode>0.0</c:formatCode>
                <c:ptCount val="2"/>
                <c:pt idx="0">
                  <c:v>-46.999999999999979</c:v>
                </c:pt>
                <c:pt idx="1">
                  <c:v>-47.013416273521436</c:v>
                </c:pt>
              </c:numCache>
            </c:numRef>
          </c:xVal>
          <c:yVal>
            <c:numRef>
              <c:f>Sheet1!$U$22:$U$23</c:f>
              <c:numCache>
                <c:formatCode>0.0</c:formatCode>
                <c:ptCount val="2"/>
                <c:pt idx="0">
                  <c:v>72.000001249496052</c:v>
                </c:pt>
                <c:pt idx="1">
                  <c:v>2.4994710372538975E-6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C6-49BE-9C25-7766FCD0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51392"/>
        <c:axId val="128252928"/>
      </c:scatterChart>
      <c:valAx>
        <c:axId val="128251392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28252928"/>
        <c:crosses val="autoZero"/>
        <c:crossBetween val="midCat"/>
        <c:majorUnit val="20"/>
      </c:valAx>
      <c:valAx>
        <c:axId val="128252928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2825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Sheet1!$V$16:$V$17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Sheet1!$V$14:$V$15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1A-4AD6-93A6-F7224F1D3B1F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Sheet1!$V$20:$V$21</c:f>
              <c:numCache>
                <c:formatCode>0.0</c:formatCode>
                <c:ptCount val="2"/>
                <c:pt idx="0">
                  <c:v>-12</c:v>
                </c:pt>
                <c:pt idx="1">
                  <c:v>-46.999999999999979</c:v>
                </c:pt>
              </c:numCache>
            </c:numRef>
          </c:xVal>
          <c:yVal>
            <c:numRef>
              <c:f>Sheet1!$V$18:$V$19</c:f>
              <c:numCache>
                <c:formatCode>0.0</c:formatCode>
                <c:ptCount val="2"/>
                <c:pt idx="0">
                  <c:v>72</c:v>
                </c:pt>
                <c:pt idx="1">
                  <c:v>72.000001249527941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1A-4AD6-93A6-F7224F1D3B1F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Sheet1!$V$24:$V$25</c:f>
              <c:numCache>
                <c:formatCode>0.0</c:formatCode>
                <c:ptCount val="2"/>
                <c:pt idx="0">
                  <c:v>-46.999999999999979</c:v>
                </c:pt>
                <c:pt idx="1">
                  <c:v>-47.013416444638935</c:v>
                </c:pt>
              </c:numCache>
            </c:numRef>
          </c:xVal>
          <c:yVal>
            <c:numRef>
              <c:f>Sheet1!$V$22:$V$23</c:f>
              <c:numCache>
                <c:formatCode>0.0</c:formatCode>
                <c:ptCount val="2"/>
                <c:pt idx="0">
                  <c:v>72.000001249527941</c:v>
                </c:pt>
                <c:pt idx="1">
                  <c:v>2.4995348013590046E-6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1A-4AD6-93A6-F7224F1D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5248"/>
        <c:axId val="140806784"/>
      </c:scatterChart>
      <c:valAx>
        <c:axId val="140805248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0806784"/>
        <c:crosses val="autoZero"/>
        <c:crossBetween val="midCat"/>
        <c:majorUnit val="20"/>
      </c:valAx>
      <c:valAx>
        <c:axId val="140806784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080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Coxa</c:v>
          </c:tx>
          <c:marker>
            <c:symbol val="none"/>
          </c:marker>
          <c:xVal>
            <c:numRef>
              <c:f>Sheet1!$W$16:$W$17</c:f>
              <c:numCache>
                <c:formatCode>0.0</c:formatCode>
                <c:ptCount val="2"/>
                <c:pt idx="0">
                  <c:v>0</c:v>
                </c:pt>
                <c:pt idx="1">
                  <c:v>-12</c:v>
                </c:pt>
              </c:numCache>
            </c:numRef>
          </c:xVal>
          <c:yVal>
            <c:numRef>
              <c:f>Sheet1!$W$14:$W$15</c:f>
              <c:numCache>
                <c:formatCode>0.0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5-487D-A0D9-EB38090A8F89}"/>
            </c:ext>
          </c:extLst>
        </c:ser>
        <c:ser>
          <c:idx val="1"/>
          <c:order val="1"/>
          <c:tx>
            <c:v>Femur</c:v>
          </c:tx>
          <c:marker>
            <c:symbol val="none"/>
          </c:marker>
          <c:xVal>
            <c:numRef>
              <c:f>Sheet1!$W$20:$W$21</c:f>
              <c:numCache>
                <c:formatCode>0.0</c:formatCode>
                <c:ptCount val="2"/>
                <c:pt idx="0">
                  <c:v>-12</c:v>
                </c:pt>
                <c:pt idx="1">
                  <c:v>-46.999999999999979</c:v>
                </c:pt>
              </c:numCache>
            </c:numRef>
          </c:xVal>
          <c:yVal>
            <c:numRef>
              <c:f>Sheet1!$W$18:$W$19</c:f>
              <c:numCache>
                <c:formatCode>0.0</c:formatCode>
                <c:ptCount val="2"/>
                <c:pt idx="0">
                  <c:v>72</c:v>
                </c:pt>
                <c:pt idx="1">
                  <c:v>72.000001249559801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5-487D-A0D9-EB38090A8F89}"/>
            </c:ext>
          </c:extLst>
        </c:ser>
        <c:ser>
          <c:idx val="2"/>
          <c:order val="2"/>
          <c:tx>
            <c:v>Tibia</c:v>
          </c:tx>
          <c:marker>
            <c:symbol val="none"/>
          </c:marker>
          <c:xVal>
            <c:numRef>
              <c:f>Sheet1!$W$24:$W$25</c:f>
              <c:numCache>
                <c:formatCode>0.0</c:formatCode>
                <c:ptCount val="2"/>
                <c:pt idx="0">
                  <c:v>-46.999999999999979</c:v>
                </c:pt>
                <c:pt idx="1">
                  <c:v>-47.013416615756341</c:v>
                </c:pt>
              </c:numCache>
            </c:numRef>
          </c:xVal>
          <c:yVal>
            <c:numRef>
              <c:f>Sheet1!$W$22:$W$23</c:f>
              <c:numCache>
                <c:formatCode>0.0</c:formatCode>
                <c:ptCount val="2"/>
                <c:pt idx="0">
                  <c:v>72.000001249559801</c:v>
                </c:pt>
                <c:pt idx="1">
                  <c:v>2.499598551253257E-6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55-487D-A0D9-EB38090A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4864"/>
        <c:axId val="149526400"/>
      </c:scatterChart>
      <c:valAx>
        <c:axId val="149524864"/>
        <c:scaling>
          <c:orientation val="minMax"/>
          <c:max val="0"/>
          <c:min val="-80"/>
        </c:scaling>
        <c:delete val="0"/>
        <c:axPos val="b"/>
        <c:numFmt formatCode="0" sourceLinked="0"/>
        <c:majorTickMark val="out"/>
        <c:minorTickMark val="none"/>
        <c:tickLblPos val="nextTo"/>
        <c:crossAx val="149526400"/>
        <c:crosses val="autoZero"/>
        <c:crossBetween val="midCat"/>
        <c:majorUnit val="20"/>
      </c:valAx>
      <c:valAx>
        <c:axId val="149526400"/>
        <c:scaling>
          <c:orientation val="minMax"/>
          <c:max val="80"/>
          <c:min val="-40"/>
        </c:scaling>
        <c:delete val="0"/>
        <c:axPos val="l"/>
        <c:numFmt formatCode="0" sourceLinked="0"/>
        <c:majorTickMark val="out"/>
        <c:minorTickMark val="none"/>
        <c:tickLblPos val="nextTo"/>
        <c:crossAx val="14952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pin" dx="16" fmlaLink="$R$32" max="20" noThreeD="1" page="10" val="10"/>
</file>

<file path=xl/ctrlProps/ctrlProp2.xml><?xml version="1.0" encoding="utf-8"?>
<formControlPr xmlns="http://schemas.microsoft.com/office/spreadsheetml/2009/9/main" objectType="Spin" dx="16" fmlaLink="$R$33" max="20" noThreeD="1" page="10" val="10"/>
</file>

<file path=xl/ctrlProps/ctrlProp3.xml><?xml version="1.0" encoding="utf-8"?>
<formControlPr xmlns="http://schemas.microsoft.com/office/spreadsheetml/2009/9/main" objectType="Spin" dx="16" fmlaLink="$R$34" max="20" noThreeD="1" page="10" val="10"/>
</file>

<file path=xl/ctrlProps/ctrlProp4.xml><?xml version="1.0" encoding="utf-8"?>
<formControlPr xmlns="http://schemas.microsoft.com/office/spreadsheetml/2009/9/main" objectType="Spin" dx="16" fmlaLink="$R$36" max="20" noThreeD="1" page="10" val="10"/>
</file>

<file path=xl/ctrlProps/ctrlProp5.xml><?xml version="1.0" encoding="utf-8"?>
<formControlPr xmlns="http://schemas.microsoft.com/office/spreadsheetml/2009/9/main" objectType="Spin" dx="16" fmlaLink="$R$37" max="30" noThreeD="1" page="10" val="16"/>
</file>

<file path=xl/ctrlProps/ctrlProp6.xml><?xml version="1.0" encoding="utf-8"?>
<formControlPr xmlns="http://schemas.microsoft.com/office/spreadsheetml/2009/9/main" objectType="Spin" dx="16" fmlaLink="$R$38" max="20" noThreeD="1" page="10" val="10"/>
</file>

<file path=xl/ctrlProps/ctrlProp7.xml><?xml version="1.0" encoding="utf-8"?>
<formControlPr xmlns="http://schemas.microsoft.com/office/spreadsheetml/2009/9/main" objectType="Spin" dx="16" fmlaLink="$R$40" max="1000" min="1" noThreeD="1" page="10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253999</xdr:colOff>
      <xdr:row>17</xdr:row>
      <xdr:rowOff>51405</xdr:rowOff>
    </xdr:from>
    <xdr:to>
      <xdr:col>10</xdr:col>
      <xdr:colOff>301626</xdr:colOff>
      <xdr:row>36</xdr:row>
      <xdr:rowOff>22831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13607</xdr:colOff>
      <xdr:row>20</xdr:row>
      <xdr:rowOff>95250</xdr:rowOff>
    </xdr:from>
    <xdr:to>
      <xdr:col>8</xdr:col>
      <xdr:colOff>416985</xdr:colOff>
      <xdr:row>32</xdr:row>
      <xdr:rowOff>21728</xdr:rowOff>
    </xdr:to>
    <xdr:sp macro="" textlink="">
      <xdr:nvSpPr>
        <xdr:cNvPr id="13" name="Oval 5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2503714" y="3905250"/>
          <a:ext cx="2417235" cy="2212478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376466</xdr:colOff>
      <xdr:row>16</xdr:row>
      <xdr:rowOff>134560</xdr:rowOff>
    </xdr:from>
    <xdr:to>
      <xdr:col>13</xdr:col>
      <xdr:colOff>357188</xdr:colOff>
      <xdr:row>23</xdr:row>
      <xdr:rowOff>61060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359834</xdr:colOff>
      <xdr:row>23</xdr:row>
      <xdr:rowOff>125488</xdr:rowOff>
    </xdr:from>
    <xdr:to>
      <xdr:col>13</xdr:col>
      <xdr:colOff>294217</xdr:colOff>
      <xdr:row>30</xdr:row>
      <xdr:rowOff>51988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387050</xdr:colOff>
      <xdr:row>30</xdr:row>
      <xdr:rowOff>128509</xdr:rowOff>
    </xdr:from>
    <xdr:to>
      <xdr:col>13</xdr:col>
      <xdr:colOff>357188</xdr:colOff>
      <xdr:row>37</xdr:row>
      <xdr:rowOff>55009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30</xdr:row>
      <xdr:rowOff>49892</xdr:rowOff>
    </xdr:from>
    <xdr:to>
      <xdr:col>2</xdr:col>
      <xdr:colOff>188383</xdr:colOff>
      <xdr:row>36</xdr:row>
      <xdr:rowOff>166892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105833</xdr:colOff>
      <xdr:row>23</xdr:row>
      <xdr:rowOff>104321</xdr:rowOff>
    </xdr:from>
    <xdr:to>
      <xdr:col>2</xdr:col>
      <xdr:colOff>198966</xdr:colOff>
      <xdr:row>30</xdr:row>
      <xdr:rowOff>30821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16</xdr:row>
      <xdr:rowOff>104321</xdr:rowOff>
    </xdr:from>
    <xdr:to>
      <xdr:col>2</xdr:col>
      <xdr:colOff>188383</xdr:colOff>
      <xdr:row>23</xdr:row>
      <xdr:rowOff>30821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171450</xdr:colOff>
          <xdr:row>30</xdr:row>
          <xdr:rowOff>171450</xdr:rowOff>
        </xdr:from>
        <xdr:to>
          <xdr:col>17</xdr:col>
          <xdr:colOff>333375</xdr:colOff>
          <xdr:row>32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31</xdr:row>
          <xdr:rowOff>171450</xdr:rowOff>
        </xdr:from>
        <xdr:to>
          <xdr:col>17</xdr:col>
          <xdr:colOff>542925</xdr:colOff>
          <xdr:row>33</xdr:row>
          <xdr:rowOff>38100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161925</xdr:colOff>
          <xdr:row>32</xdr:row>
          <xdr:rowOff>171450</xdr:rowOff>
        </xdr:from>
        <xdr:to>
          <xdr:col>17</xdr:col>
          <xdr:colOff>323850</xdr:colOff>
          <xdr:row>34</xdr:row>
          <xdr:rowOff>38100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381000</xdr:colOff>
          <xdr:row>34</xdr:row>
          <xdr:rowOff>171450</xdr:rowOff>
        </xdr:from>
        <xdr:to>
          <xdr:col>17</xdr:col>
          <xdr:colOff>542925</xdr:colOff>
          <xdr:row>36</xdr:row>
          <xdr:rowOff>38100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142875</xdr:colOff>
          <xdr:row>35</xdr:row>
          <xdr:rowOff>171450</xdr:rowOff>
        </xdr:from>
        <xdr:to>
          <xdr:col>17</xdr:col>
          <xdr:colOff>304800</xdr:colOff>
          <xdr:row>37</xdr:row>
          <xdr:rowOff>38100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390525</xdr:colOff>
          <xdr:row>36</xdr:row>
          <xdr:rowOff>152400</xdr:rowOff>
        </xdr:from>
        <xdr:to>
          <xdr:col>17</xdr:col>
          <xdr:colOff>552450</xdr:colOff>
          <xdr:row>38</xdr:row>
          <xdr:rowOff>19050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38</xdr:row>
          <xdr:rowOff>161925</xdr:rowOff>
        </xdr:from>
        <xdr:to>
          <xdr:col>17</xdr:col>
          <xdr:colOff>285750</xdr:colOff>
          <xdr:row>40</xdr:row>
          <xdr:rowOff>28575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85"/>
  <sheetViews>
    <sheetView tabSelected="1" topLeftCell="E1" zoomScale="70" zoomScaleNormal="70" workbookViewId="0">
      <selection activeCell="Y40" sqref="Y40"/>
    </sheetView>
  </sheetViews>
  <sheetFormatPr defaultRowHeight="14.25" x14ac:dyDescent="0.45"/>
  <cols>
    <col min="1" max="1" width="12.86328125" customWidth="1"/>
    <col min="2" max="2" width="8.86328125" customWidth="1"/>
    <col min="3" max="3" width="8.59765625" customWidth="1"/>
    <col min="4" max="4" width="8.3984375" customWidth="1"/>
    <col min="5" max="5" width="8.265625" customWidth="1"/>
    <col min="6" max="6" width="7.86328125" customWidth="1"/>
    <col min="7" max="7" width="7" customWidth="1"/>
    <col min="8" max="8" width="6.86328125" customWidth="1"/>
    <col min="9" max="9" width="6.73046875" customWidth="1"/>
    <col min="10" max="10" width="7.86328125" customWidth="1"/>
    <col min="11" max="11" width="6.3984375" customWidth="1"/>
    <col min="12" max="12" width="8.59765625" customWidth="1"/>
    <col min="13" max="13" width="7.73046875" customWidth="1"/>
    <col min="14" max="14" width="7.86328125" customWidth="1"/>
    <col min="15" max="15" width="7.73046875" customWidth="1"/>
    <col min="16" max="16" width="11" customWidth="1"/>
    <col min="18" max="18" width="11.265625" customWidth="1"/>
    <col min="24" max="24" width="13.265625" customWidth="1"/>
    <col min="26" max="26" width="15.1328125" customWidth="1"/>
    <col min="27" max="27" width="18" bestFit="1" customWidth="1"/>
    <col min="28" max="28" width="13.73046875" bestFit="1" customWidth="1"/>
    <col min="29" max="30" width="17.59765625" bestFit="1" customWidth="1"/>
    <col min="32" max="32" width="17.59765625" bestFit="1" customWidth="1"/>
  </cols>
  <sheetData>
    <row r="1" spans="1:33" x14ac:dyDescent="0.45">
      <c r="A1" s="8" t="s">
        <v>57</v>
      </c>
      <c r="B1" s="14"/>
      <c r="E1" s="8" t="s">
        <v>17</v>
      </c>
      <c r="F1" s="13"/>
      <c r="G1" s="14"/>
      <c r="H1" s="55"/>
      <c r="I1" s="57" t="s">
        <v>1</v>
      </c>
      <c r="J1" s="58" t="s">
        <v>2</v>
      </c>
      <c r="P1" s="8" t="s">
        <v>8</v>
      </c>
      <c r="Q1" s="13"/>
      <c r="R1" s="13"/>
      <c r="S1" s="13"/>
      <c r="T1" s="13"/>
      <c r="U1" s="13"/>
      <c r="V1" s="14"/>
      <c r="W1" s="25"/>
      <c r="Y1" s="79"/>
      <c r="Z1" s="81" t="s">
        <v>92</v>
      </c>
      <c r="AA1" s="80"/>
      <c r="AB1" s="80"/>
      <c r="AC1" s="80"/>
      <c r="AD1" s="80"/>
      <c r="AE1" s="80"/>
      <c r="AF1" s="80"/>
      <c r="AG1" s="80"/>
    </row>
    <row r="2" spans="1:33" x14ac:dyDescent="0.45">
      <c r="A2" s="56">
        <v>45</v>
      </c>
      <c r="B2" s="28"/>
      <c r="E2" s="2" t="s">
        <v>34</v>
      </c>
      <c r="F2" s="3"/>
      <c r="G2" s="44">
        <f>A2/2</f>
        <v>22.5</v>
      </c>
      <c r="H2" s="20">
        <v>1</v>
      </c>
      <c r="I2" s="47">
        <f>G2</f>
        <v>22.5</v>
      </c>
      <c r="J2" s="48">
        <f>G3</f>
        <v>38.97114317029974</v>
      </c>
      <c r="P2" s="15" t="s">
        <v>9</v>
      </c>
      <c r="Q2" s="18"/>
      <c r="R2" s="16">
        <v>1</v>
      </c>
      <c r="S2" s="16">
        <v>2</v>
      </c>
      <c r="T2" s="16">
        <v>3</v>
      </c>
      <c r="U2" s="16">
        <v>4</v>
      </c>
      <c r="V2" s="16">
        <v>5</v>
      </c>
      <c r="W2" s="17">
        <v>6</v>
      </c>
      <c r="Y2" s="79"/>
      <c r="Z2" s="8" t="s">
        <v>30</v>
      </c>
      <c r="AA2" s="10"/>
      <c r="AB2" s="11"/>
      <c r="AC2" s="11"/>
      <c r="AD2" s="11"/>
      <c r="AE2" s="11"/>
      <c r="AF2" s="12"/>
      <c r="AG2" s="80"/>
    </row>
    <row r="3" spans="1:33" x14ac:dyDescent="0.45">
      <c r="A3" s="8" t="s">
        <v>13</v>
      </c>
      <c r="B3" s="13"/>
      <c r="C3" s="14"/>
      <c r="E3" s="2" t="s">
        <v>35</v>
      </c>
      <c r="F3" s="3"/>
      <c r="G3" s="45">
        <f>SQRT(A2*A2-G2*G2)</f>
        <v>38.97114317029974</v>
      </c>
      <c r="H3" s="21">
        <v>2</v>
      </c>
      <c r="I3" s="47">
        <f>G4</f>
        <v>45</v>
      </c>
      <c r="J3" s="48">
        <v>0</v>
      </c>
      <c r="P3" s="20" t="s">
        <v>10</v>
      </c>
      <c r="Q3" s="20"/>
      <c r="R3" s="33">
        <f t="shared" ref="R3:W3" si="0">AA31</f>
        <v>-1.9571570786621635</v>
      </c>
      <c r="S3" s="33">
        <f t="shared" si="0"/>
        <v>-1.9571695560048994</v>
      </c>
      <c r="T3" s="33">
        <f t="shared" si="0"/>
        <v>-1.9571820333475642</v>
      </c>
      <c r="U3" s="33">
        <f t="shared" si="0"/>
        <v>-1.9571570786621635</v>
      </c>
      <c r="V3" s="33">
        <f t="shared" si="0"/>
        <v>-1.957169556004871</v>
      </c>
      <c r="W3" s="33">
        <f t="shared" si="0"/>
        <v>-1.9571820333475358</v>
      </c>
      <c r="Y3" s="79"/>
      <c r="Z3" s="74" t="s">
        <v>33</v>
      </c>
      <c r="AA3" s="75">
        <v>1</v>
      </c>
      <c r="AB3" s="27">
        <v>2</v>
      </c>
      <c r="AC3" s="27">
        <v>3</v>
      </c>
      <c r="AD3" s="27">
        <v>4</v>
      </c>
      <c r="AE3" s="27">
        <v>5</v>
      </c>
      <c r="AF3" s="72">
        <v>6</v>
      </c>
      <c r="AG3" s="80"/>
    </row>
    <row r="4" spans="1:33" x14ac:dyDescent="0.45">
      <c r="A4" s="1" t="s">
        <v>14</v>
      </c>
      <c r="B4" s="27"/>
      <c r="C4" s="43">
        <v>12</v>
      </c>
      <c r="E4" s="5" t="s">
        <v>36</v>
      </c>
      <c r="F4" s="6"/>
      <c r="G4" s="46">
        <f>A2</f>
        <v>45</v>
      </c>
      <c r="H4" s="21">
        <v>3</v>
      </c>
      <c r="I4" s="47">
        <f>G2</f>
        <v>22.5</v>
      </c>
      <c r="J4" s="48">
        <f>-G3</f>
        <v>-38.97114317029974</v>
      </c>
      <c r="P4" s="21" t="s">
        <v>11</v>
      </c>
      <c r="Q4" s="21"/>
      <c r="R4" s="36">
        <f t="shared" ref="R4:W4" si="1">AA30</f>
        <v>-2.0454528737445798E-6</v>
      </c>
      <c r="S4" s="36">
        <f t="shared" si="1"/>
        <v>-2.0455050702139488E-6</v>
      </c>
      <c r="T4" s="36">
        <f t="shared" si="1"/>
        <v>-2.0455572240507536E-6</v>
      </c>
      <c r="U4" s="36">
        <f t="shared" si="1"/>
        <v>-2.0454528737445798E-6</v>
      </c>
      <c r="V4" s="36">
        <f t="shared" si="1"/>
        <v>-2.0455050702139488E-6</v>
      </c>
      <c r="W4" s="36">
        <f t="shared" si="1"/>
        <v>-2.0455572240507536E-6</v>
      </c>
      <c r="Y4" s="79"/>
      <c r="Z4" s="21" t="s">
        <v>32</v>
      </c>
      <c r="AA4" s="70">
        <f>I12+I2+Q32+C49</f>
        <v>46.000008867730152</v>
      </c>
      <c r="AB4" s="70">
        <f>J12+Q32+I3+G49</f>
        <v>92</v>
      </c>
      <c r="AC4" s="70">
        <f>K12+Q32+I4+E49</f>
        <v>46.000008867730152</v>
      </c>
      <c r="AD4" s="70">
        <f>L12+I5+Q32-B49</f>
        <v>-46.000008867730152</v>
      </c>
      <c r="AE4" s="70">
        <f>M12+I6+Q32-D49</f>
        <v>-92</v>
      </c>
      <c r="AF4" s="71">
        <f>N12+I7+Q32-F49</f>
        <v>-46.000008867730152</v>
      </c>
      <c r="AG4" s="80"/>
    </row>
    <row r="5" spans="1:33" x14ac:dyDescent="0.45">
      <c r="A5" s="2" t="s">
        <v>15</v>
      </c>
      <c r="B5" s="3"/>
      <c r="C5" s="44">
        <v>35</v>
      </c>
      <c r="H5" s="21">
        <v>4</v>
      </c>
      <c r="I5" s="47">
        <f>-G2</f>
        <v>-22.5</v>
      </c>
      <c r="J5" s="48">
        <f>-G3</f>
        <v>-38.97114317029974</v>
      </c>
      <c r="P5" s="22" t="s">
        <v>12</v>
      </c>
      <c r="Q5" s="22"/>
      <c r="R5" s="39">
        <f t="shared" ref="R5:W5" si="2">AA29</f>
        <v>-1.067633130584511E-2</v>
      </c>
      <c r="S5" s="39">
        <f t="shared" si="2"/>
        <v>-1.0676467476827156E-2</v>
      </c>
      <c r="T5" s="39">
        <f t="shared" si="2"/>
        <v>-1.0676603647738148E-2</v>
      </c>
      <c r="U5" s="39">
        <f t="shared" si="2"/>
        <v>-1.067633130584511E-2</v>
      </c>
      <c r="V5" s="39">
        <f t="shared" si="2"/>
        <v>-1.0676467476827156E-2</v>
      </c>
      <c r="W5" s="39">
        <f t="shared" si="2"/>
        <v>-1.0676603647738148E-2</v>
      </c>
      <c r="Y5" s="79"/>
      <c r="Z5" s="21" t="s">
        <v>31</v>
      </c>
      <c r="AA5" s="70">
        <f>I14+J2+Q34+C51</f>
        <v>79.674332028380675</v>
      </c>
      <c r="AB5" s="70">
        <f>J14+Q34+J3+G51</f>
        <v>0</v>
      </c>
      <c r="AC5" s="70">
        <f>K14+J4+Q34+E51</f>
        <v>-79.674332028380675</v>
      </c>
      <c r="AD5" s="70">
        <f>L14+J5+Q34+B51</f>
        <v>-79.674332028380675</v>
      </c>
      <c r="AE5" s="70">
        <f>M14+J6+Q34+D51</f>
        <v>0</v>
      </c>
      <c r="AF5" s="71">
        <f>N14+J7+Q34+F51</f>
        <v>79.674332028380675</v>
      </c>
      <c r="AG5" s="80"/>
    </row>
    <row r="6" spans="1:33" x14ac:dyDescent="0.45">
      <c r="A6" s="5" t="s">
        <v>16</v>
      </c>
      <c r="B6" s="6"/>
      <c r="C6" s="59">
        <v>72</v>
      </c>
      <c r="H6" s="21">
        <v>5</v>
      </c>
      <c r="I6" s="47">
        <f>-G4</f>
        <v>-45</v>
      </c>
      <c r="J6" s="48">
        <v>0</v>
      </c>
      <c r="P6" s="1"/>
      <c r="Q6" s="72"/>
      <c r="R6" s="60">
        <f t="shared" ref="R6:W6" si="3">(R3+90)/180*1800+600</f>
        <v>1480.4284292133784</v>
      </c>
      <c r="S6" s="60">
        <f t="shared" si="3"/>
        <v>1480.428304439951</v>
      </c>
      <c r="T6" s="60">
        <f t="shared" si="3"/>
        <v>1480.4281796665243</v>
      </c>
      <c r="U6" s="60">
        <f t="shared" si="3"/>
        <v>1480.4284292133784</v>
      </c>
      <c r="V6" s="60">
        <f t="shared" si="3"/>
        <v>1480.4283044399513</v>
      </c>
      <c r="W6" s="61">
        <f t="shared" si="3"/>
        <v>1480.4281796665246</v>
      </c>
      <c r="Y6" s="79"/>
      <c r="Z6" s="21" t="s">
        <v>91</v>
      </c>
      <c r="AA6" s="70">
        <f>I13+C50</f>
        <v>72</v>
      </c>
      <c r="AB6" s="70">
        <f>J13+G50</f>
        <v>72</v>
      </c>
      <c r="AC6" s="70">
        <f>K13+E50</f>
        <v>72</v>
      </c>
      <c r="AD6" s="70">
        <f>L13+B50</f>
        <v>72</v>
      </c>
      <c r="AE6" s="70">
        <f>M13+D50</f>
        <v>72</v>
      </c>
      <c r="AF6" s="71">
        <f>N13+F50</f>
        <v>72</v>
      </c>
      <c r="AG6" s="80"/>
    </row>
    <row r="7" spans="1:33" x14ac:dyDescent="0.45">
      <c r="A7" s="23" t="s">
        <v>58</v>
      </c>
      <c r="B7" s="11"/>
      <c r="C7" s="11"/>
      <c r="D7" s="11"/>
      <c r="E7" s="12"/>
      <c r="H7" s="22">
        <v>6</v>
      </c>
      <c r="I7" s="49">
        <f>-G2</f>
        <v>-22.5</v>
      </c>
      <c r="J7" s="50">
        <f>G3</f>
        <v>38.97114317029974</v>
      </c>
      <c r="P7" s="2"/>
      <c r="Q7" s="4"/>
      <c r="R7" s="51">
        <f t="shared" ref="R7:W7" si="4">(R4+90)/180*1800+600</f>
        <v>1499.9999795454712</v>
      </c>
      <c r="S7" s="51">
        <f t="shared" si="4"/>
        <v>1499.9999795449494</v>
      </c>
      <c r="T7" s="51">
        <f t="shared" si="4"/>
        <v>1499.9999795444278</v>
      </c>
      <c r="U7" s="51">
        <f t="shared" si="4"/>
        <v>1499.9999795454712</v>
      </c>
      <c r="V7" s="51">
        <f t="shared" si="4"/>
        <v>1499.9999795449494</v>
      </c>
      <c r="W7" s="52">
        <f t="shared" si="4"/>
        <v>1499.9999795444278</v>
      </c>
      <c r="Y7" s="79"/>
      <c r="Z7" s="21" t="s">
        <v>86</v>
      </c>
      <c r="AA7" s="70">
        <f>SIN(Q36*PI()/180)</f>
        <v>0</v>
      </c>
      <c r="AB7" s="70">
        <f>SIN(Q36*PI()/180)</f>
        <v>0</v>
      </c>
      <c r="AC7" s="70">
        <f>SIN(Q36*PI()/180)</f>
        <v>0</v>
      </c>
      <c r="AD7" s="70">
        <f>SIN(Q36*PI()/180)</f>
        <v>0</v>
      </c>
      <c r="AE7" s="70">
        <f>SIN(Q36*PI()/180)</f>
        <v>0</v>
      </c>
      <c r="AF7" s="71">
        <f>SIN(Q36*PI()/180)</f>
        <v>0</v>
      </c>
      <c r="AG7" s="80"/>
    </row>
    <row r="8" spans="1:33" x14ac:dyDescent="0.45">
      <c r="A8" s="24" t="s">
        <v>0</v>
      </c>
      <c r="B8" s="18" t="s">
        <v>4</v>
      </c>
      <c r="C8" s="18" t="s">
        <v>5</v>
      </c>
      <c r="D8" s="18" t="s">
        <v>6</v>
      </c>
      <c r="E8" s="19" t="s">
        <v>7</v>
      </c>
      <c r="P8" s="5"/>
      <c r="Q8" s="7"/>
      <c r="R8" s="53">
        <f t="shared" ref="R8:W8" si="5">(R5+90)/180*1800+600</f>
        <v>1499.8932366869417</v>
      </c>
      <c r="S8" s="53">
        <f t="shared" si="5"/>
        <v>1499.8932353252317</v>
      </c>
      <c r="T8" s="53">
        <f t="shared" si="5"/>
        <v>1499.8932339635226</v>
      </c>
      <c r="U8" s="53">
        <f t="shared" si="5"/>
        <v>1499.8932366869417</v>
      </c>
      <c r="V8" s="53">
        <f t="shared" si="5"/>
        <v>1499.8932353252317</v>
      </c>
      <c r="W8" s="62">
        <f t="shared" si="5"/>
        <v>1499.8932339635226</v>
      </c>
      <c r="Y8" s="79"/>
      <c r="Z8" s="21" t="s">
        <v>85</v>
      </c>
      <c r="AA8" s="70">
        <f>COS(Q36*PI()/180)</f>
        <v>1</v>
      </c>
      <c r="AB8" s="70">
        <f>COS(Q36*PI()/180)</f>
        <v>1</v>
      </c>
      <c r="AC8" s="70">
        <f>COS(Q36*PI()/180)</f>
        <v>1</v>
      </c>
      <c r="AD8" s="70">
        <f>COS(Q36*PI()/180)</f>
        <v>1</v>
      </c>
      <c r="AE8" s="70">
        <f>COS(Q36*PI()/180)</f>
        <v>1</v>
      </c>
      <c r="AF8" s="71">
        <f>COS(Q36*PI()/180)</f>
        <v>1</v>
      </c>
      <c r="AG8" s="80"/>
    </row>
    <row r="9" spans="1:33" x14ac:dyDescent="0.45">
      <c r="A9" s="21">
        <v>1</v>
      </c>
      <c r="B9" s="47">
        <f>I7</f>
        <v>-22.5</v>
      </c>
      <c r="C9" s="47">
        <f>J7</f>
        <v>38.97114317029974</v>
      </c>
      <c r="D9" s="47">
        <f t="shared" ref="D9:E14" si="6">I2</f>
        <v>22.5</v>
      </c>
      <c r="E9" s="48">
        <f t="shared" si="6"/>
        <v>38.97114317029974</v>
      </c>
      <c r="Y9" s="79"/>
      <c r="Z9" s="21" t="s">
        <v>87</v>
      </c>
      <c r="AA9" s="70">
        <f>SIN(Q38*PI()/180)</f>
        <v>0</v>
      </c>
      <c r="AB9" s="70">
        <f>SIN(Q38*PI()/180)</f>
        <v>0</v>
      </c>
      <c r="AC9" s="70">
        <f>SIN(Q38*PI()/180)</f>
        <v>0</v>
      </c>
      <c r="AD9" s="70">
        <f>SIN(Q38*PI()/180)</f>
        <v>0</v>
      </c>
      <c r="AE9" s="70">
        <f>SIN(Q38*PI()/180)</f>
        <v>0</v>
      </c>
      <c r="AF9" s="71">
        <f>SIN(Q38*PI()/180)</f>
        <v>0</v>
      </c>
      <c r="AG9" s="80"/>
    </row>
    <row r="10" spans="1:33" x14ac:dyDescent="0.45">
      <c r="A10" s="21">
        <v>2</v>
      </c>
      <c r="B10" s="47">
        <f t="shared" ref="B10:C14" si="7">I2</f>
        <v>22.5</v>
      </c>
      <c r="C10" s="47">
        <f t="shared" si="7"/>
        <v>38.97114317029974</v>
      </c>
      <c r="D10" s="47">
        <f t="shared" si="6"/>
        <v>45</v>
      </c>
      <c r="E10" s="48">
        <f t="shared" si="6"/>
        <v>0</v>
      </c>
      <c r="G10" s="8" t="s">
        <v>40</v>
      </c>
      <c r="H10" s="13"/>
      <c r="I10" s="13"/>
      <c r="J10" s="9"/>
      <c r="K10" s="9"/>
      <c r="L10" s="9"/>
      <c r="M10" s="9"/>
      <c r="N10" s="10"/>
      <c r="Y10" s="79"/>
      <c r="Z10" s="21" t="s">
        <v>88</v>
      </c>
      <c r="AA10" s="70">
        <f>COS(Q38*PI()/180)</f>
        <v>1</v>
      </c>
      <c r="AB10" s="70">
        <f>COS(Q38*PI()/180)</f>
        <v>1</v>
      </c>
      <c r="AC10" s="70">
        <f>COS(Q38*PI()/180)</f>
        <v>1</v>
      </c>
      <c r="AD10" s="70">
        <f>COS(Q38*PI()/180)</f>
        <v>1</v>
      </c>
      <c r="AE10" s="70">
        <f>COS(Q38*PI()/180)</f>
        <v>1</v>
      </c>
      <c r="AF10" s="71">
        <f>COS(Q38*PI()/180)</f>
        <v>1</v>
      </c>
      <c r="AG10" s="80"/>
    </row>
    <row r="11" spans="1:33" x14ac:dyDescent="0.45">
      <c r="A11" s="21">
        <v>3</v>
      </c>
      <c r="B11" s="47">
        <f t="shared" si="7"/>
        <v>45</v>
      </c>
      <c r="C11" s="47">
        <f t="shared" si="7"/>
        <v>0</v>
      </c>
      <c r="D11" s="47">
        <f t="shared" si="6"/>
        <v>22.5</v>
      </c>
      <c r="E11" s="48">
        <f t="shared" si="6"/>
        <v>-38.97114317029974</v>
      </c>
      <c r="G11" s="15" t="s">
        <v>9</v>
      </c>
      <c r="H11" s="17"/>
      <c r="I11" s="16">
        <v>1</v>
      </c>
      <c r="J11" s="16">
        <v>2</v>
      </c>
      <c r="K11" s="16">
        <v>3</v>
      </c>
      <c r="L11" s="16">
        <v>4</v>
      </c>
      <c r="M11" s="16">
        <v>5</v>
      </c>
      <c r="N11" s="17">
        <v>6</v>
      </c>
      <c r="P11" s="8" t="s">
        <v>29</v>
      </c>
      <c r="Q11" s="13"/>
      <c r="R11" s="13"/>
      <c r="S11" s="9"/>
      <c r="T11" s="9"/>
      <c r="U11" s="9"/>
      <c r="V11" s="9"/>
      <c r="W11" s="10"/>
      <c r="Y11" s="79"/>
      <c r="Z11" s="21" t="s">
        <v>89</v>
      </c>
      <c r="AA11" s="70">
        <f>SIN(Q37*PI()/180)</f>
        <v>1.7452406437283512E-2</v>
      </c>
      <c r="AB11" s="70">
        <f>SIN(Q37*PI()/180)</f>
        <v>1.7452406437283512E-2</v>
      </c>
      <c r="AC11" s="70">
        <f>SIN(Q37*PI()/180)</f>
        <v>1.7452406437283512E-2</v>
      </c>
      <c r="AD11" s="70">
        <f>SIN(Q37*PI()/180)</f>
        <v>1.7452406437283512E-2</v>
      </c>
      <c r="AE11" s="70">
        <f>SIN(Q37*PI()/180)</f>
        <v>1.7452406437283512E-2</v>
      </c>
      <c r="AF11" s="71">
        <f>SIN(Q37*PI()/180)</f>
        <v>1.7452406437283512E-2</v>
      </c>
      <c r="AG11" s="80"/>
    </row>
    <row r="12" spans="1:33" x14ac:dyDescent="0.45">
      <c r="A12" s="21">
        <v>4</v>
      </c>
      <c r="B12" s="47">
        <f t="shared" si="7"/>
        <v>22.5</v>
      </c>
      <c r="C12" s="47">
        <f t="shared" si="7"/>
        <v>-38.97114317029974</v>
      </c>
      <c r="D12" s="47">
        <f t="shared" si="6"/>
        <v>-22.5</v>
      </c>
      <c r="E12" s="48">
        <f t="shared" si="6"/>
        <v>-38.97114317029974</v>
      </c>
      <c r="G12" s="2" t="s">
        <v>37</v>
      </c>
      <c r="H12" s="4"/>
      <c r="I12" s="41">
        <f>COS(60/180*3.141592)*(C4+C5)</f>
        <v>23.500008867730152</v>
      </c>
      <c r="J12" s="34">
        <f>C4+C5</f>
        <v>47</v>
      </c>
      <c r="K12" s="34">
        <f>COS(60/180*3.141592)*(C4+C5)</f>
        <v>23.500008867730152</v>
      </c>
      <c r="L12" s="34">
        <f>-COS(60/180*3.141592)*(C4+C5)</f>
        <v>-23.500008867730152</v>
      </c>
      <c r="M12" s="34">
        <f>-(C4+C5)</f>
        <v>-47</v>
      </c>
      <c r="N12" s="35">
        <f>-COS(60/180*3.141592)*(C4+C5)</f>
        <v>-23.500008867730152</v>
      </c>
      <c r="P12" s="86" t="s">
        <v>9</v>
      </c>
      <c r="Q12" s="85"/>
      <c r="R12" s="84">
        <v>1</v>
      </c>
      <c r="S12" s="84">
        <v>2</v>
      </c>
      <c r="T12" s="84">
        <v>3</v>
      </c>
      <c r="U12" s="84">
        <v>4</v>
      </c>
      <c r="V12" s="84">
        <v>5</v>
      </c>
      <c r="W12" s="85">
        <v>6</v>
      </c>
      <c r="Y12" s="79"/>
      <c r="Z12" s="21" t="s">
        <v>90</v>
      </c>
      <c r="AA12" s="70">
        <f>COS(Q37*PI()/180)</f>
        <v>0.99984769515639127</v>
      </c>
      <c r="AB12" s="70">
        <f>COS(Q37*PI()/180)</f>
        <v>0.99984769515639127</v>
      </c>
      <c r="AC12" s="70">
        <f>COS(Q37*PI()/180)</f>
        <v>0.99984769515639127</v>
      </c>
      <c r="AD12" s="70">
        <f>COS(Q37*PI()/180)</f>
        <v>0.99984769515639127</v>
      </c>
      <c r="AE12" s="70">
        <f>COS(Q37*PI()/180)</f>
        <v>0.99984769515639127</v>
      </c>
      <c r="AF12" s="71">
        <f>COS(Q37*PI()/180)</f>
        <v>0.99984769515639127</v>
      </c>
      <c r="AG12" s="80"/>
    </row>
    <row r="13" spans="1:33" x14ac:dyDescent="0.45">
      <c r="A13" s="21">
        <v>5</v>
      </c>
      <c r="B13" s="47">
        <f t="shared" si="7"/>
        <v>-22.5</v>
      </c>
      <c r="C13" s="47">
        <f t="shared" si="7"/>
        <v>-38.97114317029974</v>
      </c>
      <c r="D13" s="47">
        <f t="shared" si="6"/>
        <v>-45</v>
      </c>
      <c r="E13" s="48">
        <f t="shared" si="6"/>
        <v>0</v>
      </c>
      <c r="G13" s="2" t="s">
        <v>38</v>
      </c>
      <c r="H13" s="4"/>
      <c r="I13" s="36">
        <f>C6</f>
        <v>72</v>
      </c>
      <c r="J13" s="37">
        <f>C6</f>
        <v>72</v>
      </c>
      <c r="K13" s="37">
        <f>C6</f>
        <v>72</v>
      </c>
      <c r="L13" s="37">
        <f>C6</f>
        <v>72</v>
      </c>
      <c r="M13" s="37">
        <f>C6</f>
        <v>72</v>
      </c>
      <c r="N13" s="38">
        <f>C6</f>
        <v>72</v>
      </c>
      <c r="P13" s="5" t="s">
        <v>25</v>
      </c>
      <c r="Q13" s="62"/>
      <c r="R13" s="40">
        <f t="shared" ref="R13:W13" si="8">AA24</f>
        <v>47.013413703129586</v>
      </c>
      <c r="S13" s="40">
        <f t="shared" si="8"/>
        <v>47.013413874181488</v>
      </c>
      <c r="T13" s="40">
        <f t="shared" si="8"/>
        <v>47.01341404523339</v>
      </c>
      <c r="U13" s="40">
        <f t="shared" si="8"/>
        <v>47.013413703129586</v>
      </c>
      <c r="V13" s="40">
        <f t="shared" si="8"/>
        <v>47.013413874181488</v>
      </c>
      <c r="W13" s="42">
        <f t="shared" si="8"/>
        <v>47.013414045233382</v>
      </c>
      <c r="Y13" s="79"/>
      <c r="Z13" s="21" t="s">
        <v>41</v>
      </c>
      <c r="AA13" s="76">
        <f>AA4*AA10*AA12-AA5*AA10*AA11+AA6*AA9 - AA4</f>
        <v>-1.3975148493349749</v>
      </c>
      <c r="AB13" s="76">
        <f t="shared" ref="AB13:AF13" si="9">AB4*AB10*AB12-AB5*AB10*AB11+AB6*AB9 - AB4</f>
        <v>-1.4012045612005863E-2</v>
      </c>
      <c r="AC13" s="76">
        <f t="shared" si="9"/>
        <v>1.3835028010217698</v>
      </c>
      <c r="AD13" s="76">
        <f t="shared" si="9"/>
        <v>1.3975148493349749</v>
      </c>
      <c r="AE13" s="76">
        <f t="shared" si="9"/>
        <v>1.4012045612005863E-2</v>
      </c>
      <c r="AF13" s="76">
        <f t="shared" si="9"/>
        <v>-1.3835028010217698</v>
      </c>
      <c r="AG13" s="80"/>
    </row>
    <row r="14" spans="1:33" x14ac:dyDescent="0.45">
      <c r="A14" s="22">
        <v>6</v>
      </c>
      <c r="B14" s="49">
        <f t="shared" si="7"/>
        <v>-45</v>
      </c>
      <c r="C14" s="49">
        <f t="shared" si="7"/>
        <v>0</v>
      </c>
      <c r="D14" s="49">
        <f t="shared" si="6"/>
        <v>-22.5</v>
      </c>
      <c r="E14" s="50">
        <f t="shared" si="6"/>
        <v>38.97114317029974</v>
      </c>
      <c r="G14" s="5" t="s">
        <v>39</v>
      </c>
      <c r="H14" s="7"/>
      <c r="I14" s="39">
        <f>SIN(60/180*3.141592)*(C4+C5)</f>
        <v>40.703188858080935</v>
      </c>
      <c r="J14" s="40">
        <v>0</v>
      </c>
      <c r="K14" s="40">
        <f>SIN(-60/180*3.141592)*(C4+C5)</f>
        <v>-40.703188858080935</v>
      </c>
      <c r="L14" s="40">
        <f>SIN(-60/180*3.141592)*(C4+C5)</f>
        <v>-40.703188858080935</v>
      </c>
      <c r="M14" s="40">
        <v>0</v>
      </c>
      <c r="N14" s="42">
        <f>SIN(60/180*3.141592)*(C4+C5)</f>
        <v>40.703188858080935</v>
      </c>
      <c r="P14" s="66" t="s">
        <v>60</v>
      </c>
      <c r="Q14" s="61"/>
      <c r="R14" s="34">
        <f t="shared" ref="R14:W14" si="10">R28</f>
        <v>72</v>
      </c>
      <c r="S14" s="34">
        <f t="shared" si="10"/>
        <v>72</v>
      </c>
      <c r="T14" s="34">
        <f t="shared" si="10"/>
        <v>72</v>
      </c>
      <c r="U14" s="34">
        <f t="shared" si="10"/>
        <v>72</v>
      </c>
      <c r="V14" s="34">
        <f t="shared" si="10"/>
        <v>72</v>
      </c>
      <c r="W14" s="34">
        <f t="shared" si="10"/>
        <v>72</v>
      </c>
      <c r="Y14" s="79"/>
      <c r="Z14" s="21" t="s">
        <v>42</v>
      </c>
      <c r="AA14" s="76">
        <f>(AA4*AA8*AA11+AA4*AA12*AA9*AA7+AA5*AA12*AA8-AA5*AA11*AA9*AA7-AA6*AA10*AA7)-AA5</f>
        <v>0.79067606419906156</v>
      </c>
      <c r="AB14" s="76">
        <f t="shared" ref="AA14:AF14" si="11">(AB4*AB8*AB11+AB4*AB12*AB9*AB7+AB5*AB12*AB8-AB5*AB11*AB9*AB7-AB6*AB10*AB7)-AB5</f>
        <v>1.605621392230083</v>
      </c>
      <c r="AC14" s="76">
        <f t="shared" si="11"/>
        <v>0.81494563755748572</v>
      </c>
      <c r="AD14" s="76">
        <f t="shared" si="11"/>
        <v>-0.79067606419906156</v>
      </c>
      <c r="AE14" s="76">
        <f t="shared" si="11"/>
        <v>-1.605621392230083</v>
      </c>
      <c r="AF14" s="82">
        <f t="shared" si="11"/>
        <v>-0.81494563755748572</v>
      </c>
      <c r="AG14" s="80"/>
    </row>
    <row r="15" spans="1:33" x14ac:dyDescent="0.45">
      <c r="P15" s="64" t="s">
        <v>61</v>
      </c>
      <c r="Q15" s="52"/>
      <c r="R15" s="37">
        <f>R28</f>
        <v>72</v>
      </c>
      <c r="S15" s="37">
        <f t="shared" ref="S15:W15" si="12">S28</f>
        <v>72</v>
      </c>
      <c r="T15" s="37">
        <f t="shared" si="12"/>
        <v>72</v>
      </c>
      <c r="U15" s="37">
        <f t="shared" si="12"/>
        <v>72</v>
      </c>
      <c r="V15" s="37">
        <f t="shared" si="12"/>
        <v>72</v>
      </c>
      <c r="W15" s="37">
        <f t="shared" si="12"/>
        <v>72</v>
      </c>
      <c r="Y15" s="79"/>
      <c r="Z15" s="22" t="s">
        <v>43</v>
      </c>
      <c r="AA15" s="77">
        <f xml:space="preserve"> (AA4*AA11*AA7 - AA4*AA12*AA8*AA9 + AA5*AA12*AA7 + AA5*AA8*AA11*AA9 + AA6*AA10*AA8) - AA6</f>
        <v>0</v>
      </c>
      <c r="AB15" s="77">
        <f xml:space="preserve"> (AB4*AB11*AB7 - AB4*AB12*AB8*AB9 + AB5*AB12*AB7 + AB5*AB8*AB11*AB9 + AB6*AB10*AB8)-AB6</f>
        <v>0</v>
      </c>
      <c r="AC15" s="77">
        <f xml:space="preserve"> (AC4*AC11*AC7 - AC4*AC12*AC8*AC9 + AC5*AC12*AC7 + AC5*AC8*AC11*AC9 + AC6*AC10*AC8)-AC6</f>
        <v>0</v>
      </c>
      <c r="AD15" s="77">
        <f>(AD4*AD11*AD7 - AD4*AD12*AD8*AD9 + AD5*AD12*AD7 + AD5*AD8*AD11*AD9 + AD6*AD10*AD8)-AD6</f>
        <v>0</v>
      </c>
      <c r="AE15" s="77">
        <f xml:space="preserve"> (AE4*AE11*AE7 - AE4*AE12*AE8*AE9 + AE5*AE12*AE7 + AE5*AE8*AE11*AE9 + AE6*AE10*AE8)-AE6</f>
        <v>0</v>
      </c>
      <c r="AF15" s="83">
        <f xml:space="preserve"> (AF4*AF11*AF7 - AF4*AF12*AF8*AF9 + AF5*AF12*AF7 + AF5*AF8*AF11*AF9 + AF6*AF10*AF8)-AF6</f>
        <v>0</v>
      </c>
      <c r="AG15" s="80"/>
    </row>
    <row r="16" spans="1:33" x14ac:dyDescent="0.45">
      <c r="E16" s="55" t="s">
        <v>3</v>
      </c>
      <c r="F16" s="13" t="s">
        <v>1</v>
      </c>
      <c r="G16" s="13" t="s">
        <v>2</v>
      </c>
      <c r="H16" s="14" t="s">
        <v>56</v>
      </c>
      <c r="P16" s="65" t="s">
        <v>62</v>
      </c>
      <c r="Q16" s="52"/>
      <c r="R16" s="37">
        <f>F17</f>
        <v>0</v>
      </c>
      <c r="S16" s="37">
        <f>F17</f>
        <v>0</v>
      </c>
      <c r="T16" s="37">
        <f>F17</f>
        <v>0</v>
      </c>
      <c r="U16" s="37">
        <f>F17</f>
        <v>0</v>
      </c>
      <c r="V16" s="37">
        <f>F17</f>
        <v>0</v>
      </c>
      <c r="W16" s="38">
        <f>F17</f>
        <v>0</v>
      </c>
      <c r="Z16" s="32" t="s">
        <v>53</v>
      </c>
      <c r="AA16" s="100">
        <f>I12+AA13+B49+Q32</f>
        <v>22.102494018395177</v>
      </c>
      <c r="AB16" s="100">
        <f>J12+AB13+C49+Q32</f>
        <v>46.985987954387994</v>
      </c>
      <c r="AC16" s="100">
        <f>K12+AC13+D49+Q32</f>
        <v>24.883511668751922</v>
      </c>
      <c r="AD16" s="100">
        <f>L12+AD13+E49+Q32</f>
        <v>-22.102494018395177</v>
      </c>
      <c r="AE16" s="100">
        <f>M12+AE13+F49+Q32</f>
        <v>-46.985987954387994</v>
      </c>
      <c r="AF16" s="100">
        <f>N12+AF13+G49+Q32</f>
        <v>-24.883511668751922</v>
      </c>
    </row>
    <row r="17" spans="5:33" x14ac:dyDescent="0.45">
      <c r="E17" s="5" t="s">
        <v>59</v>
      </c>
      <c r="F17" s="54">
        <v>0</v>
      </c>
      <c r="G17" s="54">
        <v>0</v>
      </c>
      <c r="H17" s="99">
        <f>C6</f>
        <v>72</v>
      </c>
      <c r="P17" s="64" t="s">
        <v>63</v>
      </c>
      <c r="Q17" s="52"/>
      <c r="R17" s="37">
        <f>C4</f>
        <v>12</v>
      </c>
      <c r="S17" s="37">
        <f>C4</f>
        <v>12</v>
      </c>
      <c r="T17" s="37">
        <f>C4</f>
        <v>12</v>
      </c>
      <c r="U17" s="37">
        <f>-C4</f>
        <v>-12</v>
      </c>
      <c r="V17" s="37">
        <f>-C4</f>
        <v>-12</v>
      </c>
      <c r="W17" s="38">
        <f>-C4</f>
        <v>-12</v>
      </c>
      <c r="Z17" s="30" t="s">
        <v>55</v>
      </c>
      <c r="AA17" s="100">
        <f>I14+AA14+B51+Q34</f>
        <v>41.493864922279997</v>
      </c>
      <c r="AB17" s="100">
        <f>J14+AB14+C51+Q34</f>
        <v>1.605621392230083</v>
      </c>
      <c r="AC17" s="100">
        <f>K14+AC14+D51+Q34</f>
        <v>-39.888243220523449</v>
      </c>
      <c r="AD17" s="100">
        <f>L14+AD14+E51+Q34</f>
        <v>-41.493864922279997</v>
      </c>
      <c r="AE17" s="100">
        <f>M14+AE14+F51+Q34</f>
        <v>-1.605621392230083</v>
      </c>
      <c r="AF17" s="100">
        <f>N14+AF14+G51+Q34</f>
        <v>39.888243220523449</v>
      </c>
    </row>
    <row r="18" spans="5:33" x14ac:dyDescent="0.45">
      <c r="P18" s="2" t="s">
        <v>64</v>
      </c>
      <c r="Q18" s="52"/>
      <c r="R18" s="37">
        <f t="shared" ref="R18:W18" si="13">R15</f>
        <v>72</v>
      </c>
      <c r="S18" s="37">
        <f t="shared" si="13"/>
        <v>72</v>
      </c>
      <c r="T18" s="37">
        <f t="shared" si="13"/>
        <v>72</v>
      </c>
      <c r="U18" s="37">
        <f t="shared" si="13"/>
        <v>72</v>
      </c>
      <c r="V18" s="37">
        <f t="shared" si="13"/>
        <v>72</v>
      </c>
      <c r="W18" s="38">
        <f t="shared" si="13"/>
        <v>72</v>
      </c>
      <c r="Z18" s="30" t="s">
        <v>54</v>
      </c>
      <c r="AA18" s="100">
        <f>I13+AA15+B50+Q33</f>
        <v>72</v>
      </c>
      <c r="AB18" s="100">
        <f>J13+AB15+C50+Q33</f>
        <v>72</v>
      </c>
      <c r="AC18" s="100">
        <f>K13+AC15+D50+Q33</f>
        <v>72</v>
      </c>
      <c r="AD18" s="100">
        <f>L13+AD15+E50+Q33</f>
        <v>72</v>
      </c>
      <c r="AE18" s="100">
        <f>M13+AE15+F50+Q33</f>
        <v>72</v>
      </c>
      <c r="AF18" s="100">
        <f>N13+AF15+G50+Q33</f>
        <v>72</v>
      </c>
    </row>
    <row r="19" spans="5:33" x14ac:dyDescent="0.45">
      <c r="P19" s="64" t="s">
        <v>65</v>
      </c>
      <c r="Q19" s="52"/>
      <c r="R19" s="37">
        <f>R18 - C5*SIN(R4*PI()/180)</f>
        <v>72.000001249496052</v>
      </c>
      <c r="S19" s="37">
        <f>S18-C5*SIN(S4*PI()/180)</f>
        <v>72.000001249527941</v>
      </c>
      <c r="T19" s="37">
        <f>T18-C5*SIN(T4*PI()/180)</f>
        <v>72.000001249559801</v>
      </c>
      <c r="U19" s="37">
        <f>U18-C5*SIN(U4*PI()/180)</f>
        <v>72.000001249496052</v>
      </c>
      <c r="V19" s="37">
        <f>V18-C5*SIN(V4*PI()/180)</f>
        <v>72.000001249527941</v>
      </c>
      <c r="W19" s="38">
        <f>W18-C5*SIN(W4*PI()/180)</f>
        <v>72.000001249559801</v>
      </c>
      <c r="Y19" s="79"/>
      <c r="Z19" s="8" t="s">
        <v>44</v>
      </c>
      <c r="AA19" s="10"/>
      <c r="AB19" s="11"/>
      <c r="AC19" s="11"/>
      <c r="AD19" s="11"/>
      <c r="AE19" s="11"/>
      <c r="AF19" s="12"/>
      <c r="AG19" s="80"/>
    </row>
    <row r="20" spans="5:33" x14ac:dyDescent="0.45">
      <c r="P20" s="2" t="s">
        <v>66</v>
      </c>
      <c r="Q20" s="52"/>
      <c r="R20" s="37">
        <f t="shared" ref="R20:W20" si="14">R17</f>
        <v>12</v>
      </c>
      <c r="S20" s="37">
        <f t="shared" si="14"/>
        <v>12</v>
      </c>
      <c r="T20" s="37">
        <f t="shared" si="14"/>
        <v>12</v>
      </c>
      <c r="U20" s="37">
        <f t="shared" si="14"/>
        <v>-12</v>
      </c>
      <c r="V20" s="37">
        <f t="shared" si="14"/>
        <v>-12</v>
      </c>
      <c r="W20" s="38">
        <f t="shared" si="14"/>
        <v>-12</v>
      </c>
      <c r="Y20" s="79"/>
      <c r="Z20" s="63" t="s">
        <v>33</v>
      </c>
      <c r="AA20" s="26">
        <v>1</v>
      </c>
      <c r="AB20" s="18">
        <v>2</v>
      </c>
      <c r="AC20" s="18">
        <v>3</v>
      </c>
      <c r="AD20" s="18">
        <v>4</v>
      </c>
      <c r="AE20" s="18">
        <v>5</v>
      </c>
      <c r="AF20" s="19">
        <v>6</v>
      </c>
      <c r="AG20" s="80"/>
    </row>
    <row r="21" spans="5:33" x14ac:dyDescent="0.45">
      <c r="P21" s="64" t="s">
        <v>67</v>
      </c>
      <c r="Q21" s="52"/>
      <c r="R21" s="37">
        <f>C5*COS(R4*PI()/180)+R20</f>
        <v>46.999999999999979</v>
      </c>
      <c r="S21" s="37">
        <f>C5*COS(-S4*PI()/180)+S20</f>
        <v>46.999999999999979</v>
      </c>
      <c r="T21" s="37">
        <f>C5*COS(-T4*PI()/180)+T20</f>
        <v>46.999999999999979</v>
      </c>
      <c r="U21" s="37">
        <f>-C5*COS(U4*PI()/180)+U20</f>
        <v>-46.999999999999979</v>
      </c>
      <c r="V21" s="37">
        <f>-C5*COS(V4*PI()/180)+V20</f>
        <v>-46.999999999999979</v>
      </c>
      <c r="W21" s="38">
        <f>-C5*COS(W4*PI()/180)+W20</f>
        <v>-46.999999999999979</v>
      </c>
      <c r="Y21" s="79"/>
      <c r="Z21" s="30" t="s">
        <v>103</v>
      </c>
      <c r="AA21" s="78">
        <f>AA16*COS(30/180*PI())-AA17*SIN(30/180*PI())</f>
        <v>-1.6056111542161702</v>
      </c>
      <c r="AB21" s="78">
        <f>AB16*COS(90/180*PI())-AB17*SIN(90/180*PI())</f>
        <v>-1.6056213922300802</v>
      </c>
      <c r="AC21" s="78">
        <f>AC16*COS(150/180*PI())-AC17*SIN(150/180*PI())</f>
        <v>-1.6056316302439555</v>
      </c>
      <c r="AD21" s="78">
        <f>AD16*COS(210/180*PI())-AD17*SIN(210/180*PI())</f>
        <v>-1.6056111542161808</v>
      </c>
      <c r="AE21" s="78">
        <f>AE16*COS(270/180*PI())-AE17*SIN(270/180*PI())</f>
        <v>-1.6056213922300744</v>
      </c>
      <c r="AF21" s="78">
        <f>AF16*COS(330/180*PI())-AF17*SIN(330/180*PI())</f>
        <v>-1.6056316302439235</v>
      </c>
      <c r="AG21" s="80"/>
    </row>
    <row r="22" spans="5:33" x14ac:dyDescent="0.45">
      <c r="P22" s="65" t="s">
        <v>68</v>
      </c>
      <c r="Q22" s="52"/>
      <c r="R22" s="37">
        <f t="shared" ref="R22:W22" si="15">R19</f>
        <v>72.000001249496052</v>
      </c>
      <c r="S22" s="37">
        <f t="shared" si="15"/>
        <v>72.000001249527941</v>
      </c>
      <c r="T22" s="37">
        <f t="shared" si="15"/>
        <v>72.000001249559801</v>
      </c>
      <c r="U22" s="37">
        <f t="shared" si="15"/>
        <v>72.000001249496052</v>
      </c>
      <c r="V22" s="37">
        <f t="shared" si="15"/>
        <v>72.000001249527941</v>
      </c>
      <c r="W22" s="38">
        <f t="shared" si="15"/>
        <v>72.000001249559801</v>
      </c>
      <c r="Y22" s="79"/>
      <c r="Z22" s="30" t="s">
        <v>105</v>
      </c>
      <c r="AA22" s="78">
        <f>AA16*SIN(30/180*PI())+AA17*COS(30/180*PI())</f>
        <v>46.985988133092079</v>
      </c>
      <c r="AB22" s="78">
        <f>AB16*SIN(90/180*PI())+AB17*COS(90/180*PI())</f>
        <v>46.985987954387994</v>
      </c>
      <c r="AC22" s="78">
        <f>AC16*SIN(150/180*PI())+AC17*COS(150/180*PI())</f>
        <v>46.985987775681679</v>
      </c>
      <c r="AD22" s="78">
        <f>AD16*SIN(210/180*PI())+AD17*COS(210/180*PI())</f>
        <v>46.985988133092079</v>
      </c>
      <c r="AE22" s="78">
        <f>AE16*SIN(270/180*PI())+AE17*COS(270/180*PI())</f>
        <v>46.985987954387994</v>
      </c>
      <c r="AF22" s="78">
        <f>AF16*SIN(330/180*PI())+AF17*COS(330/180*PI())</f>
        <v>46.985987775681679</v>
      </c>
      <c r="AG22" s="80"/>
    </row>
    <row r="23" spans="5:33" x14ac:dyDescent="0.45">
      <c r="P23" s="64" t="s">
        <v>69</v>
      </c>
      <c r="Q23" s="52"/>
      <c r="R23" s="37">
        <f>R19-C6*COS(R5*PI()/180)</f>
        <v>2.4994710372538975E-6</v>
      </c>
      <c r="S23" s="37">
        <f>S19-C6*COS(S5*PI()/180)</f>
        <v>2.4995348013590046E-6</v>
      </c>
      <c r="T23" s="37">
        <f>T19-C6*COS(T5*PI()/180)</f>
        <v>2.499598551253257E-6</v>
      </c>
      <c r="U23" s="37">
        <f>U19-C6*COS(U5*PI()/180)</f>
        <v>2.4994710372538975E-6</v>
      </c>
      <c r="V23" s="37">
        <f>V19-C6*COS(V5*PI()/180)</f>
        <v>2.4995348013590046E-6</v>
      </c>
      <c r="W23" s="38">
        <f>W19-C6*COS(W5*PI()/180)</f>
        <v>2.499598551253257E-6</v>
      </c>
      <c r="Y23" s="79"/>
      <c r="Z23" s="30" t="s">
        <v>104</v>
      </c>
      <c r="AA23" s="78">
        <f t="shared" ref="AA23:AF23" si="16">AA18</f>
        <v>72</v>
      </c>
      <c r="AB23" s="78">
        <f t="shared" si="16"/>
        <v>72</v>
      </c>
      <c r="AC23" s="78">
        <f t="shared" si="16"/>
        <v>72</v>
      </c>
      <c r="AD23" s="78">
        <f t="shared" si="16"/>
        <v>72</v>
      </c>
      <c r="AE23" s="78">
        <f t="shared" si="16"/>
        <v>72</v>
      </c>
      <c r="AF23" s="78">
        <f t="shared" si="16"/>
        <v>72</v>
      </c>
      <c r="AG23" s="80"/>
    </row>
    <row r="24" spans="5:33" x14ac:dyDescent="0.45">
      <c r="P24" s="65" t="s">
        <v>70</v>
      </c>
      <c r="Q24" s="52"/>
      <c r="R24" s="37">
        <f t="shared" ref="R24:W24" si="17">R21</f>
        <v>46.999999999999979</v>
      </c>
      <c r="S24" s="37">
        <f t="shared" si="17"/>
        <v>46.999999999999979</v>
      </c>
      <c r="T24" s="37">
        <f t="shared" si="17"/>
        <v>46.999999999999979</v>
      </c>
      <c r="U24" s="37">
        <f t="shared" si="17"/>
        <v>-46.999999999999979</v>
      </c>
      <c r="V24" s="37">
        <f t="shared" si="17"/>
        <v>-46.999999999999979</v>
      </c>
      <c r="W24" s="38">
        <f t="shared" si="17"/>
        <v>-46.999999999999979</v>
      </c>
      <c r="Y24" s="79"/>
      <c r="Z24" s="21" t="s">
        <v>45</v>
      </c>
      <c r="AA24" s="70">
        <f>SQRT(AA21*AA21+AA22*AA22)</f>
        <v>47.013413703129586</v>
      </c>
      <c r="AB24" s="70">
        <f t="shared" ref="AB24:AF24" si="18">SQRT(AB21*AB21+AB22*AB22)</f>
        <v>47.013413874181488</v>
      </c>
      <c r="AC24" s="70">
        <f t="shared" si="18"/>
        <v>47.01341404523339</v>
      </c>
      <c r="AD24" s="70">
        <f t="shared" si="18"/>
        <v>47.013413703129586</v>
      </c>
      <c r="AE24" s="70">
        <f t="shared" si="18"/>
        <v>47.013413874181488</v>
      </c>
      <c r="AF24" s="70">
        <f t="shared" si="18"/>
        <v>47.013414045233382</v>
      </c>
      <c r="AG24" s="80"/>
    </row>
    <row r="25" spans="5:33" x14ac:dyDescent="0.45">
      <c r="P25" s="67" t="s">
        <v>71</v>
      </c>
      <c r="Q25" s="62"/>
      <c r="R25" s="40">
        <f>R24-SIN(R5*PI()/180)*C6</f>
        <v>47.013416273521436</v>
      </c>
      <c r="S25" s="40">
        <f>S24-SIN(S5*PI()/180)*C6</f>
        <v>47.013416444638935</v>
      </c>
      <c r="T25" s="40">
        <f>T24-SIN(T5*PI()/180)*C6</f>
        <v>47.013416615756341</v>
      </c>
      <c r="U25" s="40">
        <f>U24+SIN(U5*PI()/180)*C6</f>
        <v>-47.013416273521436</v>
      </c>
      <c r="V25" s="40">
        <f>V24+SIN(V5*PI()/180)*C6</f>
        <v>-47.013416444638935</v>
      </c>
      <c r="W25" s="42">
        <f>W24+SIN(W5*PI()/180)*C6</f>
        <v>-47.013416615756341</v>
      </c>
      <c r="Y25" s="79"/>
      <c r="Z25" s="21" t="s">
        <v>46</v>
      </c>
      <c r="AA25" s="70">
        <f>SQRT((AA24-C4)*(AA24-C4)+AA23*AA23)</f>
        <v>80.062095520580158</v>
      </c>
      <c r="AB25" s="70">
        <f>SQRT((AB24-C4)*(AB24-C4)+AB23*AB23)</f>
        <v>80.062095595385998</v>
      </c>
      <c r="AC25" s="70">
        <f>SQRT((AC24-C4)*(AC24-C4)+AC23*AC23)</f>
        <v>80.062095670191809</v>
      </c>
      <c r="AD25" s="70">
        <f>SQRT((AD24-C4)*(AD24-C4)+AD23*AD23)</f>
        <v>80.062095520580158</v>
      </c>
      <c r="AE25" s="70">
        <f>SQRT((AE24-C4)*(AE24-C4)+AE23*AE23)</f>
        <v>80.062095595385998</v>
      </c>
      <c r="AF25" s="71">
        <f>SQRT((AF24-C4)*(AF24-C4)+AF23*AF23)</f>
        <v>80.062095670191809</v>
      </c>
      <c r="AG25" s="80"/>
    </row>
    <row r="26" spans="5:33" x14ac:dyDescent="0.45">
      <c r="P26" s="2"/>
      <c r="Q26" s="52"/>
      <c r="R26" s="51"/>
      <c r="S26" s="51"/>
      <c r="T26" s="51"/>
      <c r="U26" s="51"/>
      <c r="V26" s="51"/>
      <c r="W26" s="52"/>
      <c r="Y26" s="79"/>
      <c r="Z26" s="21" t="s">
        <v>47</v>
      </c>
      <c r="AA26" s="70">
        <f>ATAN((AA24-C4)/AA23)</f>
        <v>0.45262557077228138</v>
      </c>
      <c r="AB26" s="70">
        <f>ATAN((AB24-C4)/AB23)</f>
        <v>0.45262557269363141</v>
      </c>
      <c r="AC26" s="70">
        <f>ATAN((AC24-C4)/AC23)</f>
        <v>0.45262557461498149</v>
      </c>
      <c r="AD26" s="70">
        <f>ATAN((AD24-C4)/AD23)</f>
        <v>0.45262557077228138</v>
      </c>
      <c r="AE26" s="70">
        <f>ATAN((AE24-C4)/AE23)</f>
        <v>0.45262557269363141</v>
      </c>
      <c r="AF26" s="71">
        <f>ATAN((AF24-C4)/AF23)</f>
        <v>0.45262557461498143</v>
      </c>
      <c r="AG26" s="80"/>
    </row>
    <row r="27" spans="5:33" x14ac:dyDescent="0.45">
      <c r="P27" s="1" t="s">
        <v>26</v>
      </c>
      <c r="Q27" s="61"/>
      <c r="R27" s="34">
        <f>AA16+I2</f>
        <v>44.602494018395177</v>
      </c>
      <c r="S27" s="34">
        <f>AB16+I3</f>
        <v>91.985987954387994</v>
      </c>
      <c r="T27" s="34">
        <f>AC16+I4</f>
        <v>47.383511668751922</v>
      </c>
      <c r="U27" s="34">
        <f>AD16+I5</f>
        <v>-44.602494018395177</v>
      </c>
      <c r="V27" s="34">
        <f>AE16+I6</f>
        <v>-91.985987954387994</v>
      </c>
      <c r="W27" s="35">
        <f>AF16+I7</f>
        <v>-47.383511668751922</v>
      </c>
      <c r="Y27" s="79"/>
      <c r="Z27" s="21" t="s">
        <v>48</v>
      </c>
      <c r="AA27" s="70">
        <f>ACOS((C6*C6-C5*C5-AA25*AA25)/(-2*AA25*C5))</f>
        <v>1.1181707203227278</v>
      </c>
      <c r="AB27" s="70">
        <f>ACOS((C6*C6-C5*C5-AB25*AB25)/(-2*AB25*C5))</f>
        <v>1.1181707184004668</v>
      </c>
      <c r="AC27" s="70">
        <f>ACOS((C6*C6-C5*C5-AC25*AC25)/(-2*AC25*C5))</f>
        <v>1.1181707164782066</v>
      </c>
      <c r="AD27" s="70">
        <f>ACOS((C6*C6-C5*C5-AD25*AD25)/(-2*AD25*C5))</f>
        <v>1.1181707203227278</v>
      </c>
      <c r="AE27" s="70">
        <f>ACOS((C6*C6-C5*C5-AE25*AE25)/(-2*AE25*C5))</f>
        <v>1.1181707184004668</v>
      </c>
      <c r="AF27" s="71">
        <f>ACOS((C6*C6-C5*C5-AF25*AF25)/(-2*AF25*C5))</f>
        <v>1.1181707164782066</v>
      </c>
      <c r="AG27" s="80"/>
    </row>
    <row r="28" spans="5:33" x14ac:dyDescent="0.45">
      <c r="P28" s="2" t="s">
        <v>27</v>
      </c>
      <c r="Q28" s="52"/>
      <c r="R28" s="37">
        <f t="shared" ref="R28:W28" si="19">AA18</f>
        <v>72</v>
      </c>
      <c r="S28" s="37">
        <f t="shared" si="19"/>
        <v>72</v>
      </c>
      <c r="T28" s="37">
        <f t="shared" si="19"/>
        <v>72</v>
      </c>
      <c r="U28" s="37">
        <f t="shared" si="19"/>
        <v>72</v>
      </c>
      <c r="V28" s="37">
        <f t="shared" si="19"/>
        <v>72</v>
      </c>
      <c r="W28" s="38">
        <f t="shared" si="19"/>
        <v>72</v>
      </c>
      <c r="Y28" s="79"/>
      <c r="Z28" s="21" t="s">
        <v>50</v>
      </c>
      <c r="AA28" s="70">
        <f>ACOS((AA25*AA25-C6*C6-C5*C5)/(-2*C5*C6))</f>
        <v>1.5709826639282172</v>
      </c>
      <c r="AB28" s="70">
        <f>ACOS((AB25*AB25-C6*C6-C5*C5)/(-2*C5*C6))</f>
        <v>1.5709826663048492</v>
      </c>
      <c r="AC28" s="70">
        <f>ACOS((AC25*AC25-C6*C6-C5*C5)/(-2*C5*C6))</f>
        <v>1.5709826686814801</v>
      </c>
      <c r="AD28" s="70">
        <f>ACOS((AD25*AD25-C6*C6-C5*C5)/(-2*C5*C6))</f>
        <v>1.5709826639282172</v>
      </c>
      <c r="AE28" s="70">
        <f>ACOS((AE25*AE25-C6*C6-C5*C5)/(-2*C5*C6))</f>
        <v>1.5709826663048492</v>
      </c>
      <c r="AF28" s="71">
        <f>ACOS((AF25*AF25-C6*C6-C5*C5)/(-2*C5*C6))</f>
        <v>1.5709826686814801</v>
      </c>
      <c r="AG28" s="80"/>
    </row>
    <row r="29" spans="5:33" x14ac:dyDescent="0.45">
      <c r="P29" s="5" t="s">
        <v>28</v>
      </c>
      <c r="Q29" s="62"/>
      <c r="R29" s="40">
        <f>AA17+J2</f>
        <v>80.465008092579737</v>
      </c>
      <c r="S29" s="40">
        <f>AB17+J3</f>
        <v>1.605621392230083</v>
      </c>
      <c r="T29" s="40">
        <f>AC17+J4</f>
        <v>-78.85938639082319</v>
      </c>
      <c r="U29" s="40">
        <f>AD17+J5</f>
        <v>-80.465008092579737</v>
      </c>
      <c r="V29" s="40">
        <f>AE17+J6</f>
        <v>-1.605621392230083</v>
      </c>
      <c r="W29" s="42">
        <f>AF17+J7</f>
        <v>78.85938639082319</v>
      </c>
      <c r="Y29" s="79"/>
      <c r="Z29" s="21" t="s">
        <v>51</v>
      </c>
      <c r="AA29" s="76">
        <f t="shared" ref="AA29:AF29" si="20">90-AA28*180/PI()</f>
        <v>-1.067633130584511E-2</v>
      </c>
      <c r="AB29" s="76">
        <f t="shared" si="20"/>
        <v>-1.0676467476827156E-2</v>
      </c>
      <c r="AC29" s="76">
        <f t="shared" si="20"/>
        <v>-1.0676603647738148E-2</v>
      </c>
      <c r="AD29" s="76">
        <f t="shared" si="20"/>
        <v>-1.067633130584511E-2</v>
      </c>
      <c r="AE29" s="76">
        <f t="shared" si="20"/>
        <v>-1.0676467476827156E-2</v>
      </c>
      <c r="AF29" s="82">
        <f t="shared" si="20"/>
        <v>-1.0676603647738148E-2</v>
      </c>
      <c r="AG29" s="80"/>
    </row>
    <row r="30" spans="5:33" x14ac:dyDescent="0.45">
      <c r="R30" s="68">
        <v>10</v>
      </c>
      <c r="Y30" s="79"/>
      <c r="Z30" s="21" t="s">
        <v>49</v>
      </c>
      <c r="AA30" s="76">
        <f t="shared" ref="AA30:AF30" si="21">(AA26+AA27)*180/PI()-90</f>
        <v>-2.0454528737445798E-6</v>
      </c>
      <c r="AB30" s="76">
        <f t="shared" si="21"/>
        <v>-2.0455050702139488E-6</v>
      </c>
      <c r="AC30" s="76">
        <f t="shared" si="21"/>
        <v>-2.0455572240507536E-6</v>
      </c>
      <c r="AD30" s="76">
        <f t="shared" si="21"/>
        <v>-2.0454528737445798E-6</v>
      </c>
      <c r="AE30" s="76">
        <f t="shared" si="21"/>
        <v>-2.0455050702139488E-6</v>
      </c>
      <c r="AF30" s="82">
        <f t="shared" si="21"/>
        <v>-2.0455572240507536E-6</v>
      </c>
      <c r="AG30" s="80"/>
    </row>
    <row r="31" spans="5:33" x14ac:dyDescent="0.45">
      <c r="P31" s="8" t="s">
        <v>18</v>
      </c>
      <c r="Q31" s="14"/>
      <c r="R31" s="68">
        <v>10</v>
      </c>
      <c r="Y31" s="79"/>
      <c r="Z31" s="22" t="s">
        <v>52</v>
      </c>
      <c r="AA31" s="77">
        <f>90-ATAN2(AA21,AA22)*180/PI()</f>
        <v>-1.9571570786621635</v>
      </c>
      <c r="AB31" s="77">
        <f t="shared" ref="AB31:AF31" si="22">90-ATAN2(AB21,AB22)*180/PI()</f>
        <v>-1.9571695560048994</v>
      </c>
      <c r="AC31" s="77">
        <f t="shared" si="22"/>
        <v>-1.9571820333475642</v>
      </c>
      <c r="AD31" s="77">
        <f t="shared" si="22"/>
        <v>-1.9571570786621635</v>
      </c>
      <c r="AE31" s="77">
        <f t="shared" si="22"/>
        <v>-1.957169556004871</v>
      </c>
      <c r="AF31" s="77">
        <f t="shared" si="22"/>
        <v>-1.9571820333475358</v>
      </c>
      <c r="AG31" s="80"/>
    </row>
    <row r="32" spans="5:33" x14ac:dyDescent="0.45">
      <c r="P32" s="20" t="s">
        <v>19</v>
      </c>
      <c r="Q32" s="69">
        <f>R32-10</f>
        <v>0</v>
      </c>
      <c r="R32" s="68">
        <v>10</v>
      </c>
      <c r="Y32" s="79"/>
      <c r="Z32" s="80"/>
      <c r="AA32" s="80"/>
      <c r="AB32" s="80"/>
      <c r="AC32" s="80"/>
      <c r="AD32" s="80"/>
      <c r="AE32" s="80"/>
      <c r="AF32" s="80"/>
      <c r="AG32" s="80"/>
    </row>
    <row r="33" spans="1:18" x14ac:dyDescent="0.45">
      <c r="P33" s="29" t="s">
        <v>20</v>
      </c>
      <c r="Q33" s="69">
        <f t="shared" ref="Q33:Q38" si="23">R33-10</f>
        <v>0</v>
      </c>
      <c r="R33" s="68">
        <v>10</v>
      </c>
    </row>
    <row r="34" spans="1:18" x14ac:dyDescent="0.45">
      <c r="P34" s="30" t="s">
        <v>21</v>
      </c>
      <c r="Q34" s="69">
        <f t="shared" si="23"/>
        <v>0</v>
      </c>
      <c r="R34" s="68">
        <v>10</v>
      </c>
    </row>
    <row r="35" spans="1:18" x14ac:dyDescent="0.45">
      <c r="P35" s="21"/>
      <c r="Q35" s="69"/>
      <c r="R35" s="68">
        <v>10</v>
      </c>
    </row>
    <row r="36" spans="1:18" x14ac:dyDescent="0.45">
      <c r="P36" s="30" t="s">
        <v>22</v>
      </c>
      <c r="Q36" s="69">
        <f t="shared" si="23"/>
        <v>0</v>
      </c>
      <c r="R36" s="68">
        <v>10</v>
      </c>
    </row>
    <row r="37" spans="1:18" x14ac:dyDescent="0.45">
      <c r="P37" s="30" t="s">
        <v>23</v>
      </c>
      <c r="Q37" s="69">
        <f>R37-15</f>
        <v>1</v>
      </c>
      <c r="R37" s="68">
        <v>16</v>
      </c>
    </row>
    <row r="38" spans="1:18" x14ac:dyDescent="0.45">
      <c r="P38" s="31" t="s">
        <v>24</v>
      </c>
      <c r="Q38" s="87">
        <f t="shared" si="23"/>
        <v>0</v>
      </c>
      <c r="R38" s="68">
        <v>10</v>
      </c>
    </row>
    <row r="39" spans="1:18" x14ac:dyDescent="0.45">
      <c r="A39" s="8" t="s">
        <v>73</v>
      </c>
      <c r="B39" s="13"/>
      <c r="C39" s="14"/>
      <c r="E39" s="8" t="s">
        <v>82</v>
      </c>
      <c r="F39" s="9"/>
      <c r="G39" s="13"/>
      <c r="H39" s="13"/>
      <c r="I39" s="13"/>
      <c r="J39" s="13"/>
      <c r="K39" s="13"/>
      <c r="L39" s="14"/>
    </row>
    <row r="40" spans="1:18" x14ac:dyDescent="0.45">
      <c r="A40" s="107" t="s">
        <v>74</v>
      </c>
      <c r="B40" s="108"/>
      <c r="C40" s="102">
        <v>0</v>
      </c>
      <c r="D40" s="95">
        <v>25</v>
      </c>
      <c r="E40" s="88" t="s">
        <v>94</v>
      </c>
      <c r="F40" s="18"/>
      <c r="G40" s="26">
        <v>1</v>
      </c>
      <c r="H40" s="18">
        <v>2</v>
      </c>
      <c r="I40" s="18">
        <v>3</v>
      </c>
      <c r="J40" s="18">
        <v>4</v>
      </c>
      <c r="K40" s="18">
        <v>5</v>
      </c>
      <c r="L40" s="19">
        <v>6</v>
      </c>
      <c r="P40" s="24" t="s">
        <v>93</v>
      </c>
      <c r="Q40" s="73">
        <f>IF(MOD(R40,7)=0,1,MOD(R40,7))</f>
        <v>6</v>
      </c>
      <c r="R40">
        <v>6</v>
      </c>
    </row>
    <row r="41" spans="1:18" x14ac:dyDescent="0.45">
      <c r="A41" s="101" t="s">
        <v>75</v>
      </c>
      <c r="B41" s="102"/>
      <c r="C41" s="102">
        <v>0</v>
      </c>
      <c r="D41" s="95"/>
      <c r="E41" s="2" t="s">
        <v>95</v>
      </c>
      <c r="F41" s="3"/>
      <c r="G41" s="3">
        <f>IF(Q40=G40,1,0)</f>
        <v>0</v>
      </c>
      <c r="H41" s="3">
        <f>IF(Q40=H40,1,0)</f>
        <v>0</v>
      </c>
      <c r="I41" s="3">
        <f>IF(Q40=I40,1,0)</f>
        <v>0</v>
      </c>
      <c r="J41" s="3">
        <f>IF(Q40=J40,1,0)</f>
        <v>0</v>
      </c>
      <c r="K41" s="3">
        <f>IF(Q40=K40,1,0)</f>
        <v>0</v>
      </c>
      <c r="L41" s="4">
        <f>IF(Q40=L40,1,0)</f>
        <v>1</v>
      </c>
    </row>
    <row r="42" spans="1:18" x14ac:dyDescent="0.45">
      <c r="A42" s="101" t="s">
        <v>76</v>
      </c>
      <c r="B42" s="102"/>
      <c r="C42" s="102">
        <v>0</v>
      </c>
      <c r="D42" s="95">
        <v>32</v>
      </c>
      <c r="E42" s="2" t="s">
        <v>97</v>
      </c>
      <c r="F42" s="3"/>
      <c r="G42" s="3">
        <f>IF(Q40=G40+1,1,0)</f>
        <v>0</v>
      </c>
      <c r="H42" s="3">
        <f>IF(Q40=H40+1,1,0)</f>
        <v>0</v>
      </c>
      <c r="I42" s="3">
        <f>IF(Q40=I40+1,1,0)</f>
        <v>0</v>
      </c>
      <c r="J42" s="3">
        <f>IF(Q40=J40+1,1,0)</f>
        <v>0</v>
      </c>
      <c r="K42" s="3">
        <f>IF(Q40=K40+1,1,0)</f>
        <v>1</v>
      </c>
      <c r="L42" s="4">
        <f>IF(Q40=L40+1,1,0)</f>
        <v>0</v>
      </c>
    </row>
    <row r="43" spans="1:18" x14ac:dyDescent="0.45">
      <c r="A43" s="56" t="s">
        <v>81</v>
      </c>
      <c r="B43" s="28"/>
      <c r="C43" s="28">
        <v>0</v>
      </c>
      <c r="E43" s="5" t="s">
        <v>96</v>
      </c>
      <c r="F43" s="6"/>
      <c r="G43" s="6">
        <f>IF(Q40=G40-5,1,0)</f>
        <v>0</v>
      </c>
      <c r="H43" s="6">
        <f>IF(Q40=H40-5,1,0)</f>
        <v>0</v>
      </c>
      <c r="I43" s="6">
        <f>IF(Q40=I40-5,1,0)</f>
        <v>0</v>
      </c>
      <c r="J43" s="6">
        <f>IF(Q40=J40-5,1,0)</f>
        <v>0</v>
      </c>
      <c r="K43" s="6">
        <f>IF(Q40=K40-5,1,0)</f>
        <v>0</v>
      </c>
      <c r="L43" s="7">
        <f>IF(Q40=L40-5,1,0)</f>
        <v>0</v>
      </c>
    </row>
    <row r="46" spans="1:18" x14ac:dyDescent="0.45">
      <c r="A46" s="55" t="s">
        <v>72</v>
      </c>
      <c r="B46" s="57"/>
      <c r="C46" s="57"/>
      <c r="D46" s="57"/>
      <c r="E46" s="57"/>
      <c r="F46" s="57"/>
      <c r="G46" s="58"/>
    </row>
    <row r="47" spans="1:18" x14ac:dyDescent="0.45">
      <c r="A47" s="88" t="s">
        <v>94</v>
      </c>
      <c r="B47" s="26">
        <v>1</v>
      </c>
      <c r="C47" s="18">
        <v>2</v>
      </c>
      <c r="D47" s="18">
        <v>3</v>
      </c>
      <c r="E47" s="18">
        <v>4</v>
      </c>
      <c r="F47" s="18">
        <v>5</v>
      </c>
      <c r="G47" s="19">
        <v>6</v>
      </c>
    </row>
    <row r="48" spans="1:18" x14ac:dyDescent="0.45">
      <c r="A48" s="88" t="s">
        <v>9</v>
      </c>
      <c r="B48" s="98">
        <v>4</v>
      </c>
      <c r="C48" s="18">
        <v>1</v>
      </c>
      <c r="D48" s="18">
        <v>5</v>
      </c>
      <c r="E48" s="16">
        <v>3</v>
      </c>
      <c r="F48" s="16">
        <v>6</v>
      </c>
      <c r="G48" s="19">
        <v>2</v>
      </c>
    </row>
    <row r="49" spans="1:9" x14ac:dyDescent="0.45">
      <c r="A49" s="21" t="s">
        <v>77</v>
      </c>
      <c r="B49" s="103">
        <f>IF(G41=1,0,IF(OR(G42=1,G43=1),C41/2,C41/2-I57*C41/4))</f>
        <v>0</v>
      </c>
      <c r="C49" s="103">
        <f>IF(H41=1,0,IF(OR(H42=1,H43=1),C41/2,C41/2-I58*C41/4))</f>
        <v>0</v>
      </c>
      <c r="D49" s="103">
        <f>IF(I41=1,0,IF(OR(I42=1,I43=1),C41/2,C41/2-I59*C41/4))</f>
        <v>0</v>
      </c>
      <c r="E49" s="103">
        <f>IF(J41=1,0,IF(OR(J42=1,J43=1),C41/2,C41/2-I60*C41/4))</f>
        <v>0</v>
      </c>
      <c r="F49" s="103">
        <f>IF(K41=1,0,IF(OR(K42=1,K43=1),C41/2,C41/2-I61*C41/4))</f>
        <v>0</v>
      </c>
      <c r="G49" s="104">
        <f>IF(L41=1,0,IF(OR(L42=1,L43=1),C41/2,C41/2-I62*C41/4))</f>
        <v>0</v>
      </c>
    </row>
    <row r="50" spans="1:9" x14ac:dyDescent="0.45">
      <c r="A50" s="21" t="s">
        <v>78</v>
      </c>
      <c r="B50" s="103">
        <f>IF(G41=1,-C40,0)</f>
        <v>0</v>
      </c>
      <c r="C50" s="103">
        <f>IF(H41=1,-C40,0)</f>
        <v>0</v>
      </c>
      <c r="D50" s="103">
        <f>IF(I41=1,-C40,0)</f>
        <v>0</v>
      </c>
      <c r="E50" s="103">
        <f>IF(J41=1,-C40,0)</f>
        <v>0</v>
      </c>
      <c r="F50" s="103">
        <f>IF(K41=1,-C40,0)</f>
        <v>0</v>
      </c>
      <c r="G50" s="104">
        <f>IF(L41=1,-C40,0)</f>
        <v>0</v>
      </c>
    </row>
    <row r="51" spans="1:9" x14ac:dyDescent="0.45">
      <c r="A51" s="21" t="s">
        <v>79</v>
      </c>
      <c r="B51" s="103">
        <f>IF(G41=1,0,IF(OR(G42=1,G43=1),C42/2,C42/2-I57*C42/4))</f>
        <v>0</v>
      </c>
      <c r="C51" s="103">
        <f>IF(H41=1,0,IF(OR(H42=1,H43=1),C42/2,C42/2-I58*C42/4))</f>
        <v>0</v>
      </c>
      <c r="D51" s="103">
        <f>IF(I41=1,0,IF(OR(I42=1,I43=1),C42/2,C42/2-I59*C42/4))</f>
        <v>0</v>
      </c>
      <c r="E51" s="103">
        <f>IF(J41=1,0,IF(OR(J42=1,J43=1),C42/2,C42/2-I60*C42/4))</f>
        <v>0</v>
      </c>
      <c r="F51" s="103">
        <f>IF(K41=1,0,IF(OR(K42=1,K43=1),C42/2,C42/2-I61*C42/4))</f>
        <v>0</v>
      </c>
      <c r="G51" s="104">
        <f>IF(L41=1,0,IF(OR(L42=1,L43=1),C42/2,C42/2-I62*C42/4))</f>
        <v>0</v>
      </c>
    </row>
    <row r="52" spans="1:9" x14ac:dyDescent="0.45">
      <c r="A52" s="22" t="s">
        <v>80</v>
      </c>
      <c r="B52" s="105">
        <f>IF(G41=1,0,IF(OR(G42=1,G43=1),C43/2,C43/2-I57*C43/4))</f>
        <v>0</v>
      </c>
      <c r="C52" s="105">
        <f>IF(H41=1,0,IF(OR(H42=1,H43=1),C43/2,C43/2-I58*C43/4))</f>
        <v>0</v>
      </c>
      <c r="D52" s="105">
        <f>IF(I41=1,0,IF(OR(I42=1,I43=1),C43/2,C43/2-I59*C43/4))</f>
        <v>0</v>
      </c>
      <c r="E52" s="105">
        <f>IF(J41=1,0,IF(OR(J42=1,J43=1),C43/2,C43/2-I60*C43/4))</f>
        <v>0</v>
      </c>
      <c r="F52" s="105">
        <f>IF(K41=1,0,IF(OR(K42=1,K43=1),C43/2,C43/2-I61*C43/4))</f>
        <v>0</v>
      </c>
      <c r="G52" s="106">
        <f>IF(L41=1,0,IF(OR(L42=1,L43=1),C43/2,C43/2-I62*C43/4))</f>
        <v>0</v>
      </c>
    </row>
    <row r="55" spans="1:9" x14ac:dyDescent="0.45">
      <c r="A55" s="8" t="s">
        <v>98</v>
      </c>
      <c r="B55" s="13"/>
      <c r="C55" s="13"/>
      <c r="D55" s="13"/>
      <c r="E55" s="13"/>
      <c r="F55" s="13"/>
      <c r="G55" s="13"/>
      <c r="H55" s="13"/>
      <c r="I55" s="14"/>
    </row>
    <row r="56" spans="1:9" x14ac:dyDescent="0.45">
      <c r="A56" s="88" t="s">
        <v>100</v>
      </c>
      <c r="B56" s="26">
        <v>1</v>
      </c>
      <c r="C56" s="18">
        <v>2</v>
      </c>
      <c r="D56" s="18">
        <v>3</v>
      </c>
      <c r="E56" s="18">
        <v>4</v>
      </c>
      <c r="F56" s="18">
        <v>5</v>
      </c>
      <c r="G56" s="19">
        <v>6</v>
      </c>
      <c r="H56" s="15"/>
      <c r="I56" s="24" t="s">
        <v>102</v>
      </c>
    </row>
    <row r="57" spans="1:9" x14ac:dyDescent="0.45">
      <c r="A57" s="32" t="s">
        <v>101</v>
      </c>
      <c r="B57" s="89" t="s">
        <v>99</v>
      </c>
      <c r="C57" s="89" t="s">
        <v>99</v>
      </c>
      <c r="D57" s="89">
        <v>1</v>
      </c>
      <c r="E57" s="89">
        <v>2</v>
      </c>
      <c r="F57" s="89">
        <v>3</v>
      </c>
      <c r="G57" s="90">
        <v>4</v>
      </c>
      <c r="H57" s="3"/>
      <c r="I57" s="96">
        <f>IF(Q40=D56,D57,IF(Q40=E56,E57,IF(Q40=F56,F57,IF(Q40=G56,G57,0))))</f>
        <v>4</v>
      </c>
    </row>
    <row r="58" spans="1:9" x14ac:dyDescent="0.45">
      <c r="A58" s="30">
        <v>2</v>
      </c>
      <c r="B58" s="91">
        <v>4</v>
      </c>
      <c r="C58" s="91" t="s">
        <v>99</v>
      </c>
      <c r="D58" s="91" t="s">
        <v>99</v>
      </c>
      <c r="E58" s="91">
        <v>1</v>
      </c>
      <c r="F58" s="91">
        <v>2</v>
      </c>
      <c r="G58" s="92">
        <v>3</v>
      </c>
      <c r="H58" s="3"/>
      <c r="I58" s="96">
        <f>IF(Q40=E56,E58,IF(Q40=F56,F58,IF(Q40=G56,G58,IF(Q40=B56,B58,0))))</f>
        <v>3</v>
      </c>
    </row>
    <row r="59" spans="1:9" x14ac:dyDescent="0.45">
      <c r="A59" s="30">
        <v>3</v>
      </c>
      <c r="B59" s="91">
        <v>3</v>
      </c>
      <c r="C59" s="91">
        <v>4</v>
      </c>
      <c r="D59" s="91" t="s">
        <v>99</v>
      </c>
      <c r="E59" s="91" t="s">
        <v>99</v>
      </c>
      <c r="F59" s="91">
        <v>1</v>
      </c>
      <c r="G59" s="92">
        <v>2</v>
      </c>
      <c r="H59" s="3"/>
      <c r="I59" s="96">
        <f>IF(Q40=F56,F59,IF(Q40=G56,G59,IF(Q40=B56,B59,IF(Q40=C56,C59,0))))</f>
        <v>2</v>
      </c>
    </row>
    <row r="60" spans="1:9" x14ac:dyDescent="0.45">
      <c r="A60" s="30">
        <v>4</v>
      </c>
      <c r="B60" s="91">
        <v>2</v>
      </c>
      <c r="C60" s="91">
        <v>3</v>
      </c>
      <c r="D60" s="91">
        <v>4</v>
      </c>
      <c r="E60" s="91" t="s">
        <v>99</v>
      </c>
      <c r="F60" s="91" t="s">
        <v>99</v>
      </c>
      <c r="G60" s="92">
        <v>1</v>
      </c>
      <c r="H60" s="3"/>
      <c r="I60" s="96">
        <f>IF(Q40=G56,G60,IF(Q40=B56,B60,IF(Q40=C56,C60,IF(Q40=D56,D60,0))))</f>
        <v>1</v>
      </c>
    </row>
    <row r="61" spans="1:9" x14ac:dyDescent="0.45">
      <c r="A61" s="30">
        <v>5</v>
      </c>
      <c r="B61" s="91">
        <v>1</v>
      </c>
      <c r="C61" s="91">
        <v>2</v>
      </c>
      <c r="D61" s="91">
        <v>3</v>
      </c>
      <c r="E61" s="91">
        <v>4</v>
      </c>
      <c r="F61" s="91" t="s">
        <v>99</v>
      </c>
      <c r="G61" s="92" t="s">
        <v>99</v>
      </c>
      <c r="H61" s="3"/>
      <c r="I61" s="96">
        <f>IF(Q40=B56,B61,IF(Q40=C56,C61,IF(Q40=D56,D61,IF(Q40=E56,E61,0))))</f>
        <v>0</v>
      </c>
    </row>
    <row r="62" spans="1:9" x14ac:dyDescent="0.45">
      <c r="A62" s="31">
        <v>6</v>
      </c>
      <c r="B62" s="93" t="s">
        <v>99</v>
      </c>
      <c r="C62" s="93">
        <v>1</v>
      </c>
      <c r="D62" s="93">
        <v>2</v>
      </c>
      <c r="E62" s="93">
        <v>3</v>
      </c>
      <c r="F62" s="93">
        <v>4</v>
      </c>
      <c r="G62" s="94" t="s">
        <v>99</v>
      </c>
      <c r="H62" s="6"/>
      <c r="I62" s="97">
        <f>IF(Q40=C56,C62,IF(Q40=D56,D62,IF(Q40=E56,E62,IF(Q40=F56,F62,0))))</f>
        <v>0</v>
      </c>
    </row>
    <row r="63" spans="1:9" x14ac:dyDescent="0.45">
      <c r="A63" s="3"/>
    </row>
    <row r="84" spans="24:24" x14ac:dyDescent="0.45">
      <c r="X84" t="s">
        <v>83</v>
      </c>
    </row>
    <row r="85" spans="24:24" x14ac:dyDescent="0.45">
      <c r="X85" t="s">
        <v>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17</xdr:col>
                    <xdr:colOff>171450</xdr:colOff>
                    <xdr:row>30</xdr:row>
                    <xdr:rowOff>171450</xdr:rowOff>
                  </from>
                  <to>
                    <xdr:col>17</xdr:col>
                    <xdr:colOff>333375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autoPict="0">
                <anchor moveWithCells="1" sizeWithCells="1">
                  <from>
                    <xdr:col>17</xdr:col>
                    <xdr:colOff>381000</xdr:colOff>
                    <xdr:row>31</xdr:row>
                    <xdr:rowOff>171450</xdr:rowOff>
                  </from>
                  <to>
                    <xdr:col>17</xdr:col>
                    <xdr:colOff>542925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Spinner 7">
              <controlPr defaultSize="0" autoPict="0">
                <anchor moveWithCells="1" sizeWithCells="1">
                  <from>
                    <xdr:col>17</xdr:col>
                    <xdr:colOff>161925</xdr:colOff>
                    <xdr:row>32</xdr:row>
                    <xdr:rowOff>171450</xdr:rowOff>
                  </from>
                  <to>
                    <xdr:col>17</xdr:col>
                    <xdr:colOff>323850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Spinner 8">
              <controlPr defaultSize="0" autoPict="0">
                <anchor moveWithCells="1" sizeWithCells="1">
                  <from>
                    <xdr:col>17</xdr:col>
                    <xdr:colOff>381000</xdr:colOff>
                    <xdr:row>34</xdr:row>
                    <xdr:rowOff>171450</xdr:rowOff>
                  </from>
                  <to>
                    <xdr:col>17</xdr:col>
                    <xdr:colOff>542925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Spinner 9">
              <controlPr defaultSize="0" autoPict="0">
                <anchor moveWithCells="1" sizeWithCells="1">
                  <from>
                    <xdr:col>17</xdr:col>
                    <xdr:colOff>142875</xdr:colOff>
                    <xdr:row>35</xdr:row>
                    <xdr:rowOff>171450</xdr:rowOff>
                  </from>
                  <to>
                    <xdr:col>17</xdr:col>
                    <xdr:colOff>304800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Spinner 10">
              <controlPr defaultSize="0" autoPict="0">
                <anchor moveWithCells="1" sizeWithCells="1">
                  <from>
                    <xdr:col>17</xdr:col>
                    <xdr:colOff>390525</xdr:colOff>
                    <xdr:row>36</xdr:row>
                    <xdr:rowOff>152400</xdr:rowOff>
                  </from>
                  <to>
                    <xdr:col>17</xdr:col>
                    <xdr:colOff>552450</xdr:colOff>
                    <xdr:row>38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Spinner 11">
              <controlPr defaultSize="0" autoPict="0">
                <anchor moveWithCells="1" sizeWithCells="1">
                  <from>
                    <xdr:col>17</xdr:col>
                    <xdr:colOff>123825</xdr:colOff>
                    <xdr:row>38</xdr:row>
                    <xdr:rowOff>161925</xdr:rowOff>
                  </from>
                  <to>
                    <xdr:col>17</xdr:col>
                    <xdr:colOff>285750</xdr:colOff>
                    <xdr:row>40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Study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Liang</dc:creator>
  <cp:lastModifiedBy>Adolfo Karim Victoria Higueros</cp:lastModifiedBy>
  <dcterms:created xsi:type="dcterms:W3CDTF">2012-01-27T10:10:51Z</dcterms:created>
  <dcterms:modified xsi:type="dcterms:W3CDTF">2017-05-02T21:05:19Z</dcterms:modified>
</cp:coreProperties>
</file>