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53e27c7386ee7449/Desktop/business school windows/BUSA2020/"/>
    </mc:Choice>
  </mc:AlternateContent>
  <xr:revisionPtr revIDLastSave="0" documentId="8_{D96ACF3B-F68B-4F46-A7CE-1015D076C103}" xr6:coauthVersionLast="47" xr6:coauthVersionMax="47" xr10:uidLastSave="{00000000-0000-0000-0000-000000000000}"/>
  <bookViews>
    <workbookView xWindow="-120" yWindow="-120" windowWidth="29040" windowHeight="15840" xr2:uid="{DCB26A22-E04A-BD47-9166-87BA0366AF8A}"/>
  </bookViews>
  <sheets>
    <sheet name="Introduction &amp; Contents" sheetId="1" r:id="rId1"/>
    <sheet name="Price Determination" sheetId="3" r:id="rId2"/>
    <sheet name="Positive Report" sheetId="13" r:id="rId3"/>
    <sheet name="Negative Report" sheetId="10" r:id="rId4"/>
    <sheet name="Conslusion" sheetId="1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1" i="13" l="1"/>
  <c r="C71" i="13" s="1"/>
  <c r="B69" i="13"/>
  <c r="C69" i="13" s="1"/>
  <c r="B67" i="13"/>
  <c r="C67" i="13" s="1"/>
  <c r="E66" i="13"/>
  <c r="F66" i="13" s="1"/>
  <c r="F65" i="13"/>
  <c r="E65" i="13"/>
  <c r="B65" i="13"/>
  <c r="C65" i="13" s="1"/>
  <c r="E64" i="13"/>
  <c r="F64" i="13" s="1"/>
  <c r="F63" i="13"/>
  <c r="E63" i="13"/>
  <c r="B63" i="13"/>
  <c r="C63" i="13" s="1"/>
  <c r="F61" i="13"/>
  <c r="E61" i="13"/>
  <c r="B61" i="13"/>
  <c r="C61" i="13" s="1"/>
  <c r="H17" i="13"/>
  <c r="H16" i="13"/>
  <c r="M67" i="13" s="1"/>
  <c r="N67" i="13" s="1"/>
  <c r="G16" i="13"/>
  <c r="M66" i="13" s="1"/>
  <c r="N66" i="13" s="1"/>
  <c r="F16" i="13"/>
  <c r="F17" i="13" s="1"/>
  <c r="G15" i="13"/>
  <c r="M14" i="13"/>
  <c r="E72" i="13" s="1"/>
  <c r="F72" i="13" s="1"/>
  <c r="L14" i="13"/>
  <c r="E71" i="13" s="1"/>
  <c r="F71" i="13" s="1"/>
  <c r="K14" i="13"/>
  <c r="E70" i="13" s="1"/>
  <c r="F70" i="13" s="1"/>
  <c r="J14" i="13"/>
  <c r="E69" i="13" s="1"/>
  <c r="F69" i="13" s="1"/>
  <c r="I14" i="13"/>
  <c r="E68" i="13" s="1"/>
  <c r="F68" i="13" s="1"/>
  <c r="H14" i="13"/>
  <c r="O14" i="13" s="1"/>
  <c r="G14" i="13"/>
  <c r="F14" i="13"/>
  <c r="E14" i="13"/>
  <c r="D14" i="13"/>
  <c r="C14" i="13"/>
  <c r="E62" i="13" s="1"/>
  <c r="B14" i="13"/>
  <c r="N14" i="13" s="1"/>
  <c r="M13" i="13"/>
  <c r="M16" i="13" s="1"/>
  <c r="L13" i="13"/>
  <c r="K13" i="13"/>
  <c r="B70" i="13" s="1"/>
  <c r="C70" i="13" s="1"/>
  <c r="J13" i="13"/>
  <c r="J15" i="13" s="1"/>
  <c r="I69" i="13" s="1"/>
  <c r="J69" i="13" s="1"/>
  <c r="I13" i="13"/>
  <c r="H13" i="13"/>
  <c r="G13" i="13"/>
  <c r="B66" i="13" s="1"/>
  <c r="C66" i="13" s="1"/>
  <c r="F13" i="13"/>
  <c r="F15" i="13" s="1"/>
  <c r="I65" i="13" s="1"/>
  <c r="J65" i="13" s="1"/>
  <c r="E13" i="13"/>
  <c r="E16" i="13" s="1"/>
  <c r="D13" i="13"/>
  <c r="C13" i="13"/>
  <c r="B13" i="13"/>
  <c r="L8" i="13"/>
  <c r="E8" i="13"/>
  <c r="C8" i="13"/>
  <c r="N7" i="13"/>
  <c r="M7" i="13"/>
  <c r="P7" i="13" s="1"/>
  <c r="L7" i="13"/>
  <c r="K7" i="13"/>
  <c r="K8" i="13" s="1"/>
  <c r="J7" i="13"/>
  <c r="J8" i="13" s="1"/>
  <c r="I7" i="13"/>
  <c r="I8" i="13" s="1"/>
  <c r="H7" i="13"/>
  <c r="H8" i="13" s="1"/>
  <c r="G7" i="13"/>
  <c r="G8" i="13" s="1"/>
  <c r="F7" i="13"/>
  <c r="F8" i="13" s="1"/>
  <c r="E7" i="13"/>
  <c r="D7" i="13"/>
  <c r="D8" i="13" s="1"/>
  <c r="C7" i="13"/>
  <c r="B7" i="13"/>
  <c r="B8" i="13" s="1"/>
  <c r="Q6" i="13"/>
  <c r="P6" i="13"/>
  <c r="O6" i="13"/>
  <c r="N6" i="13"/>
  <c r="M6" i="13"/>
  <c r="L6" i="13"/>
  <c r="K6" i="13"/>
  <c r="J6" i="13"/>
  <c r="I6" i="13"/>
  <c r="H6" i="13"/>
  <c r="G6" i="13"/>
  <c r="F6" i="13"/>
  <c r="E6" i="13"/>
  <c r="D6" i="13"/>
  <c r="C6" i="13"/>
  <c r="B6" i="13"/>
  <c r="R5" i="13"/>
  <c r="Q5" i="13"/>
  <c r="P5" i="13"/>
  <c r="O5" i="13"/>
  <c r="N5" i="13"/>
  <c r="Q4" i="13"/>
  <c r="R4" i="13" s="1"/>
  <c r="P4" i="13"/>
  <c r="O4" i="13"/>
  <c r="N4" i="13"/>
  <c r="K3" i="12"/>
  <c r="K6" i="12" s="1"/>
  <c r="K7" i="12" s="1"/>
  <c r="K4" i="12"/>
  <c r="K5" i="12" s="1"/>
  <c r="K61" i="12"/>
  <c r="K62" i="12"/>
  <c r="K63" i="12" s="1"/>
  <c r="M4" i="12"/>
  <c r="E83" i="12" s="1"/>
  <c r="F83" i="12" s="1"/>
  <c r="L4" i="12"/>
  <c r="E82" i="12" s="1"/>
  <c r="F82" i="12" s="1"/>
  <c r="E81" i="12"/>
  <c r="F81" i="12" s="1"/>
  <c r="J4" i="12"/>
  <c r="E80" i="12" s="1"/>
  <c r="F80" i="12" s="1"/>
  <c r="I4" i="12"/>
  <c r="E79" i="12" s="1"/>
  <c r="F79" i="12" s="1"/>
  <c r="H4" i="12"/>
  <c r="E78" i="12" s="1"/>
  <c r="F78" i="12" s="1"/>
  <c r="G4" i="12"/>
  <c r="E77" i="12" s="1"/>
  <c r="F77" i="12" s="1"/>
  <c r="F4" i="12"/>
  <c r="E76" i="12" s="1"/>
  <c r="F76" i="12" s="1"/>
  <c r="E4" i="12"/>
  <c r="E75" i="12" s="1"/>
  <c r="F75" i="12" s="1"/>
  <c r="D4" i="12"/>
  <c r="E74" i="12" s="1"/>
  <c r="F74" i="12" s="1"/>
  <c r="C4" i="12"/>
  <c r="E73" i="12" s="1"/>
  <c r="B4" i="12"/>
  <c r="E72" i="12" s="1"/>
  <c r="F72" i="12" s="1"/>
  <c r="M3" i="12"/>
  <c r="B83" i="12" s="1"/>
  <c r="C83" i="12" s="1"/>
  <c r="L3" i="12"/>
  <c r="B82" i="12" s="1"/>
  <c r="C82" i="12" s="1"/>
  <c r="B81" i="12"/>
  <c r="C81" i="12" s="1"/>
  <c r="J3" i="12"/>
  <c r="I3" i="12"/>
  <c r="B79" i="12" s="1"/>
  <c r="C79" i="12" s="1"/>
  <c r="H3" i="12"/>
  <c r="G3" i="12"/>
  <c r="B77" i="12" s="1"/>
  <c r="C77" i="12" s="1"/>
  <c r="F3" i="12"/>
  <c r="F6" i="12" s="1"/>
  <c r="M76" i="12" s="1"/>
  <c r="N76" i="12" s="1"/>
  <c r="E3" i="12"/>
  <c r="E6" i="12" s="1"/>
  <c r="D3" i="12"/>
  <c r="B74" i="12" s="1"/>
  <c r="C74" i="12" s="1"/>
  <c r="C3" i="12"/>
  <c r="B3" i="12"/>
  <c r="B72" i="12" s="1"/>
  <c r="M62" i="12"/>
  <c r="L62" i="12"/>
  <c r="L63" i="12" s="1"/>
  <c r="J62" i="12"/>
  <c r="J63" i="12" s="1"/>
  <c r="I62" i="12"/>
  <c r="I63" i="12" s="1"/>
  <c r="H62" i="12"/>
  <c r="H63" i="12" s="1"/>
  <c r="G62" i="12"/>
  <c r="G63" i="12" s="1"/>
  <c r="F62" i="12"/>
  <c r="F63" i="12" s="1"/>
  <c r="E62" i="12"/>
  <c r="E63" i="12" s="1"/>
  <c r="D62" i="12"/>
  <c r="D63" i="12" s="1"/>
  <c r="C62" i="12"/>
  <c r="C63" i="12" s="1"/>
  <c r="B62" i="12"/>
  <c r="B63" i="12" s="1"/>
  <c r="M61" i="12"/>
  <c r="L61" i="12"/>
  <c r="J61" i="12"/>
  <c r="I61" i="12"/>
  <c r="H61" i="12"/>
  <c r="G61" i="12"/>
  <c r="F61" i="12"/>
  <c r="E61" i="12"/>
  <c r="D61" i="12"/>
  <c r="C61" i="12"/>
  <c r="B61" i="12"/>
  <c r="Q60" i="12"/>
  <c r="R60" i="12" s="1"/>
  <c r="P60" i="12"/>
  <c r="O60" i="12"/>
  <c r="N60" i="12"/>
  <c r="Q59" i="12"/>
  <c r="R59" i="12" s="1"/>
  <c r="P59" i="12"/>
  <c r="O59" i="12"/>
  <c r="N59" i="12"/>
  <c r="B72" i="10"/>
  <c r="C72" i="10" s="1"/>
  <c r="B71" i="10"/>
  <c r="C71" i="10" s="1"/>
  <c r="M14" i="10"/>
  <c r="L14" i="10"/>
  <c r="K14" i="10"/>
  <c r="E70" i="10" s="1"/>
  <c r="F70" i="10" s="1"/>
  <c r="J14" i="10"/>
  <c r="E69" i="10" s="1"/>
  <c r="F69" i="10" s="1"/>
  <c r="I14" i="10"/>
  <c r="E68" i="10" s="1"/>
  <c r="F68" i="10" s="1"/>
  <c r="H14" i="10"/>
  <c r="G14" i="10"/>
  <c r="F14" i="10"/>
  <c r="E65" i="10" s="1"/>
  <c r="F65" i="10" s="1"/>
  <c r="E14" i="10"/>
  <c r="E64" i="10" s="1"/>
  <c r="F64" i="10" s="1"/>
  <c r="D14" i="10"/>
  <c r="C14" i="10"/>
  <c r="E62" i="10" s="1"/>
  <c r="F62" i="10" s="1"/>
  <c r="B14" i="10"/>
  <c r="E61" i="10" s="1"/>
  <c r="M13" i="10"/>
  <c r="M16" i="10" s="1"/>
  <c r="L13" i="10"/>
  <c r="K13" i="10"/>
  <c r="K16" i="10" s="1"/>
  <c r="M70" i="10" s="1"/>
  <c r="N70" i="10" s="1"/>
  <c r="J13" i="10"/>
  <c r="B69" i="10" s="1"/>
  <c r="C69" i="10" s="1"/>
  <c r="I13" i="10"/>
  <c r="H13" i="10"/>
  <c r="H16" i="10" s="1"/>
  <c r="M67" i="10" s="1"/>
  <c r="N67" i="10" s="1"/>
  <c r="G13" i="10"/>
  <c r="B66" i="10" s="1"/>
  <c r="C66" i="10" s="1"/>
  <c r="F13" i="10"/>
  <c r="F16" i="10" s="1"/>
  <c r="M65" i="10" s="1"/>
  <c r="N65" i="10" s="1"/>
  <c r="E13" i="10"/>
  <c r="E16" i="10" s="1"/>
  <c r="D13" i="10"/>
  <c r="B63" i="10" s="1"/>
  <c r="C63" i="10" s="1"/>
  <c r="C13" i="10"/>
  <c r="B62" i="10" s="1"/>
  <c r="C62" i="10" s="1"/>
  <c r="B13" i="10"/>
  <c r="B61" i="10" s="1"/>
  <c r="M7" i="10"/>
  <c r="L7" i="10"/>
  <c r="L8" i="10" s="1"/>
  <c r="K7" i="10"/>
  <c r="K8" i="10" s="1"/>
  <c r="J7" i="10"/>
  <c r="J8" i="10" s="1"/>
  <c r="I7" i="10"/>
  <c r="I8" i="10" s="1"/>
  <c r="H7" i="10"/>
  <c r="H8" i="10" s="1"/>
  <c r="G7" i="10"/>
  <c r="G8" i="10" s="1"/>
  <c r="F7" i="10"/>
  <c r="F8" i="10" s="1"/>
  <c r="E7" i="10"/>
  <c r="E8" i="10" s="1"/>
  <c r="D7" i="10"/>
  <c r="D8" i="10" s="1"/>
  <c r="C7" i="10"/>
  <c r="C8" i="10" s="1"/>
  <c r="B7" i="10"/>
  <c r="B8" i="10" s="1"/>
  <c r="M6" i="10"/>
  <c r="L6" i="10"/>
  <c r="K6" i="10"/>
  <c r="J6" i="10"/>
  <c r="I6" i="10"/>
  <c r="H6" i="10"/>
  <c r="G6" i="10"/>
  <c r="F6" i="10"/>
  <c r="E6" i="10"/>
  <c r="D6" i="10"/>
  <c r="C6" i="10"/>
  <c r="B6" i="10"/>
  <c r="Q5" i="10"/>
  <c r="R5" i="10" s="1"/>
  <c r="P5" i="10"/>
  <c r="O5" i="10"/>
  <c r="N5" i="10"/>
  <c r="Q4" i="10"/>
  <c r="P4" i="10"/>
  <c r="O4" i="10"/>
  <c r="N4" i="10"/>
  <c r="P3" i="3"/>
  <c r="P14" i="3"/>
  <c r="P11" i="3"/>
  <c r="P6" i="3"/>
  <c r="P4" i="3"/>
  <c r="D7" i="3"/>
  <c r="E7" i="3"/>
  <c r="F7" i="3"/>
  <c r="G7" i="3"/>
  <c r="H7" i="3"/>
  <c r="I7" i="3"/>
  <c r="J7" i="3"/>
  <c r="K7" i="3"/>
  <c r="L7" i="3"/>
  <c r="N7" i="3" s="1"/>
  <c r="M7" i="3"/>
  <c r="P7" i="3" s="1"/>
  <c r="C6" i="3"/>
  <c r="C7" i="3" s="1"/>
  <c r="D6" i="3"/>
  <c r="E6" i="3"/>
  <c r="F6" i="3"/>
  <c r="G6" i="3"/>
  <c r="H6" i="3"/>
  <c r="I6" i="3"/>
  <c r="J6" i="3"/>
  <c r="K6" i="3"/>
  <c r="L6" i="3"/>
  <c r="M6" i="3"/>
  <c r="B6" i="3"/>
  <c r="B7" i="3" s="1"/>
  <c r="H14" i="3"/>
  <c r="H15" i="3" s="1"/>
  <c r="I14" i="3"/>
  <c r="O4" i="3"/>
  <c r="O3" i="3"/>
  <c r="N4" i="3"/>
  <c r="N3" i="3"/>
  <c r="C12" i="3"/>
  <c r="D12" i="3"/>
  <c r="E12" i="3"/>
  <c r="F12" i="3"/>
  <c r="G12" i="3"/>
  <c r="H12" i="3"/>
  <c r="I12" i="3"/>
  <c r="J12" i="3"/>
  <c r="K12" i="3"/>
  <c r="L12" i="3"/>
  <c r="N12" i="3" s="1"/>
  <c r="M12" i="3"/>
  <c r="P12" i="3" s="1"/>
  <c r="B12" i="3"/>
  <c r="D11" i="3"/>
  <c r="E11" i="3"/>
  <c r="E14" i="3" s="1"/>
  <c r="F11" i="3"/>
  <c r="F14" i="3" s="1"/>
  <c r="G11" i="3"/>
  <c r="G14" i="3" s="1"/>
  <c r="H11" i="3"/>
  <c r="I11" i="3"/>
  <c r="J11" i="3"/>
  <c r="J14" i="3" s="1"/>
  <c r="J15" i="3" s="1"/>
  <c r="K11" i="3"/>
  <c r="K14" i="3" s="1"/>
  <c r="L11" i="3"/>
  <c r="N11" i="3" s="1"/>
  <c r="M11" i="3"/>
  <c r="M14" i="3" s="1"/>
  <c r="C11" i="3"/>
  <c r="C14" i="3" s="1"/>
  <c r="B11" i="3"/>
  <c r="B14" i="3" s="1"/>
  <c r="O6" i="3" l="1"/>
  <c r="O7" i="3"/>
  <c r="M72" i="13"/>
  <c r="N72" i="13" s="1"/>
  <c r="O16" i="13"/>
  <c r="M64" i="13"/>
  <c r="N64" i="13" s="1"/>
  <c r="E17" i="13"/>
  <c r="N8" i="13"/>
  <c r="I17" i="13"/>
  <c r="N15" i="13"/>
  <c r="F62" i="13"/>
  <c r="E82" i="13"/>
  <c r="E78" i="13"/>
  <c r="E74" i="13"/>
  <c r="H15" i="13"/>
  <c r="I67" i="13" s="1"/>
  <c r="J67" i="13" s="1"/>
  <c r="O7" i="13"/>
  <c r="I15" i="13"/>
  <c r="I68" i="13" s="1"/>
  <c r="J68" i="13" s="1"/>
  <c r="G17" i="13"/>
  <c r="E67" i="13"/>
  <c r="F67" i="13" s="1"/>
  <c r="N13" i="13"/>
  <c r="L15" i="13"/>
  <c r="I71" i="13" s="1"/>
  <c r="J71" i="13" s="1"/>
  <c r="K16" i="13"/>
  <c r="M70" i="13" s="1"/>
  <c r="N70" i="13" s="1"/>
  <c r="J17" i="13"/>
  <c r="E75" i="13"/>
  <c r="E83" i="13"/>
  <c r="O13" i="13"/>
  <c r="M15" i="13"/>
  <c r="L16" i="13"/>
  <c r="M71" i="13" s="1"/>
  <c r="N71" i="13" s="1"/>
  <c r="M65" i="13"/>
  <c r="N65" i="13" s="1"/>
  <c r="R6" i="13"/>
  <c r="K15" i="13"/>
  <c r="I70" i="13" s="1"/>
  <c r="J70" i="13" s="1"/>
  <c r="Q13" i="13"/>
  <c r="P14" i="13"/>
  <c r="M17" i="13"/>
  <c r="B62" i="13"/>
  <c r="B75" i="13" s="1"/>
  <c r="B64" i="13"/>
  <c r="C64" i="13" s="1"/>
  <c r="B68" i="13"/>
  <c r="C68" i="13" s="1"/>
  <c r="B72" i="13"/>
  <c r="C72" i="13" s="1"/>
  <c r="B76" i="13"/>
  <c r="B80" i="13"/>
  <c r="Q14" i="13"/>
  <c r="R14" i="13" s="1"/>
  <c r="B15" i="13"/>
  <c r="I61" i="13" s="1"/>
  <c r="J16" i="13"/>
  <c r="M69" i="13" s="1"/>
  <c r="N69" i="13" s="1"/>
  <c r="C15" i="13"/>
  <c r="I62" i="13" s="1"/>
  <c r="J62" i="13" s="1"/>
  <c r="B16" i="13"/>
  <c r="M61" i="13" s="1"/>
  <c r="I66" i="13"/>
  <c r="J66" i="13" s="1"/>
  <c r="M8" i="13"/>
  <c r="Q7" i="13"/>
  <c r="R7" i="13" s="1"/>
  <c r="P13" i="13"/>
  <c r="D15" i="13"/>
  <c r="I63" i="13" s="1"/>
  <c r="J63" i="13" s="1"/>
  <c r="C16" i="13"/>
  <c r="M62" i="13" s="1"/>
  <c r="N62" i="13" s="1"/>
  <c r="E15" i="13"/>
  <c r="I64" i="13" s="1"/>
  <c r="J64" i="13" s="1"/>
  <c r="D16" i="13"/>
  <c r="M63" i="13" s="1"/>
  <c r="N63" i="13" s="1"/>
  <c r="I16" i="13"/>
  <c r="M68" i="13" s="1"/>
  <c r="N68" i="13" s="1"/>
  <c r="H15" i="10"/>
  <c r="I67" i="10" s="1"/>
  <c r="J67" i="10" s="1"/>
  <c r="L15" i="10"/>
  <c r="I71" i="10" s="1"/>
  <c r="J71" i="10" s="1"/>
  <c r="N6" i="10"/>
  <c r="G15" i="10"/>
  <c r="K15" i="10"/>
  <c r="I70" i="10" s="1"/>
  <c r="J70" i="10" s="1"/>
  <c r="C16" i="10"/>
  <c r="M62" i="10" s="1"/>
  <c r="N62" i="10" s="1"/>
  <c r="N7" i="10"/>
  <c r="Q13" i="10"/>
  <c r="G16" i="10"/>
  <c r="M66" i="10" s="1"/>
  <c r="N66" i="10" s="1"/>
  <c r="Q6" i="10"/>
  <c r="R6" i="10" s="1"/>
  <c r="D15" i="10"/>
  <c r="I63" i="10" s="1"/>
  <c r="J63" i="10" s="1"/>
  <c r="P6" i="10"/>
  <c r="O6" i="10"/>
  <c r="F15" i="10"/>
  <c r="I65" i="10" s="1"/>
  <c r="J65" i="10" s="1"/>
  <c r="H17" i="10"/>
  <c r="B64" i="10"/>
  <c r="C64" i="10" s="1"/>
  <c r="B65" i="10"/>
  <c r="C65" i="10" s="1"/>
  <c r="O14" i="10"/>
  <c r="N14" i="10"/>
  <c r="K17" i="10"/>
  <c r="P14" i="10"/>
  <c r="B67" i="10"/>
  <c r="C67" i="10" s="1"/>
  <c r="C17" i="10"/>
  <c r="Q14" i="10"/>
  <c r="R14" i="10" s="1"/>
  <c r="Q7" i="10"/>
  <c r="R7" i="10" s="1"/>
  <c r="C15" i="10"/>
  <c r="I62" i="10" s="1"/>
  <c r="J62" i="10" s="1"/>
  <c r="B70" i="10"/>
  <c r="C70" i="10" s="1"/>
  <c r="C5" i="12"/>
  <c r="I73" i="12" s="1"/>
  <c r="J73" i="12" s="1"/>
  <c r="P62" i="12"/>
  <c r="Q61" i="12"/>
  <c r="R61" i="12" s="1"/>
  <c r="O3" i="12"/>
  <c r="N63" i="12"/>
  <c r="G6" i="12"/>
  <c r="M77" i="12" s="1"/>
  <c r="N77" i="12" s="1"/>
  <c r="H6" i="12"/>
  <c r="M78" i="12" s="1"/>
  <c r="N78" i="12" s="1"/>
  <c r="N61" i="12"/>
  <c r="F5" i="12"/>
  <c r="I76" i="12" s="1"/>
  <c r="J76" i="12" s="1"/>
  <c r="B76" i="12"/>
  <c r="C76" i="12" s="1"/>
  <c r="J5" i="12"/>
  <c r="I80" i="12" s="1"/>
  <c r="J80" i="12" s="1"/>
  <c r="N62" i="12"/>
  <c r="N4" i="12"/>
  <c r="B78" i="12"/>
  <c r="C78" i="12" s="1"/>
  <c r="O61" i="12"/>
  <c r="B5" i="12"/>
  <c r="I72" i="12" s="1"/>
  <c r="J72" i="12" s="1"/>
  <c r="B80" i="12"/>
  <c r="C80" i="12" s="1"/>
  <c r="P61" i="12"/>
  <c r="N3" i="12"/>
  <c r="G5" i="12"/>
  <c r="I77" i="12" s="1"/>
  <c r="J77" i="12" s="1"/>
  <c r="B6" i="12"/>
  <c r="M72" i="12" s="1"/>
  <c r="N72" i="12" s="1"/>
  <c r="E88" i="12"/>
  <c r="M75" i="12"/>
  <c r="N75" i="12" s="1"/>
  <c r="E7" i="12"/>
  <c r="F73" i="12"/>
  <c r="E93" i="12"/>
  <c r="E89" i="12"/>
  <c r="E85" i="12"/>
  <c r="M63" i="12"/>
  <c r="H5" i="12"/>
  <c r="I78" i="12" s="1"/>
  <c r="J78" i="12" s="1"/>
  <c r="F7" i="12"/>
  <c r="C72" i="12"/>
  <c r="O62" i="12"/>
  <c r="I5" i="12"/>
  <c r="I79" i="12" s="1"/>
  <c r="J79" i="12" s="1"/>
  <c r="Q62" i="12"/>
  <c r="R62" i="12" s="1"/>
  <c r="I81" i="12"/>
  <c r="J81" i="12" s="1"/>
  <c r="J6" i="12"/>
  <c r="M80" i="12" s="1"/>
  <c r="N80" i="12" s="1"/>
  <c r="L5" i="12"/>
  <c r="I82" i="12" s="1"/>
  <c r="J82" i="12" s="1"/>
  <c r="M81" i="12"/>
  <c r="N81" i="12" s="1"/>
  <c r="E86" i="12"/>
  <c r="E94" i="12"/>
  <c r="I6" i="12"/>
  <c r="M79" i="12" s="1"/>
  <c r="N79" i="12" s="1"/>
  <c r="M5" i="12"/>
  <c r="L6" i="12"/>
  <c r="M82" i="12" s="1"/>
  <c r="N82" i="12" s="1"/>
  <c r="P3" i="12"/>
  <c r="O4" i="12"/>
  <c r="M6" i="12"/>
  <c r="M7" i="12" s="1"/>
  <c r="Q3" i="12"/>
  <c r="P4" i="12"/>
  <c r="B73" i="12"/>
  <c r="B75" i="12"/>
  <c r="C75" i="12" s="1"/>
  <c r="Q4" i="12"/>
  <c r="R4" i="12" s="1"/>
  <c r="E87" i="12"/>
  <c r="E91" i="12"/>
  <c r="E95" i="12"/>
  <c r="D5" i="12"/>
  <c r="I74" i="12" s="1"/>
  <c r="J74" i="12" s="1"/>
  <c r="C6" i="12"/>
  <c r="M73" i="12" s="1"/>
  <c r="N73" i="12" s="1"/>
  <c r="E5" i="12"/>
  <c r="I75" i="12" s="1"/>
  <c r="J75" i="12" s="1"/>
  <c r="D6" i="12"/>
  <c r="M74" i="12" s="1"/>
  <c r="N74" i="12" s="1"/>
  <c r="M64" i="10"/>
  <c r="N64" i="10" s="1"/>
  <c r="E17" i="10"/>
  <c r="M72" i="10"/>
  <c r="N72" i="10" s="1"/>
  <c r="M17" i="10"/>
  <c r="O16" i="10"/>
  <c r="N8" i="10"/>
  <c r="F61" i="10"/>
  <c r="B68" i="10"/>
  <c r="C68" i="10" s="1"/>
  <c r="F17" i="10"/>
  <c r="O7" i="10"/>
  <c r="I15" i="10"/>
  <c r="I68" i="10" s="1"/>
  <c r="J68" i="10" s="1"/>
  <c r="E63" i="10"/>
  <c r="F63" i="10" s="1"/>
  <c r="E66" i="10"/>
  <c r="F66" i="10" s="1"/>
  <c r="E67" i="10"/>
  <c r="F67" i="10" s="1"/>
  <c r="E71" i="10"/>
  <c r="F71" i="10" s="1"/>
  <c r="E72" i="10"/>
  <c r="F72" i="10" s="1"/>
  <c r="M8" i="10"/>
  <c r="R13" i="10"/>
  <c r="C61" i="10"/>
  <c r="P7" i="10"/>
  <c r="B15" i="10"/>
  <c r="I61" i="10" s="1"/>
  <c r="J15" i="10"/>
  <c r="I69" i="10" s="1"/>
  <c r="J69" i="10" s="1"/>
  <c r="I16" i="10"/>
  <c r="M68" i="10" s="1"/>
  <c r="N68" i="10" s="1"/>
  <c r="B16" i="10"/>
  <c r="J16" i="10"/>
  <c r="M69" i="10" s="1"/>
  <c r="N69" i="10" s="1"/>
  <c r="I66" i="10"/>
  <c r="J66" i="10" s="1"/>
  <c r="N13" i="10"/>
  <c r="R4" i="10"/>
  <c r="O13" i="10"/>
  <c r="E15" i="10"/>
  <c r="I64" i="10" s="1"/>
  <c r="J64" i="10" s="1"/>
  <c r="M15" i="10"/>
  <c r="D16" i="10"/>
  <c r="M63" i="10" s="1"/>
  <c r="N63" i="10" s="1"/>
  <c r="L16" i="10"/>
  <c r="M71" i="10" s="1"/>
  <c r="N71" i="10" s="1"/>
  <c r="P13" i="10"/>
  <c r="I15" i="3"/>
  <c r="K15" i="3"/>
  <c r="G15" i="3"/>
  <c r="B15" i="3"/>
  <c r="M15" i="3"/>
  <c r="P15" i="3" s="1"/>
  <c r="F15" i="3"/>
  <c r="E15" i="3"/>
  <c r="C15" i="3"/>
  <c r="O11" i="3"/>
  <c r="N6" i="3"/>
  <c r="O12" i="3"/>
  <c r="L14" i="3"/>
  <c r="L15" i="3" s="1"/>
  <c r="D13" i="3"/>
  <c r="D14" i="3"/>
  <c r="D15" i="3" s="1"/>
  <c r="E13" i="3"/>
  <c r="B13" i="3"/>
  <c r="M13" i="3"/>
  <c r="P13" i="3" s="1"/>
  <c r="L13" i="3"/>
  <c r="K13" i="3"/>
  <c r="I13" i="3"/>
  <c r="C13" i="3"/>
  <c r="G13" i="3"/>
  <c r="J13" i="3"/>
  <c r="H13" i="3"/>
  <c r="F13" i="3"/>
  <c r="M5" i="3"/>
  <c r="P5" i="3" s="1"/>
  <c r="E5" i="3"/>
  <c r="F5" i="3"/>
  <c r="G5" i="3"/>
  <c r="H5" i="3"/>
  <c r="I5" i="3"/>
  <c r="J5" i="3"/>
  <c r="K5" i="3"/>
  <c r="L5" i="3"/>
  <c r="D5" i="3"/>
  <c r="C5" i="3"/>
  <c r="B5" i="3"/>
  <c r="E77" i="13" l="1"/>
  <c r="E79" i="13" s="1"/>
  <c r="B78" i="13"/>
  <c r="R13" i="13"/>
  <c r="B77" i="13"/>
  <c r="B79" i="13" s="1"/>
  <c r="M77" i="13"/>
  <c r="M78" i="13"/>
  <c r="M75" i="13"/>
  <c r="M82" i="13"/>
  <c r="M74" i="13"/>
  <c r="N61" i="13"/>
  <c r="M84" i="13"/>
  <c r="M85" i="13" s="1"/>
  <c r="M80" i="13"/>
  <c r="M76" i="13"/>
  <c r="M81" i="13" s="1"/>
  <c r="M83" i="13"/>
  <c r="J61" i="13"/>
  <c r="I74" i="13"/>
  <c r="E84" i="13"/>
  <c r="E85" i="13" s="1"/>
  <c r="D17" i="13"/>
  <c r="I72" i="13"/>
  <c r="J72" i="13" s="1"/>
  <c r="Q15" i="13"/>
  <c r="R15" i="13" s="1"/>
  <c r="P15" i="13"/>
  <c r="O15" i="13"/>
  <c r="O17" i="13"/>
  <c r="E80" i="13"/>
  <c r="P8" i="13"/>
  <c r="O8" i="13"/>
  <c r="Q8" i="13"/>
  <c r="R8" i="13" s="1"/>
  <c r="B82" i="13"/>
  <c r="C62" i="13"/>
  <c r="B74" i="13"/>
  <c r="B81" i="13" s="1"/>
  <c r="B83" i="13"/>
  <c r="E76" i="13"/>
  <c r="E81" i="13" s="1"/>
  <c r="L17" i="13"/>
  <c r="P17" i="13" s="1"/>
  <c r="P16" i="13"/>
  <c r="N16" i="13"/>
  <c r="K17" i="13"/>
  <c r="B17" i="13"/>
  <c r="Q17" i="13" s="1"/>
  <c r="R17" i="13" s="1"/>
  <c r="Q16" i="13"/>
  <c r="R16" i="13" s="1"/>
  <c r="B84" i="13"/>
  <c r="C17" i="13"/>
  <c r="B83" i="10"/>
  <c r="G17" i="10"/>
  <c r="B84" i="10"/>
  <c r="B77" i="10"/>
  <c r="B82" i="10"/>
  <c r="B75" i="10"/>
  <c r="B80" i="10"/>
  <c r="B74" i="10"/>
  <c r="J17" i="10"/>
  <c r="H7" i="12"/>
  <c r="E96" i="12"/>
  <c r="J7" i="12"/>
  <c r="G7" i="12"/>
  <c r="E92" i="12"/>
  <c r="N5" i="12"/>
  <c r="L7" i="12"/>
  <c r="P7" i="12" s="1"/>
  <c r="I7" i="12"/>
  <c r="N6" i="12"/>
  <c r="B7" i="12"/>
  <c r="Q7" i="12" s="1"/>
  <c r="R7" i="12" s="1"/>
  <c r="M83" i="12"/>
  <c r="M85" i="12" s="1"/>
  <c r="Q6" i="12"/>
  <c r="R6" i="12" s="1"/>
  <c r="P6" i="12"/>
  <c r="O6" i="12"/>
  <c r="M94" i="12"/>
  <c r="O7" i="12"/>
  <c r="D7" i="12"/>
  <c r="B88" i="12"/>
  <c r="B89" i="12"/>
  <c r="C73" i="12"/>
  <c r="B93" i="12"/>
  <c r="B95" i="12"/>
  <c r="B85" i="12"/>
  <c r="I83" i="12"/>
  <c r="I94" i="12" s="1"/>
  <c r="Q5" i="12"/>
  <c r="R5" i="12" s="1"/>
  <c r="P5" i="12"/>
  <c r="O5" i="12"/>
  <c r="R3" i="12"/>
  <c r="B91" i="12"/>
  <c r="B94" i="12"/>
  <c r="B87" i="12"/>
  <c r="C7" i="12"/>
  <c r="B86" i="12"/>
  <c r="Q63" i="12"/>
  <c r="R63" i="12" s="1"/>
  <c r="P63" i="12"/>
  <c r="O63" i="12"/>
  <c r="E90" i="12"/>
  <c r="E75" i="10"/>
  <c r="N15" i="10"/>
  <c r="B78" i="10"/>
  <c r="E77" i="10"/>
  <c r="J61" i="10"/>
  <c r="B79" i="10"/>
  <c r="D17" i="10"/>
  <c r="O15" i="10"/>
  <c r="I72" i="10"/>
  <c r="J72" i="10" s="1"/>
  <c r="Q15" i="10"/>
  <c r="P15" i="10"/>
  <c r="E83" i="10"/>
  <c r="Q8" i="10"/>
  <c r="P8" i="10"/>
  <c r="O8" i="10"/>
  <c r="E80" i="10"/>
  <c r="P16" i="10"/>
  <c r="M61" i="10"/>
  <c r="N16" i="10"/>
  <c r="B76" i="10"/>
  <c r="B81" i="10" s="1"/>
  <c r="E84" i="10"/>
  <c r="E74" i="10"/>
  <c r="Q16" i="10"/>
  <c r="R16" i="10" s="1"/>
  <c r="B17" i="10"/>
  <c r="Q17" i="10" s="1"/>
  <c r="R17" i="10" s="1"/>
  <c r="O17" i="10"/>
  <c r="E78" i="10"/>
  <c r="E76" i="10"/>
  <c r="L17" i="10"/>
  <c r="P17" i="10" s="1"/>
  <c r="E82" i="10"/>
  <c r="I17" i="10"/>
  <c r="N15" i="3"/>
  <c r="O15" i="3"/>
  <c r="N14" i="3"/>
  <c r="O14" i="3"/>
  <c r="O13" i="3"/>
  <c r="N13" i="3"/>
  <c r="O5" i="3"/>
  <c r="N5" i="3"/>
  <c r="I75" i="13" l="1"/>
  <c r="I82" i="13"/>
  <c r="I83" i="13"/>
  <c r="N17" i="13"/>
  <c r="B85" i="13"/>
  <c r="I76" i="13"/>
  <c r="I81" i="13" s="1"/>
  <c r="I78" i="13"/>
  <c r="M79" i="13"/>
  <c r="I80" i="13"/>
  <c r="Q19" i="13"/>
  <c r="R19" i="13" s="1"/>
  <c r="I84" i="13"/>
  <c r="I85" i="13" s="1"/>
  <c r="I77" i="13"/>
  <c r="I79" i="13" s="1"/>
  <c r="Q10" i="13"/>
  <c r="R10" i="13" s="1"/>
  <c r="M86" i="12"/>
  <c r="N7" i="12"/>
  <c r="M88" i="12"/>
  <c r="E85" i="10"/>
  <c r="B85" i="10"/>
  <c r="I74" i="10"/>
  <c r="I76" i="10"/>
  <c r="I80" i="10"/>
  <c r="I75" i="10"/>
  <c r="I78" i="10"/>
  <c r="I77" i="10"/>
  <c r="I83" i="10"/>
  <c r="E81" i="10"/>
  <c r="N17" i="10"/>
  <c r="M95" i="12"/>
  <c r="M87" i="12"/>
  <c r="M92" i="12" s="1"/>
  <c r="I93" i="12"/>
  <c r="B96" i="12"/>
  <c r="M91" i="12"/>
  <c r="B92" i="12"/>
  <c r="B90" i="12"/>
  <c r="J83" i="12"/>
  <c r="I87" i="12"/>
  <c r="I91" i="12"/>
  <c r="I85" i="12"/>
  <c r="Q65" i="12"/>
  <c r="R65" i="12" s="1"/>
  <c r="I89" i="12"/>
  <c r="N83" i="12"/>
  <c r="M93" i="12"/>
  <c r="M96" i="12" s="1"/>
  <c r="I88" i="12"/>
  <c r="I95" i="12"/>
  <c r="I86" i="12"/>
  <c r="Q9" i="12"/>
  <c r="R9" i="12" s="1"/>
  <c r="M89" i="12"/>
  <c r="R8" i="10"/>
  <c r="Q10" i="10"/>
  <c r="R10" i="10" s="1"/>
  <c r="E79" i="10"/>
  <c r="R15" i="10"/>
  <c r="Q19" i="10"/>
  <c r="R19" i="10" s="1"/>
  <c r="M83" i="10"/>
  <c r="M77" i="10"/>
  <c r="M75" i="10"/>
  <c r="N61" i="10"/>
  <c r="M84" i="10"/>
  <c r="M82" i="10"/>
  <c r="M80" i="10"/>
  <c r="M78" i="10"/>
  <c r="M76" i="10"/>
  <c r="M74" i="10"/>
  <c r="I82" i="10"/>
  <c r="I84" i="10"/>
  <c r="M90" i="12" l="1"/>
  <c r="I79" i="10"/>
  <c r="I81" i="10"/>
  <c r="M79" i="10"/>
  <c r="I96" i="12"/>
  <c r="I90" i="12"/>
  <c r="I92" i="12"/>
  <c r="M85" i="10"/>
  <c r="M81" i="10"/>
  <c r="I85" i="10"/>
</calcChain>
</file>

<file path=xl/sharedStrings.xml><?xml version="1.0" encoding="utf-8"?>
<sst xmlns="http://schemas.openxmlformats.org/spreadsheetml/2006/main" count="384" uniqueCount="86">
  <si>
    <t>Author:-</t>
  </si>
  <si>
    <t>aditya agarwal</t>
  </si>
  <si>
    <t>Growth PA</t>
  </si>
  <si>
    <t>Student ID:-</t>
  </si>
  <si>
    <t xml:space="preserve">Allocated Suburb:- </t>
  </si>
  <si>
    <t>"ALFREDTON"</t>
  </si>
  <si>
    <t>Median House Prices (including Land)</t>
  </si>
  <si>
    <t xml:space="preserve">Median Vacant Land Prices </t>
  </si>
  <si>
    <t xml:space="preserve">Median House Prices (including Land) </t>
  </si>
  <si>
    <t xml:space="preserve">Consumer Price Index (CPI) </t>
  </si>
  <si>
    <t>Median Vacant Land Prices</t>
  </si>
  <si>
    <t>Cost of Building ONLY the House on the Land</t>
  </si>
  <si>
    <t>Suburb:- ALFREDTON</t>
  </si>
  <si>
    <t>Inflation Adjusted Prices (According to June 2021)</t>
  </si>
  <si>
    <t>INTRODUCTION &amp; CONTENTS</t>
  </si>
  <si>
    <t>Unit:</t>
  </si>
  <si>
    <t>Fundamentals Of Business Analytics</t>
  </si>
  <si>
    <t>Unit Code:</t>
  </si>
  <si>
    <t>BUSA2020</t>
  </si>
  <si>
    <t>Spreadsheet Functions [Week 4]</t>
  </si>
  <si>
    <t>Assignment 1:</t>
  </si>
  <si>
    <t>Revenue 10%</t>
  </si>
  <si>
    <t>Revenue 10 %</t>
  </si>
  <si>
    <t>Selling Price of the house (for the buyer)</t>
  </si>
  <si>
    <t>[2]</t>
  </si>
  <si>
    <t>[1]</t>
  </si>
  <si>
    <t>2010 [1]</t>
  </si>
  <si>
    <t>[3]</t>
  </si>
  <si>
    <t>[4]</t>
  </si>
  <si>
    <t>[5]</t>
  </si>
  <si>
    <t>[6]</t>
  </si>
  <si>
    <t>[7]</t>
  </si>
  <si>
    <t>[8]</t>
  </si>
  <si>
    <t>[9]</t>
  </si>
  <si>
    <t>[10]</t>
  </si>
  <si>
    <t>[11]</t>
  </si>
  <si>
    <t>[12]</t>
  </si>
  <si>
    <t>change (10)-(11)  %</t>
  </si>
  <si>
    <t>2011 [2]</t>
  </si>
  <si>
    <t>2012 [3]</t>
  </si>
  <si>
    <t>2013 [4]</t>
  </si>
  <si>
    <t>2014 [5]</t>
  </si>
  <si>
    <t>2015 [6]</t>
  </si>
  <si>
    <t>2016 [7]</t>
  </si>
  <si>
    <t>2017 [8]</t>
  </si>
  <si>
    <t>2018 [9]</t>
  </si>
  <si>
    <t>2019 [10]</t>
  </si>
  <si>
    <t>2020 [11]</t>
  </si>
  <si>
    <t>Prelim 2021 [12]</t>
  </si>
  <si>
    <r>
      <t xml:space="preserve"> </t>
    </r>
    <r>
      <rPr>
        <b/>
        <sz val="12"/>
        <color rgb="FF000000"/>
        <rFont val="Arial"/>
        <family val="2"/>
      </rPr>
      <t xml:space="preserve">change 2019-2020 </t>
    </r>
    <r>
      <rPr>
        <b/>
        <sz val="13"/>
        <color indexed="8"/>
        <rFont val="Arial"/>
        <family val="2"/>
      </rPr>
      <t>%</t>
    </r>
  </si>
  <si>
    <t>change (1)-(11) %</t>
  </si>
  <si>
    <t>change 2010-2020 %</t>
  </si>
  <si>
    <t>Revenue 10 % (Not Adjusted)</t>
  </si>
  <si>
    <t>Growth PA %</t>
  </si>
  <si>
    <t>change [1]-[6]  %</t>
  </si>
  <si>
    <t>change [7]-[12] %</t>
  </si>
  <si>
    <t>Revenue 10% (Adjusted for inflation)</t>
  </si>
  <si>
    <t>change [11] - [12] %</t>
  </si>
  <si>
    <r>
      <t xml:space="preserve"> change 2010[1]-2015 [6]</t>
    </r>
    <r>
      <rPr>
        <b/>
        <sz val="12"/>
        <color rgb="FF000000"/>
        <rFont val="Arial"/>
        <family val="2"/>
      </rPr>
      <t xml:space="preserve"> </t>
    </r>
    <r>
      <rPr>
        <b/>
        <sz val="13"/>
        <color indexed="8"/>
        <rFont val="Arial"/>
        <family val="2"/>
      </rPr>
      <t>%</t>
    </r>
  </si>
  <si>
    <t>change 2016[7] -2021[12] %</t>
  </si>
  <si>
    <t>change 2020[11]-2021[12] %</t>
  </si>
  <si>
    <t>Median House prices with land</t>
  </si>
  <si>
    <t>MEAN</t>
  </si>
  <si>
    <t>MEDIAN</t>
  </si>
  <si>
    <t>RANGE</t>
  </si>
  <si>
    <t>MAX</t>
  </si>
  <si>
    <t>MIN</t>
  </si>
  <si>
    <t>VARIANCE</t>
  </si>
  <si>
    <t>STANDARD DEVIATION</t>
  </si>
  <si>
    <t>COEFFICIENT OF VARIATION</t>
  </si>
  <si>
    <t>Q1</t>
  </si>
  <si>
    <t>Q2</t>
  </si>
  <si>
    <t>Q3</t>
  </si>
  <si>
    <t>INTER-QUARTILE RANGE</t>
  </si>
  <si>
    <t xml:space="preserve">Summary Statistics </t>
  </si>
  <si>
    <t>z-Scores</t>
  </si>
  <si>
    <t>Cost of Building ONLY the house</t>
  </si>
  <si>
    <t>Summary Statistics</t>
  </si>
  <si>
    <t xml:space="preserve">Geometric Mean:- </t>
  </si>
  <si>
    <t>Geometric Mean:-</t>
  </si>
  <si>
    <t>Suburb:- ALFREDTON (Prices not adjusted)</t>
  </si>
  <si>
    <t xml:space="preserve"> Spreadsheet 1</t>
  </si>
  <si>
    <t>Spreadsheet 2</t>
  </si>
  <si>
    <t>Spreadsheet 3</t>
  </si>
  <si>
    <t>Spreadsheet 4</t>
  </si>
  <si>
    <t>Spreadsheet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</si>
</sst>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quot;$&quot;#,##0"/>
    <numFmt numFmtId="7" formatCode="&quot;$&quot;#,##0.00;\-&quot;$&quot;#,##0.00"/>
    <numFmt numFmtId="42" formatCode="_-&quot;$&quot;* #,##0_-;\-&quot;$&quot;* #,##0_-;_-&quot;$&quot;* &quot;-&quot;_-;_-@_-"/>
    <numFmt numFmtId="41" formatCode="_-* #,##0_-;\-* #,##0_-;_-* &quot;-&quot;_-;_-@_-"/>
    <numFmt numFmtId="44" formatCode="_-&quot;$&quot;* #,##0.00_-;\-&quot;$&quot;* #,##0.00_-;_-&quot;$&quot;* &quot;-&quot;??_-;_-@_-"/>
    <numFmt numFmtId="164" formatCode="_-* #,##0.0_-;\-* #,##0.0_-;_-* &quot;-&quot;?_-;_-@_-"/>
    <numFmt numFmtId="165" formatCode="0.000"/>
    <numFmt numFmtId="166" formatCode="_-* #,##0.000_-;\-* #,##0.000_-;_-* &quot;-&quot;???_-;_-@_-"/>
    <numFmt numFmtId="167" formatCode="0.0"/>
  </numFmts>
  <fonts count="20" x14ac:knownFonts="1">
    <font>
      <sz val="12"/>
      <color theme="1"/>
      <name val="Calibri"/>
      <family val="2"/>
      <scheme val="minor"/>
    </font>
    <font>
      <sz val="12"/>
      <color theme="1"/>
      <name val="Calibri"/>
      <family val="2"/>
      <scheme val="minor"/>
    </font>
    <font>
      <sz val="13"/>
      <color theme="1"/>
      <name val="Calibri"/>
      <family val="2"/>
      <scheme val="minor"/>
    </font>
    <font>
      <b/>
      <sz val="13"/>
      <color theme="1"/>
      <name val="Calibri"/>
      <family val="2"/>
      <scheme val="minor"/>
    </font>
    <font>
      <b/>
      <sz val="13"/>
      <color indexed="8"/>
      <name val="Arial"/>
      <family val="2"/>
    </font>
    <font>
      <sz val="13"/>
      <color indexed="8"/>
      <name val="Arial"/>
      <family val="2"/>
    </font>
    <font>
      <i/>
      <sz val="12"/>
      <color theme="1"/>
      <name val="Calibri"/>
      <family val="2"/>
      <scheme val="minor"/>
    </font>
    <font>
      <b/>
      <sz val="12"/>
      <color theme="1"/>
      <name val="Calibri"/>
      <family val="2"/>
      <scheme val="minor"/>
    </font>
    <font>
      <i/>
      <sz val="13"/>
      <color theme="1"/>
      <name val="Calibri"/>
      <family val="2"/>
      <scheme val="minor"/>
    </font>
    <font>
      <b/>
      <sz val="12"/>
      <color rgb="FF000000"/>
      <name val="Arial"/>
      <family val="2"/>
    </font>
    <font>
      <b/>
      <sz val="12"/>
      <color indexed="8"/>
      <name val="Arial"/>
      <family val="2"/>
    </font>
    <font>
      <sz val="9"/>
      <color theme="1"/>
      <name val="Segoe UI"/>
      <family val="2"/>
    </font>
    <font>
      <sz val="12"/>
      <color theme="1"/>
      <name val="Bodoni MT"/>
      <family val="1"/>
    </font>
    <font>
      <sz val="8"/>
      <name val="Calibri"/>
      <family val="2"/>
      <scheme val="minor"/>
    </font>
    <font>
      <i/>
      <sz val="13"/>
      <color indexed="8"/>
      <name val="Arial"/>
      <family val="2"/>
    </font>
    <font>
      <b/>
      <i/>
      <sz val="12"/>
      <color theme="1"/>
      <name val="Calibri"/>
      <family val="2"/>
      <scheme val="minor"/>
    </font>
    <font>
      <i/>
      <sz val="14"/>
      <color theme="1"/>
      <name val="Calibri"/>
      <family val="2"/>
      <scheme val="minor"/>
    </font>
    <font>
      <b/>
      <sz val="12"/>
      <color theme="1"/>
      <name val="Segoe UI"/>
      <family val="2"/>
    </font>
    <font>
      <b/>
      <sz val="12"/>
      <color theme="1"/>
      <name val="Segoe UI"/>
      <family val="2"/>
    </font>
    <font>
      <b/>
      <sz val="16"/>
      <color theme="1"/>
      <name val="Baskerville Old Face"/>
      <family val="1"/>
    </font>
  </fonts>
  <fills count="5">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4">
    <xf numFmtId="0" fontId="0" fillId="0" borderId="0"/>
    <xf numFmtId="44" fontId="1" fillId="0" borderId="0" applyFont="0" applyFill="0" applyBorder="0" applyAlignment="0" applyProtection="0"/>
    <xf numFmtId="41" fontId="1" fillId="0" borderId="0" applyFont="0" applyFill="0" applyBorder="0" applyAlignment="0" applyProtection="0"/>
    <xf numFmtId="9" fontId="1" fillId="0" borderId="0" applyFont="0" applyFill="0" applyBorder="0" applyAlignment="0" applyProtection="0"/>
  </cellStyleXfs>
  <cellXfs count="147">
    <xf numFmtId="0" fontId="0" fillId="0" borderId="0" xfId="0"/>
    <xf numFmtId="0" fontId="0" fillId="0" borderId="0" xfId="0" applyBorder="1" applyAlignment="1">
      <alignment horizontal="center"/>
    </xf>
    <xf numFmtId="0" fontId="2" fillId="0" borderId="0" xfId="0" applyFont="1"/>
    <xf numFmtId="0" fontId="3" fillId="0" borderId="0" xfId="0" applyFont="1" applyBorder="1"/>
    <xf numFmtId="0" fontId="4" fillId="0" borderId="0" xfId="0" applyFont="1" applyBorder="1" applyAlignment="1">
      <alignment vertical="center" wrapText="1"/>
    </xf>
    <xf numFmtId="42" fontId="2" fillId="0" borderId="0" xfId="1" applyNumberFormat="1" applyFont="1"/>
    <xf numFmtId="0" fontId="3" fillId="0" borderId="1" xfId="0" applyFont="1" applyBorder="1"/>
    <xf numFmtId="0" fontId="7" fillId="0" borderId="1" xfId="0" applyFont="1" applyBorder="1"/>
    <xf numFmtId="0" fontId="8" fillId="0" borderId="2" xfId="0" applyFont="1" applyBorder="1"/>
    <xf numFmtId="42" fontId="2" fillId="2" borderId="0" xfId="1" applyNumberFormat="1" applyFont="1" applyFill="1"/>
    <xf numFmtId="0" fontId="2" fillId="0" borderId="0" xfId="0" applyFont="1" applyBorder="1"/>
    <xf numFmtId="0" fontId="3" fillId="0" borderId="3" xfId="0" applyFont="1" applyBorder="1"/>
    <xf numFmtId="0" fontId="7" fillId="0" borderId="3" xfId="0" applyFont="1" applyBorder="1"/>
    <xf numFmtId="0" fontId="10" fillId="0" borderId="1" xfId="0" applyFont="1" applyBorder="1" applyAlignment="1">
      <alignment vertical="center" wrapText="1"/>
    </xf>
    <xf numFmtId="0" fontId="0" fillId="0" borderId="0" xfId="0" applyAlignment="1">
      <alignment horizontal="center"/>
    </xf>
    <xf numFmtId="0" fontId="0" fillId="0" borderId="0" xfId="0" applyAlignment="1">
      <alignment horizontal="right"/>
    </xf>
    <xf numFmtId="0" fontId="6" fillId="0" borderId="0" xfId="0" applyFont="1" applyAlignment="1">
      <alignment horizontal="center"/>
    </xf>
    <xf numFmtId="0" fontId="0" fillId="0" borderId="0" xfId="0" applyFont="1"/>
    <xf numFmtId="0" fontId="11" fillId="0" borderId="0" xfId="0" applyFont="1" applyAlignment="1">
      <alignment vertical="center"/>
    </xf>
    <xf numFmtId="0" fontId="12" fillId="0" borderId="0" xfId="0" applyFont="1"/>
    <xf numFmtId="0" fontId="0" fillId="0" borderId="6" xfId="0" applyBorder="1"/>
    <xf numFmtId="0" fontId="0" fillId="0" borderId="7" xfId="0" applyBorder="1"/>
    <xf numFmtId="42" fontId="3" fillId="0" borderId="3" xfId="1" applyNumberFormat="1" applyFont="1" applyBorder="1"/>
    <xf numFmtId="5" fontId="5" fillId="2" borderId="0" xfId="1" applyNumberFormat="1" applyFont="1" applyFill="1" applyAlignment="1">
      <alignment vertical="top"/>
    </xf>
    <xf numFmtId="5" fontId="5" fillId="2" borderId="4" xfId="1" applyNumberFormat="1" applyFont="1" applyFill="1" applyBorder="1" applyAlignment="1">
      <alignment vertical="top"/>
    </xf>
    <xf numFmtId="5" fontId="5" fillId="2" borderId="2" xfId="1" applyNumberFormat="1" applyFont="1" applyFill="1" applyBorder="1" applyAlignment="1">
      <alignment vertical="top"/>
    </xf>
    <xf numFmtId="5" fontId="2" fillId="2" borderId="0" xfId="0" applyNumberFormat="1" applyFont="1" applyFill="1"/>
    <xf numFmtId="5" fontId="2" fillId="2" borderId="2" xfId="0" applyNumberFormat="1" applyFont="1" applyFill="1" applyBorder="1"/>
    <xf numFmtId="0" fontId="4" fillId="0" borderId="3" xfId="0" applyFont="1" applyBorder="1" applyAlignment="1">
      <alignment horizontal="center" vertical="center" wrapText="1"/>
    </xf>
    <xf numFmtId="0" fontId="8" fillId="0" borderId="0" xfId="0" applyFont="1" applyBorder="1"/>
    <xf numFmtId="5" fontId="2" fillId="2" borderId="0" xfId="1" applyNumberFormat="1" applyFont="1" applyFill="1" applyBorder="1"/>
    <xf numFmtId="41" fontId="5" fillId="2" borderId="0" xfId="0" applyNumberFormat="1" applyFont="1" applyFill="1" applyBorder="1" applyAlignment="1">
      <alignment vertical="top"/>
    </xf>
    <xf numFmtId="1" fontId="2" fillId="0" borderId="0" xfId="0" applyNumberFormat="1" applyFont="1" applyBorder="1"/>
    <xf numFmtId="0" fontId="8" fillId="0" borderId="4" xfId="0" applyFont="1" applyBorder="1"/>
    <xf numFmtId="42" fontId="14" fillId="2" borderId="2" xfId="1" applyNumberFormat="1" applyFont="1" applyFill="1" applyBorder="1" applyAlignment="1">
      <alignment vertical="top"/>
    </xf>
    <xf numFmtId="5" fontId="2" fillId="2" borderId="2" xfId="1" applyNumberFormat="1" applyFont="1" applyFill="1" applyBorder="1"/>
    <xf numFmtId="5" fontId="2" fillId="0" borderId="0" xfId="0" applyNumberFormat="1" applyFont="1"/>
    <xf numFmtId="0" fontId="4" fillId="0" borderId="1" xfId="0" applyFont="1" applyBorder="1" applyAlignment="1">
      <alignment horizontal="center" vertical="center" wrapText="1"/>
    </xf>
    <xf numFmtId="0" fontId="10" fillId="0" borderId="1" xfId="0" applyFont="1" applyBorder="1" applyAlignment="1">
      <alignment horizontal="center" vertical="center" wrapText="1"/>
    </xf>
    <xf numFmtId="164" fontId="5" fillId="2" borderId="6" xfId="0" applyNumberFormat="1" applyFont="1" applyFill="1" applyBorder="1" applyAlignment="1">
      <alignment vertical="top"/>
    </xf>
    <xf numFmtId="164" fontId="0" fillId="0" borderId="7" xfId="0" applyNumberFormat="1" applyBorder="1"/>
    <xf numFmtId="165" fontId="5" fillId="2" borderId="6" xfId="0" applyNumberFormat="1" applyFont="1" applyFill="1" applyBorder="1" applyAlignment="1">
      <alignment vertical="top"/>
    </xf>
    <xf numFmtId="165" fontId="0" fillId="0" borderId="6" xfId="0" applyNumberFormat="1" applyBorder="1"/>
    <xf numFmtId="166" fontId="0" fillId="2" borderId="2" xfId="0" applyNumberFormat="1" applyFill="1" applyBorder="1"/>
    <xf numFmtId="164" fontId="0" fillId="0" borderId="6" xfId="0" applyNumberFormat="1" applyBorder="1"/>
    <xf numFmtId="166" fontId="0" fillId="2" borderId="0" xfId="0" applyNumberFormat="1" applyFill="1" applyBorder="1"/>
    <xf numFmtId="7" fontId="0" fillId="0" borderId="0" xfId="0" applyNumberFormat="1"/>
    <xf numFmtId="0" fontId="3" fillId="0" borderId="1" xfId="0" applyFont="1" applyFill="1" applyBorder="1"/>
    <xf numFmtId="1" fontId="0" fillId="0" borderId="7" xfId="0" applyNumberFormat="1" applyBorder="1"/>
    <xf numFmtId="1" fontId="0" fillId="2" borderId="0" xfId="0" applyNumberFormat="1" applyFill="1" applyBorder="1"/>
    <xf numFmtId="5" fontId="5" fillId="2" borderId="8" xfId="1" applyNumberFormat="1" applyFont="1" applyFill="1" applyBorder="1" applyAlignment="1">
      <alignment vertical="top"/>
    </xf>
    <xf numFmtId="5" fontId="5" fillId="2" borderId="0" xfId="1" applyNumberFormat="1" applyFont="1" applyFill="1" applyBorder="1" applyAlignment="1">
      <alignment vertical="top"/>
    </xf>
    <xf numFmtId="41" fontId="5" fillId="2" borderId="7" xfId="0" applyNumberFormat="1" applyFont="1" applyFill="1" applyBorder="1" applyAlignment="1">
      <alignment vertical="top"/>
    </xf>
    <xf numFmtId="166" fontId="5" fillId="2" borderId="4" xfId="0" applyNumberFormat="1" applyFont="1" applyFill="1" applyBorder="1" applyAlignment="1">
      <alignment vertical="top"/>
    </xf>
    <xf numFmtId="0" fontId="0" fillId="0" borderId="9" xfId="0" applyBorder="1"/>
    <xf numFmtId="0" fontId="0" fillId="0" borderId="0" xfId="0" applyBorder="1"/>
    <xf numFmtId="0" fontId="0" fillId="0" borderId="2" xfId="0" applyBorder="1"/>
    <xf numFmtId="0" fontId="15" fillId="0" borderId="9" xfId="0" applyFont="1" applyBorder="1"/>
    <xf numFmtId="0" fontId="3" fillId="0" borderId="5" xfId="0" applyFont="1" applyBorder="1" applyAlignment="1">
      <alignment horizontal="center"/>
    </xf>
    <xf numFmtId="0" fontId="15" fillId="0" borderId="0" xfId="0" applyFont="1" applyBorder="1"/>
    <xf numFmtId="1" fontId="16" fillId="0" borderId="0" xfId="0" applyNumberFormat="1" applyFont="1" applyAlignment="1">
      <alignment horizontal="center"/>
    </xf>
    <xf numFmtId="5" fontId="0" fillId="0" borderId="2" xfId="0" applyNumberFormat="1" applyBorder="1"/>
    <xf numFmtId="0" fontId="0" fillId="0" borderId="2" xfId="0" applyBorder="1" applyAlignment="1">
      <alignment horizontal="center"/>
    </xf>
    <xf numFmtId="0" fontId="0" fillId="0" borderId="12" xfId="0" applyBorder="1"/>
    <xf numFmtId="0" fontId="7" fillId="0" borderId="5" xfId="0" applyFont="1" applyBorder="1"/>
    <xf numFmtId="0" fontId="16" fillId="0" borderId="4" xfId="0" applyFont="1" applyBorder="1" applyAlignment="1">
      <alignment horizontal="center"/>
    </xf>
    <xf numFmtId="0" fontId="16" fillId="0" borderId="2" xfId="0" applyFont="1" applyBorder="1" applyAlignment="1">
      <alignment horizontal="center"/>
    </xf>
    <xf numFmtId="0" fontId="15" fillId="0" borderId="2" xfId="0" applyFont="1" applyBorder="1"/>
    <xf numFmtId="5" fontId="0" fillId="0" borderId="6" xfId="0" applyNumberFormat="1" applyBorder="1" applyAlignment="1">
      <alignment horizontal="center"/>
    </xf>
    <xf numFmtId="5" fontId="0" fillId="0" borderId="7" xfId="0" applyNumberFormat="1" applyBorder="1" applyAlignment="1">
      <alignment horizontal="center"/>
    </xf>
    <xf numFmtId="0" fontId="0" fillId="0" borderId="7" xfId="0" applyBorder="1" applyAlignment="1">
      <alignment horizontal="center"/>
    </xf>
    <xf numFmtId="39" fontId="0" fillId="0" borderId="7" xfId="0" applyNumberFormat="1" applyBorder="1" applyAlignment="1">
      <alignment horizontal="center"/>
    </xf>
    <xf numFmtId="2" fontId="0" fillId="0" borderId="7" xfId="0" applyNumberFormat="1" applyBorder="1" applyAlignment="1">
      <alignment horizontal="center"/>
    </xf>
    <xf numFmtId="10" fontId="0" fillId="0" borderId="7" xfId="3" applyNumberFormat="1" applyFont="1" applyBorder="1" applyAlignment="1">
      <alignment horizontal="center"/>
    </xf>
    <xf numFmtId="165" fontId="0" fillId="0" borderId="7" xfId="0" applyNumberFormat="1" applyBorder="1" applyAlignment="1">
      <alignment horizontal="center"/>
    </xf>
    <xf numFmtId="1" fontId="16" fillId="0" borderId="6" xfId="0" applyNumberFormat="1" applyFont="1" applyBorder="1" applyAlignment="1">
      <alignment horizontal="center"/>
    </xf>
    <xf numFmtId="1" fontId="16" fillId="0" borderId="7" xfId="0" applyNumberFormat="1" applyFont="1" applyBorder="1" applyAlignment="1">
      <alignment horizontal="center"/>
    </xf>
    <xf numFmtId="0" fontId="15" fillId="0" borderId="7" xfId="0" applyFont="1" applyBorder="1"/>
    <xf numFmtId="5" fontId="0" fillId="0" borderId="4" xfId="0" applyNumberFormat="1" applyBorder="1" applyAlignment="1">
      <alignment horizontal="center"/>
    </xf>
    <xf numFmtId="5" fontId="0" fillId="0" borderId="2" xfId="0" applyNumberFormat="1" applyBorder="1" applyAlignment="1">
      <alignment horizontal="center"/>
    </xf>
    <xf numFmtId="2" fontId="0" fillId="0" borderId="2" xfId="0" applyNumberFormat="1" applyBorder="1" applyAlignment="1">
      <alignment horizontal="center"/>
    </xf>
    <xf numFmtId="0" fontId="0" fillId="0" borderId="3" xfId="0" applyBorder="1" applyAlignment="1">
      <alignment horizontal="left"/>
    </xf>
    <xf numFmtId="165" fontId="0" fillId="0" borderId="9" xfId="0" applyNumberFormat="1" applyBorder="1" applyAlignment="1">
      <alignment horizontal="center"/>
    </xf>
    <xf numFmtId="2" fontId="0" fillId="0" borderId="12" xfId="0" applyNumberFormat="1" applyBorder="1" applyAlignment="1">
      <alignment horizontal="center"/>
    </xf>
    <xf numFmtId="0" fontId="0" fillId="0" borderId="4" xfId="0" applyBorder="1"/>
    <xf numFmtId="0" fontId="7" fillId="0" borderId="13" xfId="0" applyFont="1" applyBorder="1"/>
    <xf numFmtId="0" fontId="15" fillId="0" borderId="12" xfId="0" applyFont="1" applyBorder="1"/>
    <xf numFmtId="0" fontId="0" fillId="0" borderId="11" xfId="0" applyBorder="1" applyAlignment="1">
      <alignment horizontal="center"/>
    </xf>
    <xf numFmtId="0" fontId="15" fillId="0" borderId="14" xfId="0" applyFont="1" applyBorder="1"/>
    <xf numFmtId="0" fontId="7" fillId="0" borderId="13" xfId="0" applyFont="1" applyBorder="1" applyAlignment="1">
      <alignment horizontal="left"/>
    </xf>
    <xf numFmtId="0" fontId="15" fillId="0" borderId="4" xfId="0" applyFont="1" applyBorder="1"/>
    <xf numFmtId="39" fontId="0" fillId="0" borderId="6" xfId="0" applyNumberFormat="1" applyBorder="1" applyAlignment="1">
      <alignment horizontal="center"/>
    </xf>
    <xf numFmtId="0" fontId="15" fillId="0" borderId="6" xfId="0" applyFont="1" applyBorder="1"/>
    <xf numFmtId="2" fontId="0" fillId="0" borderId="6" xfId="0" applyNumberFormat="1" applyBorder="1" applyAlignment="1">
      <alignment horizontal="center"/>
    </xf>
    <xf numFmtId="0" fontId="0" fillId="0" borderId="4" xfId="0" applyBorder="1" applyAlignment="1">
      <alignment horizontal="center"/>
    </xf>
    <xf numFmtId="0" fontId="15" fillId="0" borderId="10" xfId="0" applyFont="1" applyBorder="1"/>
    <xf numFmtId="2" fontId="0" fillId="0" borderId="4" xfId="0" applyNumberFormat="1" applyBorder="1" applyAlignment="1">
      <alignment horizontal="center"/>
    </xf>
    <xf numFmtId="10" fontId="0" fillId="0" borderId="2" xfId="3" applyNumberFormat="1" applyFont="1" applyBorder="1" applyAlignment="1">
      <alignment horizontal="center"/>
    </xf>
    <xf numFmtId="0" fontId="7" fillId="0" borderId="1" xfId="0" applyFont="1" applyBorder="1" applyAlignment="1">
      <alignment horizontal="center"/>
    </xf>
    <xf numFmtId="164" fontId="5" fillId="2" borderId="0" xfId="0" applyNumberFormat="1" applyFont="1" applyFill="1" applyBorder="1" applyAlignment="1">
      <alignment vertical="top"/>
    </xf>
    <xf numFmtId="0" fontId="17" fillId="0" borderId="0" xfId="0" applyFont="1" applyAlignment="1">
      <alignment vertical="center"/>
    </xf>
    <xf numFmtId="1" fontId="3" fillId="0" borderId="0" xfId="0" applyNumberFormat="1" applyFont="1" applyBorder="1"/>
    <xf numFmtId="165" fontId="3" fillId="0" borderId="0" xfId="0" applyNumberFormat="1" applyFont="1" applyBorder="1"/>
    <xf numFmtId="167" fontId="3" fillId="0" borderId="0" xfId="0" applyNumberFormat="1" applyFont="1" applyBorder="1"/>
    <xf numFmtId="165" fontId="18" fillId="0" borderId="0" xfId="0" applyNumberFormat="1" applyFont="1" applyAlignment="1">
      <alignment vertical="center"/>
    </xf>
    <xf numFmtId="164" fontId="7" fillId="0" borderId="0" xfId="0" applyNumberFormat="1" applyFont="1" applyFill="1" applyBorder="1"/>
    <xf numFmtId="165" fontId="0" fillId="0" borderId="2" xfId="0" applyNumberFormat="1" applyBorder="1" applyAlignment="1">
      <alignment horizontal="center"/>
    </xf>
    <xf numFmtId="165" fontId="0" fillId="0" borderId="6" xfId="0" applyNumberFormat="1" applyBorder="1" applyAlignment="1">
      <alignment horizontal="center"/>
    </xf>
    <xf numFmtId="0" fontId="8" fillId="0" borderId="12" xfId="0" applyFont="1" applyBorder="1"/>
    <xf numFmtId="5" fontId="2" fillId="2" borderId="11" xfId="1" applyNumberFormat="1" applyFont="1" applyFill="1" applyBorder="1"/>
    <xf numFmtId="41" fontId="5" fillId="2" borderId="9" xfId="0" applyNumberFormat="1" applyFont="1" applyFill="1" applyBorder="1" applyAlignment="1">
      <alignment vertical="top"/>
    </xf>
    <xf numFmtId="166" fontId="5" fillId="2" borderId="3" xfId="0" applyNumberFormat="1" applyFont="1" applyFill="1" applyBorder="1" applyAlignment="1">
      <alignment vertical="top"/>
    </xf>
    <xf numFmtId="164" fontId="5" fillId="2" borderId="1" xfId="0" applyNumberFormat="1" applyFont="1" applyFill="1" applyBorder="1" applyAlignment="1">
      <alignment vertical="top"/>
    </xf>
    <xf numFmtId="0" fontId="0" fillId="3" borderId="0" xfId="0" applyFill="1"/>
    <xf numFmtId="0" fontId="6" fillId="3" borderId="0" xfId="0" applyFont="1" applyFill="1"/>
    <xf numFmtId="0" fontId="7" fillId="3" borderId="0" xfId="0" applyFont="1" applyFill="1"/>
    <xf numFmtId="0" fontId="6" fillId="3" borderId="0" xfId="0" applyFont="1" applyFill="1" applyAlignment="1">
      <alignment horizontal="center"/>
    </xf>
    <xf numFmtId="0" fontId="0" fillId="4" borderId="0" xfId="0" applyFill="1" applyAlignment="1">
      <alignment horizontal="center"/>
    </xf>
    <xf numFmtId="0" fontId="6" fillId="0" borderId="0" xfId="0" applyFont="1" applyFill="1"/>
    <xf numFmtId="0" fontId="7" fillId="0" borderId="0" xfId="0" applyFont="1" applyFill="1"/>
    <xf numFmtId="165" fontId="5" fillId="2" borderId="1" xfId="0" applyNumberFormat="1" applyFont="1" applyFill="1" applyBorder="1" applyAlignment="1">
      <alignment vertical="top"/>
    </xf>
    <xf numFmtId="0" fontId="6" fillId="0" borderId="12" xfId="0" applyFont="1" applyBorder="1"/>
    <xf numFmtId="5" fontId="2" fillId="0" borderId="11" xfId="0" applyNumberFormat="1" applyFont="1" applyBorder="1"/>
    <xf numFmtId="164" fontId="0" fillId="0" borderId="9" xfId="0" applyNumberFormat="1" applyBorder="1"/>
    <xf numFmtId="165" fontId="0" fillId="0" borderId="1" xfId="0" applyNumberFormat="1" applyBorder="1"/>
    <xf numFmtId="0" fontId="3" fillId="0" borderId="4" xfId="0" applyFont="1" applyBorder="1"/>
    <xf numFmtId="0" fontId="7" fillId="0" borderId="4" xfId="0" applyFont="1" applyBorder="1"/>
    <xf numFmtId="164" fontId="5" fillId="0" borderId="6" xfId="0" applyNumberFormat="1" applyFont="1" applyFill="1" applyBorder="1" applyAlignment="1">
      <alignment vertical="top"/>
    </xf>
    <xf numFmtId="164" fontId="5" fillId="0" borderId="7" xfId="0" applyNumberFormat="1" applyFont="1" applyFill="1" applyBorder="1" applyAlignment="1">
      <alignment vertical="top"/>
    </xf>
    <xf numFmtId="164" fontId="5" fillId="0" borderId="2" xfId="0" applyNumberFormat="1" applyFont="1" applyFill="1" applyBorder="1" applyAlignment="1">
      <alignment vertical="top"/>
    </xf>
    <xf numFmtId="164" fontId="5" fillId="0" borderId="9" xfId="0" applyNumberFormat="1" applyFont="1" applyFill="1" applyBorder="1" applyAlignment="1">
      <alignment vertical="top"/>
    </xf>
    <xf numFmtId="164" fontId="2" fillId="0" borderId="7" xfId="0" applyNumberFormat="1" applyFont="1" applyFill="1" applyBorder="1"/>
    <xf numFmtId="164" fontId="2" fillId="0" borderId="9" xfId="0" applyNumberFormat="1" applyFont="1" applyFill="1" applyBorder="1"/>
    <xf numFmtId="164" fontId="0" fillId="0" borderId="2" xfId="0" applyNumberFormat="1" applyFill="1" applyBorder="1"/>
    <xf numFmtId="164" fontId="0" fillId="0" borderId="12" xfId="0" applyNumberFormat="1" applyFill="1" applyBorder="1"/>
    <xf numFmtId="42" fontId="14" fillId="0" borderId="2" xfId="1" applyNumberFormat="1" applyFont="1" applyFill="1" applyBorder="1" applyAlignment="1">
      <alignment vertical="top"/>
    </xf>
    <xf numFmtId="0" fontId="8" fillId="0" borderId="2" xfId="0" applyFont="1" applyFill="1" applyBorder="1"/>
    <xf numFmtId="0" fontId="8" fillId="0" borderId="12" xfId="0" applyFont="1" applyFill="1" applyBorder="1"/>
    <xf numFmtId="0" fontId="8" fillId="0" borderId="4" xfId="0" applyFont="1" applyFill="1" applyBorder="1"/>
    <xf numFmtId="1" fontId="0" fillId="0" borderId="9" xfId="0" applyNumberFormat="1" applyBorder="1"/>
    <xf numFmtId="1" fontId="0" fillId="2" borderId="11" xfId="0" applyNumberFormat="1" applyFill="1" applyBorder="1"/>
    <xf numFmtId="166" fontId="0" fillId="2" borderId="12" xfId="0" applyNumberFormat="1" applyFill="1" applyBorder="1"/>
    <xf numFmtId="0" fontId="19" fillId="0" borderId="1" xfId="0" applyFont="1" applyBorder="1"/>
    <xf numFmtId="0" fontId="19" fillId="0" borderId="1" xfId="0" applyFont="1" applyBorder="1" applyAlignment="1">
      <alignment horizontal="center"/>
    </xf>
    <xf numFmtId="0" fontId="0" fillId="0" borderId="1" xfId="0" applyFont="1" applyBorder="1"/>
    <xf numFmtId="0" fontId="6" fillId="4" borderId="0" xfId="0" applyFont="1" applyFill="1" applyAlignment="1">
      <alignment horizontal="center"/>
    </xf>
    <xf numFmtId="0" fontId="3" fillId="0" borderId="1" xfId="0" applyFont="1" applyBorder="1" applyAlignment="1">
      <alignment horizontal="center"/>
    </xf>
  </cellXfs>
  <cellStyles count="4">
    <cellStyle name="Comma [0]" xfId="2" builtinId="6" hidden="1"/>
    <cellStyle name="Currency" xfId="1"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Before Adjusting Inflation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'Price Determination'!$A$3</c:f>
              <c:strCache>
                <c:ptCount val="1"/>
                <c:pt idx="0">
                  <c:v>Median House Prices (including Land)</c:v>
                </c:pt>
              </c:strCache>
            </c:strRef>
          </c:tx>
          <c:spPr>
            <a:solidFill>
              <a:schemeClr val="accent1"/>
            </a:solidFill>
            <a:ln>
              <a:noFill/>
            </a:ln>
            <a:effectLst/>
          </c:spPr>
          <c:invertIfNegative val="0"/>
          <c:cat>
            <c:strRef>
              <c:f>'Price Determination'!$B$2:$M$2</c:f>
              <c:strCache>
                <c:ptCount val="12"/>
                <c:pt idx="0">
                  <c:v>2010 [1]</c:v>
                </c:pt>
                <c:pt idx="1">
                  <c:v>2011 [2]</c:v>
                </c:pt>
                <c:pt idx="2">
                  <c:v>2012 [3]</c:v>
                </c:pt>
                <c:pt idx="3">
                  <c:v>2013 [4]</c:v>
                </c:pt>
                <c:pt idx="4">
                  <c:v>2014 [5]</c:v>
                </c:pt>
                <c:pt idx="5">
                  <c:v>2015 [6]</c:v>
                </c:pt>
                <c:pt idx="6">
                  <c:v>2016 [7]</c:v>
                </c:pt>
                <c:pt idx="7">
                  <c:v>2017 [8]</c:v>
                </c:pt>
                <c:pt idx="8">
                  <c:v>2018 [9]</c:v>
                </c:pt>
                <c:pt idx="9">
                  <c:v>2019 [10]</c:v>
                </c:pt>
                <c:pt idx="10">
                  <c:v>2020 [11]</c:v>
                </c:pt>
                <c:pt idx="11">
                  <c:v>Prelim 2021 [12]</c:v>
                </c:pt>
              </c:strCache>
            </c:strRef>
          </c:cat>
          <c:val>
            <c:numRef>
              <c:f>'Price Determination'!$B$3:$M$3</c:f>
              <c:numCache>
                <c:formatCode>"$"#,##0_);\("$"#,##0\)</c:formatCode>
                <c:ptCount val="12"/>
                <c:pt idx="0">
                  <c:v>316000</c:v>
                </c:pt>
                <c:pt idx="1">
                  <c:v>333000</c:v>
                </c:pt>
                <c:pt idx="2">
                  <c:v>340000</c:v>
                </c:pt>
                <c:pt idx="3">
                  <c:v>361500</c:v>
                </c:pt>
                <c:pt idx="4">
                  <c:v>362000</c:v>
                </c:pt>
                <c:pt idx="5">
                  <c:v>340500</c:v>
                </c:pt>
                <c:pt idx="6">
                  <c:v>375000</c:v>
                </c:pt>
                <c:pt idx="7">
                  <c:v>412500</c:v>
                </c:pt>
                <c:pt idx="8">
                  <c:v>439000</c:v>
                </c:pt>
                <c:pt idx="9">
                  <c:v>480000</c:v>
                </c:pt>
                <c:pt idx="10">
                  <c:v>510000</c:v>
                </c:pt>
                <c:pt idx="11">
                  <c:v>585000</c:v>
                </c:pt>
              </c:numCache>
            </c:numRef>
          </c:val>
          <c:extLst>
            <c:ext xmlns:c16="http://schemas.microsoft.com/office/drawing/2014/chart" uri="{C3380CC4-5D6E-409C-BE32-E72D297353CC}">
              <c16:uniqueId val="{00000000-F746-436A-8AD6-7CBF3C1595C2}"/>
            </c:ext>
          </c:extLst>
        </c:ser>
        <c:ser>
          <c:idx val="1"/>
          <c:order val="1"/>
          <c:tx>
            <c:strRef>
              <c:f>'Price Determination'!$A$4</c:f>
              <c:strCache>
                <c:ptCount val="1"/>
                <c:pt idx="0">
                  <c:v>Median Vacant Land Prices </c:v>
                </c:pt>
              </c:strCache>
            </c:strRef>
          </c:tx>
          <c:spPr>
            <a:solidFill>
              <a:schemeClr val="accent2"/>
            </a:solidFill>
            <a:ln>
              <a:noFill/>
            </a:ln>
            <a:effectLst/>
          </c:spPr>
          <c:invertIfNegative val="0"/>
          <c:cat>
            <c:strRef>
              <c:f>'Price Determination'!$B$2:$M$2</c:f>
              <c:strCache>
                <c:ptCount val="12"/>
                <c:pt idx="0">
                  <c:v>2010 [1]</c:v>
                </c:pt>
                <c:pt idx="1">
                  <c:v>2011 [2]</c:v>
                </c:pt>
                <c:pt idx="2">
                  <c:v>2012 [3]</c:v>
                </c:pt>
                <c:pt idx="3">
                  <c:v>2013 [4]</c:v>
                </c:pt>
                <c:pt idx="4">
                  <c:v>2014 [5]</c:v>
                </c:pt>
                <c:pt idx="5">
                  <c:v>2015 [6]</c:v>
                </c:pt>
                <c:pt idx="6">
                  <c:v>2016 [7]</c:v>
                </c:pt>
                <c:pt idx="7">
                  <c:v>2017 [8]</c:v>
                </c:pt>
                <c:pt idx="8">
                  <c:v>2018 [9]</c:v>
                </c:pt>
                <c:pt idx="9">
                  <c:v>2019 [10]</c:v>
                </c:pt>
                <c:pt idx="10">
                  <c:v>2020 [11]</c:v>
                </c:pt>
                <c:pt idx="11">
                  <c:v>Prelim 2021 [12]</c:v>
                </c:pt>
              </c:strCache>
            </c:strRef>
          </c:cat>
          <c:val>
            <c:numRef>
              <c:f>'Price Determination'!$B$4:$M$4</c:f>
              <c:numCache>
                <c:formatCode>"$"#,##0_);\("$"#,##0\)</c:formatCode>
                <c:ptCount val="12"/>
                <c:pt idx="0">
                  <c:v>125000</c:v>
                </c:pt>
                <c:pt idx="1">
                  <c:v>145000</c:v>
                </c:pt>
                <c:pt idx="2">
                  <c:v>190000</c:v>
                </c:pt>
                <c:pt idx="3">
                  <c:v>170000</c:v>
                </c:pt>
                <c:pt idx="4">
                  <c:v>161000</c:v>
                </c:pt>
                <c:pt idx="5">
                  <c:v>180000</c:v>
                </c:pt>
                <c:pt idx="6">
                  <c:v>183500</c:v>
                </c:pt>
                <c:pt idx="7">
                  <c:v>152000</c:v>
                </c:pt>
                <c:pt idx="8">
                  <c:v>155000</c:v>
                </c:pt>
                <c:pt idx="9">
                  <c:v>170000</c:v>
                </c:pt>
                <c:pt idx="10">
                  <c:v>200000</c:v>
                </c:pt>
                <c:pt idx="11">
                  <c:v>220000</c:v>
                </c:pt>
              </c:numCache>
            </c:numRef>
          </c:val>
          <c:extLst>
            <c:ext xmlns:c16="http://schemas.microsoft.com/office/drawing/2014/chart" uri="{C3380CC4-5D6E-409C-BE32-E72D297353CC}">
              <c16:uniqueId val="{00000001-F746-436A-8AD6-7CBF3C1595C2}"/>
            </c:ext>
          </c:extLst>
        </c:ser>
        <c:ser>
          <c:idx val="2"/>
          <c:order val="2"/>
          <c:tx>
            <c:strRef>
              <c:f>'Price Determination'!$A$5</c:f>
              <c:strCache>
                <c:ptCount val="1"/>
                <c:pt idx="0">
                  <c:v>Cost of Building ONLY the House on the Land</c:v>
                </c:pt>
              </c:strCache>
            </c:strRef>
          </c:tx>
          <c:spPr>
            <a:solidFill>
              <a:schemeClr val="accent3"/>
            </a:solidFill>
            <a:ln>
              <a:noFill/>
            </a:ln>
            <a:effectLst/>
          </c:spPr>
          <c:invertIfNegative val="0"/>
          <c:cat>
            <c:strRef>
              <c:f>'Price Determination'!$B$2:$M$2</c:f>
              <c:strCache>
                <c:ptCount val="12"/>
                <c:pt idx="0">
                  <c:v>2010 [1]</c:v>
                </c:pt>
                <c:pt idx="1">
                  <c:v>2011 [2]</c:v>
                </c:pt>
                <c:pt idx="2">
                  <c:v>2012 [3]</c:v>
                </c:pt>
                <c:pt idx="3">
                  <c:v>2013 [4]</c:v>
                </c:pt>
                <c:pt idx="4">
                  <c:v>2014 [5]</c:v>
                </c:pt>
                <c:pt idx="5">
                  <c:v>2015 [6]</c:v>
                </c:pt>
                <c:pt idx="6">
                  <c:v>2016 [7]</c:v>
                </c:pt>
                <c:pt idx="7">
                  <c:v>2017 [8]</c:v>
                </c:pt>
                <c:pt idx="8">
                  <c:v>2018 [9]</c:v>
                </c:pt>
                <c:pt idx="9">
                  <c:v>2019 [10]</c:v>
                </c:pt>
                <c:pt idx="10">
                  <c:v>2020 [11]</c:v>
                </c:pt>
                <c:pt idx="11">
                  <c:v>Prelim 2021 [12]</c:v>
                </c:pt>
              </c:strCache>
            </c:strRef>
          </c:cat>
          <c:val>
            <c:numRef>
              <c:f>'Price Determination'!$B$5:$M$5</c:f>
              <c:numCache>
                <c:formatCode>"$"#,##0_);\("$"#,##0\)</c:formatCode>
                <c:ptCount val="12"/>
                <c:pt idx="0">
                  <c:v>191000</c:v>
                </c:pt>
                <c:pt idx="1">
                  <c:v>188000</c:v>
                </c:pt>
                <c:pt idx="2">
                  <c:v>150000</c:v>
                </c:pt>
                <c:pt idx="3">
                  <c:v>191500</c:v>
                </c:pt>
                <c:pt idx="4">
                  <c:v>201000</c:v>
                </c:pt>
                <c:pt idx="5">
                  <c:v>160500</c:v>
                </c:pt>
                <c:pt idx="6">
                  <c:v>191500</c:v>
                </c:pt>
                <c:pt idx="7">
                  <c:v>260500</c:v>
                </c:pt>
                <c:pt idx="8">
                  <c:v>284000</c:v>
                </c:pt>
                <c:pt idx="9">
                  <c:v>310000</c:v>
                </c:pt>
                <c:pt idx="10">
                  <c:v>310000</c:v>
                </c:pt>
                <c:pt idx="11">
                  <c:v>365000</c:v>
                </c:pt>
              </c:numCache>
            </c:numRef>
          </c:val>
          <c:extLst>
            <c:ext xmlns:c16="http://schemas.microsoft.com/office/drawing/2014/chart" uri="{C3380CC4-5D6E-409C-BE32-E72D297353CC}">
              <c16:uniqueId val="{00000002-F746-436A-8AD6-7CBF3C1595C2}"/>
            </c:ext>
          </c:extLst>
        </c:ser>
        <c:ser>
          <c:idx val="3"/>
          <c:order val="3"/>
          <c:tx>
            <c:strRef>
              <c:f>'Price Determination'!$A$6</c:f>
              <c:strCache>
                <c:ptCount val="1"/>
                <c:pt idx="0">
                  <c:v>Revenue 10 %</c:v>
                </c:pt>
              </c:strCache>
            </c:strRef>
          </c:tx>
          <c:spPr>
            <a:solidFill>
              <a:schemeClr val="accent4"/>
            </a:solidFill>
            <a:ln>
              <a:noFill/>
            </a:ln>
            <a:effectLst/>
          </c:spPr>
          <c:invertIfNegative val="0"/>
          <c:cat>
            <c:strRef>
              <c:f>'Price Determination'!$B$2:$M$2</c:f>
              <c:strCache>
                <c:ptCount val="12"/>
                <c:pt idx="0">
                  <c:v>2010 [1]</c:v>
                </c:pt>
                <c:pt idx="1">
                  <c:v>2011 [2]</c:v>
                </c:pt>
                <c:pt idx="2">
                  <c:v>2012 [3]</c:v>
                </c:pt>
                <c:pt idx="3">
                  <c:v>2013 [4]</c:v>
                </c:pt>
                <c:pt idx="4">
                  <c:v>2014 [5]</c:v>
                </c:pt>
                <c:pt idx="5">
                  <c:v>2015 [6]</c:v>
                </c:pt>
                <c:pt idx="6">
                  <c:v>2016 [7]</c:v>
                </c:pt>
                <c:pt idx="7">
                  <c:v>2017 [8]</c:v>
                </c:pt>
                <c:pt idx="8">
                  <c:v>2018 [9]</c:v>
                </c:pt>
                <c:pt idx="9">
                  <c:v>2019 [10]</c:v>
                </c:pt>
                <c:pt idx="10">
                  <c:v>2020 [11]</c:v>
                </c:pt>
                <c:pt idx="11">
                  <c:v>Prelim 2021 [12]</c:v>
                </c:pt>
              </c:strCache>
            </c:strRef>
          </c:cat>
          <c:val>
            <c:numRef>
              <c:f>'Price Determination'!$B$6:$M$6</c:f>
              <c:numCache>
                <c:formatCode>"$"#,##0_);\("$"#,##0\)</c:formatCode>
                <c:ptCount val="12"/>
                <c:pt idx="0">
                  <c:v>31600</c:v>
                </c:pt>
                <c:pt idx="1">
                  <c:v>33300</c:v>
                </c:pt>
                <c:pt idx="2">
                  <c:v>34000</c:v>
                </c:pt>
                <c:pt idx="3">
                  <c:v>36150</c:v>
                </c:pt>
                <c:pt idx="4">
                  <c:v>36200</c:v>
                </c:pt>
                <c:pt idx="5">
                  <c:v>34050</c:v>
                </c:pt>
                <c:pt idx="6">
                  <c:v>37500</c:v>
                </c:pt>
                <c:pt idx="7">
                  <c:v>41250</c:v>
                </c:pt>
                <c:pt idx="8">
                  <c:v>43900</c:v>
                </c:pt>
                <c:pt idx="9">
                  <c:v>48000</c:v>
                </c:pt>
                <c:pt idx="10">
                  <c:v>51000</c:v>
                </c:pt>
                <c:pt idx="11">
                  <c:v>58500</c:v>
                </c:pt>
              </c:numCache>
            </c:numRef>
          </c:val>
          <c:extLst>
            <c:ext xmlns:c16="http://schemas.microsoft.com/office/drawing/2014/chart" uri="{C3380CC4-5D6E-409C-BE32-E72D297353CC}">
              <c16:uniqueId val="{00000003-F746-436A-8AD6-7CBF3C1595C2}"/>
            </c:ext>
          </c:extLst>
        </c:ser>
        <c:ser>
          <c:idx val="4"/>
          <c:order val="4"/>
          <c:tx>
            <c:strRef>
              <c:f>'Price Determination'!$A$7</c:f>
              <c:strCache>
                <c:ptCount val="1"/>
                <c:pt idx="0">
                  <c:v>Selling Price of the house (for the buyer)</c:v>
                </c:pt>
              </c:strCache>
            </c:strRef>
          </c:tx>
          <c:spPr>
            <a:solidFill>
              <a:schemeClr val="accent5"/>
            </a:solidFill>
            <a:ln>
              <a:noFill/>
            </a:ln>
            <a:effectLst/>
          </c:spPr>
          <c:invertIfNegative val="0"/>
          <c:cat>
            <c:strRef>
              <c:f>'Price Determination'!$B$2:$M$2</c:f>
              <c:strCache>
                <c:ptCount val="12"/>
                <c:pt idx="0">
                  <c:v>2010 [1]</c:v>
                </c:pt>
                <c:pt idx="1">
                  <c:v>2011 [2]</c:v>
                </c:pt>
                <c:pt idx="2">
                  <c:v>2012 [3]</c:v>
                </c:pt>
                <c:pt idx="3">
                  <c:v>2013 [4]</c:v>
                </c:pt>
                <c:pt idx="4">
                  <c:v>2014 [5]</c:v>
                </c:pt>
                <c:pt idx="5">
                  <c:v>2015 [6]</c:v>
                </c:pt>
                <c:pt idx="6">
                  <c:v>2016 [7]</c:v>
                </c:pt>
                <c:pt idx="7">
                  <c:v>2017 [8]</c:v>
                </c:pt>
                <c:pt idx="8">
                  <c:v>2018 [9]</c:v>
                </c:pt>
                <c:pt idx="9">
                  <c:v>2019 [10]</c:v>
                </c:pt>
                <c:pt idx="10">
                  <c:v>2020 [11]</c:v>
                </c:pt>
                <c:pt idx="11">
                  <c:v>Prelim 2021 [12]</c:v>
                </c:pt>
              </c:strCache>
            </c:strRef>
          </c:cat>
          <c:val>
            <c:numRef>
              <c:f>'Price Determination'!$B$7:$M$7</c:f>
              <c:numCache>
                <c:formatCode>"$"#,##0_);\("$"#,##0\)</c:formatCode>
                <c:ptCount val="12"/>
                <c:pt idx="0">
                  <c:v>347600</c:v>
                </c:pt>
                <c:pt idx="1">
                  <c:v>366300</c:v>
                </c:pt>
                <c:pt idx="2">
                  <c:v>374000</c:v>
                </c:pt>
                <c:pt idx="3">
                  <c:v>397650</c:v>
                </c:pt>
                <c:pt idx="4">
                  <c:v>398200</c:v>
                </c:pt>
                <c:pt idx="5">
                  <c:v>374550</c:v>
                </c:pt>
                <c:pt idx="6">
                  <c:v>412500</c:v>
                </c:pt>
                <c:pt idx="7">
                  <c:v>453750</c:v>
                </c:pt>
                <c:pt idx="8">
                  <c:v>482900</c:v>
                </c:pt>
                <c:pt idx="9">
                  <c:v>528000</c:v>
                </c:pt>
                <c:pt idx="10">
                  <c:v>561000</c:v>
                </c:pt>
                <c:pt idx="11">
                  <c:v>643500</c:v>
                </c:pt>
              </c:numCache>
            </c:numRef>
          </c:val>
          <c:extLst>
            <c:ext xmlns:c16="http://schemas.microsoft.com/office/drawing/2014/chart" uri="{C3380CC4-5D6E-409C-BE32-E72D297353CC}">
              <c16:uniqueId val="{00000004-F746-436A-8AD6-7CBF3C1595C2}"/>
            </c:ext>
          </c:extLst>
        </c:ser>
        <c:dLbls>
          <c:showLegendKey val="0"/>
          <c:showVal val="0"/>
          <c:showCatName val="0"/>
          <c:showSerName val="0"/>
          <c:showPercent val="0"/>
          <c:showBubbleSize val="0"/>
        </c:dLbls>
        <c:gapWidth val="219"/>
        <c:overlap val="-27"/>
        <c:axId val="986904831"/>
        <c:axId val="986905663"/>
      </c:barChart>
      <c:catAx>
        <c:axId val="98690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05663"/>
        <c:crosses val="autoZero"/>
        <c:auto val="1"/>
        <c:lblAlgn val="ctr"/>
        <c:lblOffset val="100"/>
        <c:noMultiLvlLbl val="0"/>
      </c:catAx>
      <c:valAx>
        <c:axId val="9869056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04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Adjusted Final Price of the house (for the buyer)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04344267544509"/>
          <c:y val="0.11549619409996467"/>
          <c:w val="0.53676852852524781"/>
          <c:h val="0.79615125032447864"/>
        </c:manualLayout>
      </c:layout>
      <c:scatterChart>
        <c:scatterStyle val="lineMarker"/>
        <c:varyColors val="0"/>
        <c:ser>
          <c:idx val="0"/>
          <c:order val="0"/>
          <c:tx>
            <c:strRef>
              <c:f>'Negative Report'!$A$17</c:f>
              <c:strCache>
                <c:ptCount val="1"/>
                <c:pt idx="0">
                  <c:v>Selling Price of the house (for the buyer)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yVal>
            <c:numRef>
              <c:f>'Negative Report'!$B$17:$M$17</c:f>
              <c:numCache>
                <c:formatCode>"$"#,##0_);\("$"#,##0\)</c:formatCode>
                <c:ptCount val="12"/>
                <c:pt idx="0">
                  <c:v>461353.21888412011</c:v>
                </c:pt>
                <c:pt idx="1">
                  <c:v>462360.30612244899</c:v>
                </c:pt>
                <c:pt idx="2">
                  <c:v>460794.82071713149</c:v>
                </c:pt>
                <c:pt idx="3">
                  <c:v>465367.12393566698</c:v>
                </c:pt>
                <c:pt idx="4">
                  <c:v>448201.45586897177</c:v>
                </c:pt>
                <c:pt idx="5">
                  <c:v>414046.78284182306</c:v>
                </c:pt>
                <c:pt idx="6">
                  <c:v>445644.10480349348</c:v>
                </c:pt>
                <c:pt idx="7">
                  <c:v>472863.31086773379</c:v>
                </c:pt>
                <c:pt idx="8">
                  <c:v>482120.50040355121</c:v>
                </c:pt>
                <c:pt idx="9">
                  <c:v>526722.58064516122</c:v>
                </c:pt>
                <c:pt idx="10">
                  <c:v>553394.73684210517</c:v>
                </c:pt>
                <c:pt idx="11">
                  <c:v>643500</c:v>
                </c:pt>
              </c:numCache>
            </c:numRef>
          </c:yVal>
          <c:smooth val="0"/>
          <c:extLst>
            <c:ext xmlns:c16="http://schemas.microsoft.com/office/drawing/2014/chart" uri="{C3380CC4-5D6E-409C-BE32-E72D297353CC}">
              <c16:uniqueId val="{00000001-D241-5749-AB96-34CFE0BBE9D4}"/>
            </c:ext>
          </c:extLst>
        </c:ser>
        <c:dLbls>
          <c:showLegendKey val="0"/>
          <c:showVal val="0"/>
          <c:showCatName val="0"/>
          <c:showSerName val="0"/>
          <c:showPercent val="0"/>
          <c:showBubbleSize val="0"/>
        </c:dLbls>
        <c:axId val="1003138623"/>
        <c:axId val="1003122815"/>
      </c:scatterChart>
      <c:valAx>
        <c:axId val="100313862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22815"/>
        <c:crosses val="autoZero"/>
        <c:crossBetween val="midCat"/>
      </c:valAx>
      <c:valAx>
        <c:axId val="10031228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38623"/>
        <c:crosses val="autoZero"/>
        <c:crossBetween val="midCat"/>
      </c:valAx>
      <c:spPr>
        <a:noFill/>
        <a:ln>
          <a:noFill/>
        </a:ln>
        <a:effectLst/>
      </c:spPr>
    </c:plotArea>
    <c:legend>
      <c:legendPos val="r"/>
      <c:layout>
        <c:manualLayout>
          <c:xMode val="edge"/>
          <c:yMode val="edge"/>
          <c:x val="0.68698890770066545"/>
          <c:y val="0.15904080984047855"/>
          <c:w val="0.19253607151065513"/>
          <c:h val="0.580359526290015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z-Scores (Median House Prices with 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'Negative Report'!$C$60</c:f>
              <c:strCache>
                <c:ptCount val="1"/>
                <c:pt idx="0">
                  <c:v>z-Scores</c:v>
                </c:pt>
              </c:strCache>
            </c:strRef>
          </c:tx>
          <c:spPr>
            <a:ln w="19050" cap="rnd">
              <a:noFill/>
              <a:round/>
            </a:ln>
            <a:effectLst/>
          </c:spPr>
          <c:marker>
            <c:symbol val="circle"/>
            <c:size val="5"/>
            <c:spPr>
              <a:solidFill>
                <a:schemeClr val="accent1"/>
              </a:solidFill>
              <a:ln w="9525">
                <a:solidFill>
                  <a:schemeClr val="accent1"/>
                </a:solidFill>
              </a:ln>
              <a:effectLst/>
            </c:spPr>
          </c:marker>
          <c:yVal>
            <c:numRef>
              <c:f>'Negative Report'!$C$61:$C$72</c:f>
              <c:numCache>
                <c:formatCode>0.000</c:formatCode>
                <c:ptCount val="12"/>
                <c:pt idx="0">
                  <c:v>-0.4064372962663495</c:v>
                </c:pt>
                <c:pt idx="1">
                  <c:v>-0.39007169102722167</c:v>
                </c:pt>
                <c:pt idx="2">
                  <c:v>-0.4155115091243673</c:v>
                </c:pt>
                <c:pt idx="3">
                  <c:v>-0.34120959498998149</c:v>
                </c:pt>
                <c:pt idx="4">
                  <c:v>-0.62015916018515171</c:v>
                </c:pt>
                <c:pt idx="5">
                  <c:v>-1.1751874383324763</c:v>
                </c:pt>
                <c:pt idx="6">
                  <c:v>-0.66171722626186102</c:v>
                </c:pt>
                <c:pt idx="7">
                  <c:v>-0.21939329997616733</c:v>
                </c:pt>
                <c:pt idx="8">
                  <c:v>-6.8959947431286694E-2</c:v>
                </c:pt>
                <c:pt idx="9">
                  <c:v>0.655843237732048</c:v>
                </c:pt>
                <c:pt idx="10">
                  <c:v>1.0892773659609762</c:v>
                </c:pt>
                <c:pt idx="11">
                  <c:v>2.5535270463132189</c:v>
                </c:pt>
              </c:numCache>
            </c:numRef>
          </c:yVal>
          <c:smooth val="0"/>
          <c:extLst>
            <c:ext xmlns:c16="http://schemas.microsoft.com/office/drawing/2014/chart" uri="{C3380CC4-5D6E-409C-BE32-E72D297353CC}">
              <c16:uniqueId val="{00000000-3563-984F-9437-E0A3104381CF}"/>
            </c:ext>
          </c:extLst>
        </c:ser>
        <c:dLbls>
          <c:showLegendKey val="0"/>
          <c:showVal val="0"/>
          <c:showCatName val="0"/>
          <c:showSerName val="0"/>
          <c:showPercent val="0"/>
          <c:showBubbleSize val="0"/>
        </c:dLbls>
        <c:axId val="856595103"/>
        <c:axId val="856598431"/>
      </c:scatterChart>
      <c:valAx>
        <c:axId val="85659510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98431"/>
        <c:crosses val="autoZero"/>
        <c:crossBetween val="midCat"/>
      </c:valAx>
      <c:valAx>
        <c:axId val="8565984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95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z-Scores</a:t>
            </a:r>
            <a:r>
              <a:rPr lang="en-AU" baseline="0"/>
              <a:t> (Median Vacant Land Prices)</a:t>
            </a:r>
          </a:p>
        </c:rich>
      </c:tx>
      <c:layout>
        <c:manualLayout>
          <c:xMode val="edge"/>
          <c:yMode val="edge"/>
          <c:x val="0.22883668769917748"/>
          <c:y val="5.3872053872053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'Negative Report'!$F$61:$F$72</c:f>
              <c:numCache>
                <c:formatCode>0.000</c:formatCode>
                <c:ptCount val="12"/>
                <c:pt idx="0">
                  <c:v>-0.92710730628323978</c:v>
                </c:pt>
                <c:pt idx="1">
                  <c:v>-0.22059728825337868</c:v>
                </c:pt>
                <c:pt idx="2">
                  <c:v>1.8870278457810226</c:v>
                </c:pt>
                <c:pt idx="3">
                  <c:v>0.4366142742263438</c:v>
                </c:pt>
                <c:pt idx="4">
                  <c:v>-0.29525420128896562</c:v>
                </c:pt>
                <c:pt idx="5">
                  <c:v>0.43790915391711321</c:v>
                </c:pt>
                <c:pt idx="6">
                  <c:v>0.40748722784418995</c:v>
                </c:pt>
                <c:pt idx="7">
                  <c:v>-1.23680205826265</c:v>
                </c:pt>
                <c:pt idx="8">
                  <c:v>-1.3875602926279724</c:v>
                </c:pt>
                <c:pt idx="9">
                  <c:v>-0.77514562723169644</c:v>
                </c:pt>
                <c:pt idx="10">
                  <c:v>0.36805586737710261</c:v>
                </c:pt>
                <c:pt idx="11">
                  <c:v>1.305371774114668</c:v>
                </c:pt>
              </c:numCache>
            </c:numRef>
          </c:yVal>
          <c:smooth val="0"/>
          <c:extLst>
            <c:ext xmlns:c16="http://schemas.microsoft.com/office/drawing/2014/chart" uri="{C3380CC4-5D6E-409C-BE32-E72D297353CC}">
              <c16:uniqueId val="{00000000-075E-2E46-8511-93F6D31BE68A}"/>
            </c:ext>
          </c:extLst>
        </c:ser>
        <c:dLbls>
          <c:showLegendKey val="0"/>
          <c:showVal val="0"/>
          <c:showCatName val="0"/>
          <c:showSerName val="0"/>
          <c:showPercent val="0"/>
          <c:showBubbleSize val="0"/>
        </c:dLbls>
        <c:axId val="979603583"/>
        <c:axId val="979579455"/>
      </c:scatterChart>
      <c:valAx>
        <c:axId val="97960358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579455"/>
        <c:crosses val="autoZero"/>
        <c:crossBetween val="midCat"/>
      </c:valAx>
      <c:valAx>
        <c:axId val="97957945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35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AU" sz="1200" b="1"/>
              <a:t>z-Scores (Cost of building ONLY the house on the Land)</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'Negative Report'!$J$61:$J$72</c:f>
              <c:numCache>
                <c:formatCode>0.000</c:formatCode>
                <c:ptCount val="12"/>
                <c:pt idx="0">
                  <c:v>-4.9101478738152581E-3</c:v>
                </c:pt>
                <c:pt idx="1">
                  <c:v>-0.296154443991613</c:v>
                </c:pt>
                <c:pt idx="2">
                  <c:v>-1.2396514094570352</c:v>
                </c:pt>
                <c:pt idx="3">
                  <c:v>-0.53325195137206693</c:v>
                </c:pt>
                <c:pt idx="4">
                  <c:v>-0.49499992159157941</c:v>
                </c:pt>
                <c:pt idx="5">
                  <c:v>-1.3724068312637427</c:v>
                </c:pt>
                <c:pt idx="6">
                  <c:v>-0.84284698749238729</c:v>
                </c:pt>
                <c:pt idx="7">
                  <c:v>0.31804724596105671</c:v>
                </c:pt>
                <c:pt idx="8">
                  <c:v>0.534971188526428</c:v>
                </c:pt>
                <c:pt idx="9">
                  <c:v>0.99706370938200195</c:v>
                </c:pt>
                <c:pt idx="10">
                  <c:v>0.9350063173722718</c:v>
                </c:pt>
                <c:pt idx="11">
                  <c:v>1.9991339955804655</c:v>
                </c:pt>
              </c:numCache>
            </c:numRef>
          </c:yVal>
          <c:smooth val="0"/>
          <c:extLst>
            <c:ext xmlns:c16="http://schemas.microsoft.com/office/drawing/2014/chart" uri="{C3380CC4-5D6E-409C-BE32-E72D297353CC}">
              <c16:uniqueId val="{00000000-B41D-554D-A5D0-F9636D729A6D}"/>
            </c:ext>
          </c:extLst>
        </c:ser>
        <c:dLbls>
          <c:showLegendKey val="0"/>
          <c:showVal val="0"/>
          <c:showCatName val="0"/>
          <c:showSerName val="0"/>
          <c:showPercent val="0"/>
          <c:showBubbleSize val="0"/>
        </c:dLbls>
        <c:axId val="966669503"/>
        <c:axId val="966656607"/>
      </c:scatterChart>
      <c:valAx>
        <c:axId val="96666950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56607"/>
        <c:crosses val="autoZero"/>
        <c:crossBetween val="midCat"/>
      </c:valAx>
      <c:valAx>
        <c:axId val="966656607"/>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695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z-Scores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'Negative Report'!$N$60</c:f>
              <c:strCache>
                <c:ptCount val="1"/>
                <c:pt idx="0">
                  <c:v>z-Scores</c:v>
                </c:pt>
              </c:strCache>
            </c:strRef>
          </c:tx>
          <c:spPr>
            <a:ln w="19050" cap="rnd">
              <a:noFill/>
              <a:round/>
            </a:ln>
            <a:effectLst/>
          </c:spPr>
          <c:marker>
            <c:symbol val="circle"/>
            <c:size val="5"/>
            <c:spPr>
              <a:solidFill>
                <a:schemeClr val="accent1"/>
              </a:solidFill>
              <a:ln w="9525">
                <a:solidFill>
                  <a:schemeClr val="accent1"/>
                </a:solidFill>
              </a:ln>
              <a:effectLst/>
            </c:spPr>
          </c:marker>
          <c:yVal>
            <c:numRef>
              <c:f>'Negative Report'!$N$61:$N$72</c:f>
              <c:numCache>
                <c:formatCode>0.000</c:formatCode>
                <c:ptCount val="12"/>
                <c:pt idx="0">
                  <c:v>-0.406437720674727</c:v>
                </c:pt>
                <c:pt idx="1">
                  <c:v>-0.39007212713731165</c:v>
                </c:pt>
                <c:pt idx="2">
                  <c:v>-0.41551192704451445</c:v>
                </c:pt>
                <c:pt idx="3">
                  <c:v>-0.34121006603737997</c:v>
                </c:pt>
                <c:pt idx="4">
                  <c:v>-0.62015943177842048</c:v>
                </c:pt>
                <c:pt idx="5">
                  <c:v>-1.1751873130701975</c:v>
                </c:pt>
                <c:pt idx="6">
                  <c:v>-0.66171746814033872</c:v>
                </c:pt>
                <c:pt idx="7">
                  <c:v>-0.21939385812448378</c:v>
                </c:pt>
                <c:pt idx="8">
                  <c:v>-6.8960613142249549E-2</c:v>
                </c:pt>
                <c:pt idx="9">
                  <c:v>0.65584205377332139</c:v>
                </c:pt>
                <c:pt idx="10">
                  <c:v>1.0892758720887812</c:v>
                </c:pt>
                <c:pt idx="11">
                  <c:v>2.5535245054752553</c:v>
                </c:pt>
              </c:numCache>
            </c:numRef>
          </c:yVal>
          <c:smooth val="0"/>
          <c:extLst>
            <c:ext xmlns:c16="http://schemas.microsoft.com/office/drawing/2014/chart" uri="{C3380CC4-5D6E-409C-BE32-E72D297353CC}">
              <c16:uniqueId val="{00000000-9E32-C449-94D3-AE3A76716A68}"/>
            </c:ext>
          </c:extLst>
        </c:ser>
        <c:dLbls>
          <c:showLegendKey val="0"/>
          <c:showVal val="0"/>
          <c:showCatName val="0"/>
          <c:showSerName val="0"/>
          <c:showPercent val="0"/>
          <c:showBubbleSize val="0"/>
        </c:dLbls>
        <c:axId val="895625567"/>
        <c:axId val="895631807"/>
      </c:scatterChart>
      <c:valAx>
        <c:axId val="89562556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31807"/>
        <c:crosses val="autoZero"/>
        <c:crossBetween val="midCat"/>
      </c:valAx>
      <c:valAx>
        <c:axId val="895631807"/>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255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Firm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Conslusion!$A$62</c:f>
              <c:strCache>
                <c:ptCount val="1"/>
                <c:pt idx="0">
                  <c:v>Revenue 10 % (Not Adjusted)</c:v>
                </c:pt>
              </c:strCache>
            </c:strRef>
          </c:tx>
          <c:spPr>
            <a:ln w="28575" cap="rnd">
              <a:solidFill>
                <a:schemeClr val="accent1"/>
              </a:solidFill>
              <a:round/>
            </a:ln>
            <a:effectLst/>
          </c:spPr>
          <c:marker>
            <c:symbol val="none"/>
          </c:marker>
          <c:val>
            <c:numRef>
              <c:f>Conslusion!$B$62:$M$62</c:f>
              <c:numCache>
                <c:formatCode>"$"#,##0_);\("$"#,##0\)</c:formatCode>
                <c:ptCount val="12"/>
                <c:pt idx="0">
                  <c:v>31600</c:v>
                </c:pt>
                <c:pt idx="1">
                  <c:v>33300</c:v>
                </c:pt>
                <c:pt idx="2">
                  <c:v>34000</c:v>
                </c:pt>
                <c:pt idx="3">
                  <c:v>36150</c:v>
                </c:pt>
                <c:pt idx="4">
                  <c:v>36200</c:v>
                </c:pt>
                <c:pt idx="5">
                  <c:v>34050</c:v>
                </c:pt>
                <c:pt idx="6">
                  <c:v>37500</c:v>
                </c:pt>
                <c:pt idx="7">
                  <c:v>41250</c:v>
                </c:pt>
                <c:pt idx="8">
                  <c:v>43900</c:v>
                </c:pt>
                <c:pt idx="9">
                  <c:v>48000</c:v>
                </c:pt>
                <c:pt idx="10">
                  <c:v>51000</c:v>
                </c:pt>
                <c:pt idx="11">
                  <c:v>58500</c:v>
                </c:pt>
              </c:numCache>
            </c:numRef>
          </c:val>
          <c:smooth val="0"/>
          <c:extLst>
            <c:ext xmlns:c16="http://schemas.microsoft.com/office/drawing/2014/chart" uri="{C3380CC4-5D6E-409C-BE32-E72D297353CC}">
              <c16:uniqueId val="{00000000-D887-4671-8C16-44F74DC73581}"/>
            </c:ext>
          </c:extLst>
        </c:ser>
        <c:ser>
          <c:idx val="1"/>
          <c:order val="1"/>
          <c:tx>
            <c:strRef>
              <c:f>Conslusion!$A$6</c:f>
              <c:strCache>
                <c:ptCount val="1"/>
                <c:pt idx="0">
                  <c:v> Revenue 10% (Adjusted for inflation) </c:v>
                </c:pt>
              </c:strCache>
            </c:strRef>
          </c:tx>
          <c:spPr>
            <a:ln w="28575" cap="rnd">
              <a:solidFill>
                <a:schemeClr val="accent2"/>
              </a:solidFill>
              <a:round/>
            </a:ln>
            <a:effectLst/>
          </c:spPr>
          <c:marker>
            <c:symbol val="none"/>
          </c:marker>
          <c:val>
            <c:numRef>
              <c:f>Conslusion!$B$6:$M$6</c:f>
              <c:numCache>
                <c:formatCode>"$"#,##0_);\("$"#,##0\)</c:formatCode>
                <c:ptCount val="12"/>
                <c:pt idx="0">
                  <c:v>41941.2017167382</c:v>
                </c:pt>
                <c:pt idx="1">
                  <c:v>42032.755102040821</c:v>
                </c:pt>
                <c:pt idx="2">
                  <c:v>41890.438247011953</c:v>
                </c:pt>
                <c:pt idx="3">
                  <c:v>42306.102175969725</c:v>
                </c:pt>
                <c:pt idx="4">
                  <c:v>40745.586897179252</c:v>
                </c:pt>
                <c:pt idx="5">
                  <c:v>37640.616621983914</c:v>
                </c:pt>
                <c:pt idx="6">
                  <c:v>40513.100436681227</c:v>
                </c:pt>
                <c:pt idx="7">
                  <c:v>42987.573715248524</c:v>
                </c:pt>
                <c:pt idx="8">
                  <c:v>43829.136400322837</c:v>
                </c:pt>
                <c:pt idx="9">
                  <c:v>47883.870967741939</c:v>
                </c:pt>
                <c:pt idx="10">
                  <c:v>50308.612440191384</c:v>
                </c:pt>
                <c:pt idx="11">
                  <c:v>58500</c:v>
                </c:pt>
              </c:numCache>
            </c:numRef>
          </c:val>
          <c:smooth val="0"/>
          <c:extLst>
            <c:ext xmlns:c16="http://schemas.microsoft.com/office/drawing/2014/chart" uri="{C3380CC4-5D6E-409C-BE32-E72D297353CC}">
              <c16:uniqueId val="{00000001-D887-4671-8C16-44F74DC73581}"/>
            </c:ext>
          </c:extLst>
        </c:ser>
        <c:dLbls>
          <c:showLegendKey val="0"/>
          <c:showVal val="0"/>
          <c:showCatName val="0"/>
          <c:showSerName val="0"/>
          <c:showPercent val="0"/>
          <c:showBubbleSize val="0"/>
        </c:dLbls>
        <c:smooth val="0"/>
        <c:axId val="677387679"/>
        <c:axId val="677386015"/>
      </c:lineChart>
      <c:catAx>
        <c:axId val="6773876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86015"/>
        <c:crosses val="autoZero"/>
        <c:auto val="1"/>
        <c:lblAlgn val="ctr"/>
        <c:lblOffset val="100"/>
        <c:noMultiLvlLbl val="0"/>
      </c:catAx>
      <c:valAx>
        <c:axId val="677386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87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Adjusted Final Price of the house (for the buyer)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04344267544509"/>
          <c:y val="0.11549619409996467"/>
          <c:w val="0.53676852852524781"/>
          <c:h val="0.79615125032447864"/>
        </c:manualLayout>
      </c:layout>
      <c:scatterChart>
        <c:scatterStyle val="lineMarker"/>
        <c:varyColors val="0"/>
        <c:ser>
          <c:idx val="0"/>
          <c:order val="0"/>
          <c:tx>
            <c:strRef>
              <c:f>Conslusion!$A$7</c:f>
              <c:strCache>
                <c:ptCount val="1"/>
                <c:pt idx="0">
                  <c:v>Selling Price of the house (for the buyer)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yVal>
            <c:numRef>
              <c:f>Conslusion!$B$7:$M$7</c:f>
              <c:numCache>
                <c:formatCode>"$"#,##0_);\("$"#,##0\)</c:formatCode>
                <c:ptCount val="12"/>
                <c:pt idx="0">
                  <c:v>461353.21888412011</c:v>
                </c:pt>
                <c:pt idx="1">
                  <c:v>462360.30612244899</c:v>
                </c:pt>
                <c:pt idx="2">
                  <c:v>460794.82071713149</c:v>
                </c:pt>
                <c:pt idx="3">
                  <c:v>465367.12393566698</c:v>
                </c:pt>
                <c:pt idx="4">
                  <c:v>448201.45586897177</c:v>
                </c:pt>
                <c:pt idx="5">
                  <c:v>414046.78284182306</c:v>
                </c:pt>
                <c:pt idx="6">
                  <c:v>445644.10480349348</c:v>
                </c:pt>
                <c:pt idx="7">
                  <c:v>472863.31086773379</c:v>
                </c:pt>
                <c:pt idx="8">
                  <c:v>482120.50040355121</c:v>
                </c:pt>
                <c:pt idx="9">
                  <c:v>526722.58064516122</c:v>
                </c:pt>
                <c:pt idx="10">
                  <c:v>553394.73684210517</c:v>
                </c:pt>
                <c:pt idx="11">
                  <c:v>643500</c:v>
                </c:pt>
              </c:numCache>
            </c:numRef>
          </c:yVal>
          <c:smooth val="0"/>
          <c:extLst>
            <c:ext xmlns:c16="http://schemas.microsoft.com/office/drawing/2014/chart" uri="{C3380CC4-5D6E-409C-BE32-E72D297353CC}">
              <c16:uniqueId val="{00000001-68E1-407C-8B93-A6623FE7D9AC}"/>
            </c:ext>
          </c:extLst>
        </c:ser>
        <c:dLbls>
          <c:showLegendKey val="0"/>
          <c:showVal val="0"/>
          <c:showCatName val="0"/>
          <c:showSerName val="0"/>
          <c:showPercent val="0"/>
          <c:showBubbleSize val="0"/>
        </c:dLbls>
        <c:axId val="1003138623"/>
        <c:axId val="1003122815"/>
      </c:scatterChart>
      <c:valAx>
        <c:axId val="100313862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22815"/>
        <c:crosses val="autoZero"/>
        <c:crossBetween val="midCat"/>
      </c:valAx>
      <c:valAx>
        <c:axId val="10031228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38623"/>
        <c:crosses val="autoZero"/>
        <c:crossBetween val="midCat"/>
      </c:valAx>
      <c:spPr>
        <a:noFill/>
        <a:ln>
          <a:noFill/>
        </a:ln>
        <a:effectLst/>
      </c:spPr>
    </c:plotArea>
    <c:legend>
      <c:legendPos val="r"/>
      <c:layout>
        <c:manualLayout>
          <c:xMode val="edge"/>
          <c:yMode val="edge"/>
          <c:x val="0.68698890770066545"/>
          <c:y val="0.15904080984047855"/>
          <c:w val="0.19253607151065513"/>
          <c:h val="0.580359526290015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z-Scores (Median House Prices with 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Conslusion!$C$71</c:f>
              <c:strCache>
                <c:ptCount val="1"/>
                <c:pt idx="0">
                  <c:v>z-Scores</c:v>
                </c:pt>
              </c:strCache>
            </c:strRef>
          </c:tx>
          <c:spPr>
            <a:ln w="19050" cap="rnd">
              <a:noFill/>
              <a:round/>
            </a:ln>
            <a:effectLst/>
          </c:spPr>
          <c:marker>
            <c:symbol val="circle"/>
            <c:size val="5"/>
            <c:spPr>
              <a:solidFill>
                <a:schemeClr val="accent1"/>
              </a:solidFill>
              <a:ln w="9525">
                <a:solidFill>
                  <a:schemeClr val="accent1"/>
                </a:solidFill>
              </a:ln>
              <a:effectLst/>
            </c:spPr>
          </c:marker>
          <c:yVal>
            <c:numRef>
              <c:f>Conslusion!$C$72:$C$83</c:f>
              <c:numCache>
                <c:formatCode>0.000</c:formatCode>
                <c:ptCount val="12"/>
                <c:pt idx="0">
                  <c:v>-0.4064372962663495</c:v>
                </c:pt>
                <c:pt idx="1">
                  <c:v>-0.39007169102722167</c:v>
                </c:pt>
                <c:pt idx="2">
                  <c:v>-0.4155115091243673</c:v>
                </c:pt>
                <c:pt idx="3">
                  <c:v>-0.34120959498998149</c:v>
                </c:pt>
                <c:pt idx="4">
                  <c:v>-0.62015916018515171</c:v>
                </c:pt>
                <c:pt idx="5">
                  <c:v>-1.1751874383324763</c:v>
                </c:pt>
                <c:pt idx="6">
                  <c:v>-0.66171722626186102</c:v>
                </c:pt>
                <c:pt idx="7">
                  <c:v>-0.21939329997616733</c:v>
                </c:pt>
                <c:pt idx="8">
                  <c:v>-6.8959947431286694E-2</c:v>
                </c:pt>
                <c:pt idx="9">
                  <c:v>0.655843237732048</c:v>
                </c:pt>
                <c:pt idx="10">
                  <c:v>1.0892773659609762</c:v>
                </c:pt>
                <c:pt idx="11">
                  <c:v>2.5535270463132189</c:v>
                </c:pt>
              </c:numCache>
            </c:numRef>
          </c:yVal>
          <c:smooth val="0"/>
          <c:extLst>
            <c:ext xmlns:c16="http://schemas.microsoft.com/office/drawing/2014/chart" uri="{C3380CC4-5D6E-409C-BE32-E72D297353CC}">
              <c16:uniqueId val="{00000000-5E26-40E0-A23C-032C756CD6F4}"/>
            </c:ext>
          </c:extLst>
        </c:ser>
        <c:dLbls>
          <c:showLegendKey val="0"/>
          <c:showVal val="0"/>
          <c:showCatName val="0"/>
          <c:showSerName val="0"/>
          <c:showPercent val="0"/>
          <c:showBubbleSize val="0"/>
        </c:dLbls>
        <c:axId val="856595103"/>
        <c:axId val="856598431"/>
      </c:scatterChart>
      <c:valAx>
        <c:axId val="85659510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98431"/>
        <c:crosses val="autoZero"/>
        <c:crossBetween val="midCat"/>
      </c:valAx>
      <c:valAx>
        <c:axId val="8565984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95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z-Scores</a:t>
            </a:r>
            <a:r>
              <a:rPr lang="en-AU" baseline="0"/>
              <a:t> (Median Vacant Land Prices)</a:t>
            </a:r>
          </a:p>
        </c:rich>
      </c:tx>
      <c:layout>
        <c:manualLayout>
          <c:xMode val="edge"/>
          <c:yMode val="edge"/>
          <c:x val="0.22883668769917748"/>
          <c:y val="5.3872053872053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Conslusion!$F$72:$F$83</c:f>
              <c:numCache>
                <c:formatCode>0.000</c:formatCode>
                <c:ptCount val="12"/>
                <c:pt idx="0">
                  <c:v>-0.92710730628323978</c:v>
                </c:pt>
                <c:pt idx="1">
                  <c:v>-0.22059728825337868</c:v>
                </c:pt>
                <c:pt idx="2">
                  <c:v>1.8870278457810226</c:v>
                </c:pt>
                <c:pt idx="3">
                  <c:v>0.4366142742263438</c:v>
                </c:pt>
                <c:pt idx="4">
                  <c:v>-0.29525420128896562</c:v>
                </c:pt>
                <c:pt idx="5">
                  <c:v>0.43790915391711321</c:v>
                </c:pt>
                <c:pt idx="6">
                  <c:v>0.40748722784418995</c:v>
                </c:pt>
                <c:pt idx="7">
                  <c:v>-1.23680205826265</c:v>
                </c:pt>
                <c:pt idx="8">
                  <c:v>-1.3875602926279724</c:v>
                </c:pt>
                <c:pt idx="9">
                  <c:v>-0.77514562723169644</c:v>
                </c:pt>
                <c:pt idx="10">
                  <c:v>0.36805586737710261</c:v>
                </c:pt>
                <c:pt idx="11">
                  <c:v>1.305371774114668</c:v>
                </c:pt>
              </c:numCache>
            </c:numRef>
          </c:yVal>
          <c:smooth val="0"/>
          <c:extLst>
            <c:ext xmlns:c16="http://schemas.microsoft.com/office/drawing/2014/chart" uri="{C3380CC4-5D6E-409C-BE32-E72D297353CC}">
              <c16:uniqueId val="{00000000-D3C9-4645-B175-B43BB9EA542C}"/>
            </c:ext>
          </c:extLst>
        </c:ser>
        <c:dLbls>
          <c:showLegendKey val="0"/>
          <c:showVal val="0"/>
          <c:showCatName val="0"/>
          <c:showSerName val="0"/>
          <c:showPercent val="0"/>
          <c:showBubbleSize val="0"/>
        </c:dLbls>
        <c:axId val="979603583"/>
        <c:axId val="979579455"/>
      </c:scatterChart>
      <c:valAx>
        <c:axId val="97960358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579455"/>
        <c:crosses val="autoZero"/>
        <c:crossBetween val="midCat"/>
      </c:valAx>
      <c:valAx>
        <c:axId val="97957945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35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AU" sz="1200" b="1"/>
              <a:t>z-Scores (Cost of building ONLY the house on the Land)</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Conslusion!$J$72:$J$83</c:f>
              <c:numCache>
                <c:formatCode>0.000</c:formatCode>
                <c:ptCount val="12"/>
                <c:pt idx="0">
                  <c:v>-4.9101478738152581E-3</c:v>
                </c:pt>
                <c:pt idx="1">
                  <c:v>-0.296154443991613</c:v>
                </c:pt>
                <c:pt idx="2">
                  <c:v>-1.2396514094570352</c:v>
                </c:pt>
                <c:pt idx="3">
                  <c:v>-0.53325195137206693</c:v>
                </c:pt>
                <c:pt idx="4">
                  <c:v>-0.49499992159157941</c:v>
                </c:pt>
                <c:pt idx="5">
                  <c:v>-1.3724068312637427</c:v>
                </c:pt>
                <c:pt idx="6">
                  <c:v>-0.84284698749238729</c:v>
                </c:pt>
                <c:pt idx="7">
                  <c:v>0.31804724596105671</c:v>
                </c:pt>
                <c:pt idx="8">
                  <c:v>0.534971188526428</c:v>
                </c:pt>
                <c:pt idx="9">
                  <c:v>0.99706370938200195</c:v>
                </c:pt>
                <c:pt idx="10">
                  <c:v>0.9350063173722718</c:v>
                </c:pt>
                <c:pt idx="11">
                  <c:v>1.9991339955804655</c:v>
                </c:pt>
              </c:numCache>
            </c:numRef>
          </c:yVal>
          <c:smooth val="0"/>
          <c:extLst>
            <c:ext xmlns:c16="http://schemas.microsoft.com/office/drawing/2014/chart" uri="{C3380CC4-5D6E-409C-BE32-E72D297353CC}">
              <c16:uniqueId val="{00000000-3A6F-4FB7-8D54-B0CBA01AD129}"/>
            </c:ext>
          </c:extLst>
        </c:ser>
        <c:dLbls>
          <c:showLegendKey val="0"/>
          <c:showVal val="0"/>
          <c:showCatName val="0"/>
          <c:showSerName val="0"/>
          <c:showPercent val="0"/>
          <c:showBubbleSize val="0"/>
        </c:dLbls>
        <c:axId val="966669503"/>
        <c:axId val="966656607"/>
      </c:scatterChart>
      <c:valAx>
        <c:axId val="96666950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56607"/>
        <c:crosses val="autoZero"/>
        <c:crossBetween val="midCat"/>
      </c:valAx>
      <c:valAx>
        <c:axId val="966656607"/>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695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After Adjusting Inflation</a:t>
            </a:r>
          </a:p>
        </c:rich>
      </c:tx>
      <c:layout>
        <c:manualLayout>
          <c:xMode val="edge"/>
          <c:yMode val="edge"/>
          <c:x val="0.44282633420822404"/>
          <c:y val="1.9900497512437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618211992086119E-2"/>
          <c:y val="0.1324975616718605"/>
          <c:w val="0.93400874051415017"/>
          <c:h val="0.67368873452751943"/>
        </c:manualLayout>
      </c:layout>
      <c:barChart>
        <c:barDir val="col"/>
        <c:grouping val="clustered"/>
        <c:varyColors val="0"/>
        <c:ser>
          <c:idx val="0"/>
          <c:order val="0"/>
          <c:tx>
            <c:strRef>
              <c:f>'Price Determination'!$A$11</c:f>
              <c:strCache>
                <c:ptCount val="1"/>
                <c:pt idx="0">
                  <c:v>Median House Prices (including Land) </c:v>
                </c:pt>
              </c:strCache>
            </c:strRef>
          </c:tx>
          <c:spPr>
            <a:solidFill>
              <a:schemeClr val="accent1"/>
            </a:solidFill>
            <a:ln>
              <a:noFill/>
            </a:ln>
            <a:effectLst/>
          </c:spPr>
          <c:invertIfNegative val="0"/>
          <c:cat>
            <c:strRef>
              <c:f>'Price Determination'!$B$10:$M$10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'Price Determination'!$B$11:$M$11</c:f>
              <c:numCache>
                <c:formatCode>"$"#,##0_);\("$"#,##0\)</c:formatCode>
                <c:ptCount val="12"/>
                <c:pt idx="0">
                  <c:v>419412.01716738194</c:v>
                </c:pt>
                <c:pt idx="1">
                  <c:v>420327.55102040817</c:v>
                </c:pt>
                <c:pt idx="2">
                  <c:v>418904.38247011951</c:v>
                </c:pt>
                <c:pt idx="3">
                  <c:v>423061.02175969724</c:v>
                </c:pt>
                <c:pt idx="4">
                  <c:v>407455.86897179252</c:v>
                </c:pt>
                <c:pt idx="5">
                  <c:v>376406.16621983913</c:v>
                </c:pt>
                <c:pt idx="6">
                  <c:v>405131.00436681224</c:v>
                </c:pt>
                <c:pt idx="7">
                  <c:v>429875.73715248524</c:v>
                </c:pt>
                <c:pt idx="8">
                  <c:v>438291.36400322837</c:v>
                </c:pt>
                <c:pt idx="9">
                  <c:v>478838.70967741933</c:v>
                </c:pt>
                <c:pt idx="10">
                  <c:v>503086.12440191384</c:v>
                </c:pt>
                <c:pt idx="11">
                  <c:v>585000</c:v>
                </c:pt>
              </c:numCache>
            </c:numRef>
          </c:val>
          <c:extLst>
            <c:ext xmlns:c16="http://schemas.microsoft.com/office/drawing/2014/chart" uri="{C3380CC4-5D6E-409C-BE32-E72D297353CC}">
              <c16:uniqueId val="{00000000-2963-4326-AD7A-B938560BD865}"/>
            </c:ext>
          </c:extLst>
        </c:ser>
        <c:ser>
          <c:idx val="1"/>
          <c:order val="1"/>
          <c:tx>
            <c:strRef>
              <c:f>'Price Determination'!$A$12</c:f>
              <c:strCache>
                <c:ptCount val="1"/>
                <c:pt idx="0">
                  <c:v>Median Vacant Land Prices</c:v>
                </c:pt>
              </c:strCache>
            </c:strRef>
          </c:tx>
          <c:spPr>
            <a:solidFill>
              <a:schemeClr val="accent2"/>
            </a:solidFill>
            <a:ln>
              <a:noFill/>
            </a:ln>
            <a:effectLst/>
          </c:spPr>
          <c:invertIfNegative val="0"/>
          <c:cat>
            <c:strRef>
              <c:f>'Price Determination'!$B$10:$M$10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'Price Determination'!$B$12:$M$12</c:f>
              <c:numCache>
                <c:formatCode>"$"#,##0_);\("$"#,##0\)</c:formatCode>
                <c:ptCount val="12"/>
                <c:pt idx="0">
                  <c:v>165906.65236051503</c:v>
                </c:pt>
                <c:pt idx="1">
                  <c:v>183025.51020408163</c:v>
                </c:pt>
                <c:pt idx="2">
                  <c:v>234093.62549800795</c:v>
                </c:pt>
                <c:pt idx="3">
                  <c:v>198949.85808893092</c:v>
                </c:pt>
                <c:pt idx="4">
                  <c:v>181216.56050955414</c:v>
                </c:pt>
                <c:pt idx="5">
                  <c:v>198981.23324396781</c:v>
                </c:pt>
                <c:pt idx="6">
                  <c:v>198244.10480349345</c:v>
                </c:pt>
                <c:pt idx="7">
                  <c:v>158402.69587194608</c:v>
                </c:pt>
                <c:pt idx="8">
                  <c:v>154749.79822437448</c:v>
                </c:pt>
                <c:pt idx="9">
                  <c:v>169588.70967741936</c:v>
                </c:pt>
                <c:pt idx="10">
                  <c:v>197288.67623604464</c:v>
                </c:pt>
                <c:pt idx="11">
                  <c:v>220000</c:v>
                </c:pt>
              </c:numCache>
            </c:numRef>
          </c:val>
          <c:extLst>
            <c:ext xmlns:c16="http://schemas.microsoft.com/office/drawing/2014/chart" uri="{C3380CC4-5D6E-409C-BE32-E72D297353CC}">
              <c16:uniqueId val="{00000001-2963-4326-AD7A-B938560BD865}"/>
            </c:ext>
          </c:extLst>
        </c:ser>
        <c:ser>
          <c:idx val="2"/>
          <c:order val="2"/>
          <c:tx>
            <c:strRef>
              <c:f>'Price Determination'!$A$13</c:f>
              <c:strCache>
                <c:ptCount val="1"/>
                <c:pt idx="0">
                  <c:v>Cost of Building ONLY the House on the Land</c:v>
                </c:pt>
              </c:strCache>
            </c:strRef>
          </c:tx>
          <c:spPr>
            <a:solidFill>
              <a:schemeClr val="accent3"/>
            </a:solidFill>
            <a:ln>
              <a:noFill/>
            </a:ln>
            <a:effectLst/>
          </c:spPr>
          <c:invertIfNegative val="0"/>
          <c:cat>
            <c:strRef>
              <c:f>'Price Determination'!$B$10:$M$10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'Price Determination'!$B$13:$M$13</c:f>
              <c:numCache>
                <c:formatCode>"$"#,##0_);\("$"#,##0\)</c:formatCode>
                <c:ptCount val="12"/>
                <c:pt idx="0">
                  <c:v>253505.36480686691</c:v>
                </c:pt>
                <c:pt idx="1">
                  <c:v>237302.04081632654</c:v>
                </c:pt>
                <c:pt idx="2">
                  <c:v>184810.75697211156</c:v>
                </c:pt>
                <c:pt idx="3">
                  <c:v>224111.16367076631</c:v>
                </c:pt>
                <c:pt idx="4">
                  <c:v>226239.30846223838</c:v>
                </c:pt>
                <c:pt idx="5">
                  <c:v>177424.93297587131</c:v>
                </c:pt>
                <c:pt idx="6">
                  <c:v>206886.89956331879</c:v>
                </c:pt>
                <c:pt idx="7">
                  <c:v>271473.04128053912</c:v>
                </c:pt>
                <c:pt idx="8">
                  <c:v>283541.5657788539</c:v>
                </c:pt>
                <c:pt idx="9">
                  <c:v>309250</c:v>
                </c:pt>
                <c:pt idx="10">
                  <c:v>305797.44816586922</c:v>
                </c:pt>
                <c:pt idx="11">
                  <c:v>365000</c:v>
                </c:pt>
              </c:numCache>
            </c:numRef>
          </c:val>
          <c:extLst>
            <c:ext xmlns:c16="http://schemas.microsoft.com/office/drawing/2014/chart" uri="{C3380CC4-5D6E-409C-BE32-E72D297353CC}">
              <c16:uniqueId val="{00000002-2963-4326-AD7A-B938560BD865}"/>
            </c:ext>
          </c:extLst>
        </c:ser>
        <c:ser>
          <c:idx val="3"/>
          <c:order val="3"/>
          <c:tx>
            <c:strRef>
              <c:f>'Price Determination'!$A$14</c:f>
              <c:strCache>
                <c:ptCount val="1"/>
                <c:pt idx="0">
                  <c:v> Revenue 10% </c:v>
                </c:pt>
              </c:strCache>
            </c:strRef>
          </c:tx>
          <c:spPr>
            <a:solidFill>
              <a:schemeClr val="accent4"/>
            </a:solidFill>
            <a:ln>
              <a:noFill/>
            </a:ln>
            <a:effectLst/>
          </c:spPr>
          <c:invertIfNegative val="0"/>
          <c:cat>
            <c:strRef>
              <c:f>'Price Determination'!$B$10:$M$10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'Price Determination'!$B$14:$M$14</c:f>
              <c:numCache>
                <c:formatCode>"$"#,##0_);\("$"#,##0\)</c:formatCode>
                <c:ptCount val="12"/>
                <c:pt idx="0">
                  <c:v>41941.2017167382</c:v>
                </c:pt>
                <c:pt idx="1">
                  <c:v>42032.755102040821</c:v>
                </c:pt>
                <c:pt idx="2">
                  <c:v>41890.438247011953</c:v>
                </c:pt>
                <c:pt idx="3">
                  <c:v>42306.102175969725</c:v>
                </c:pt>
                <c:pt idx="4">
                  <c:v>40745.586897179252</c:v>
                </c:pt>
                <c:pt idx="5">
                  <c:v>37640.616621983914</c:v>
                </c:pt>
                <c:pt idx="6">
                  <c:v>40513.100436681227</c:v>
                </c:pt>
                <c:pt idx="7">
                  <c:v>42987.573715248524</c:v>
                </c:pt>
                <c:pt idx="8">
                  <c:v>43829.136400322837</c:v>
                </c:pt>
                <c:pt idx="9">
                  <c:v>47883.870967741939</c:v>
                </c:pt>
                <c:pt idx="10">
                  <c:v>50308.612440191384</c:v>
                </c:pt>
                <c:pt idx="11">
                  <c:v>58500</c:v>
                </c:pt>
              </c:numCache>
            </c:numRef>
          </c:val>
          <c:extLst>
            <c:ext xmlns:c16="http://schemas.microsoft.com/office/drawing/2014/chart" uri="{C3380CC4-5D6E-409C-BE32-E72D297353CC}">
              <c16:uniqueId val="{00000003-2963-4326-AD7A-B938560BD865}"/>
            </c:ext>
          </c:extLst>
        </c:ser>
        <c:ser>
          <c:idx val="4"/>
          <c:order val="4"/>
          <c:tx>
            <c:strRef>
              <c:f>'Price Determination'!$A$15</c:f>
              <c:strCache>
                <c:ptCount val="1"/>
                <c:pt idx="0">
                  <c:v>Selling Price of the house (for the buyer)</c:v>
                </c:pt>
              </c:strCache>
            </c:strRef>
          </c:tx>
          <c:spPr>
            <a:solidFill>
              <a:schemeClr val="accent5"/>
            </a:solidFill>
            <a:ln>
              <a:noFill/>
            </a:ln>
            <a:effectLst/>
          </c:spPr>
          <c:invertIfNegative val="0"/>
          <c:cat>
            <c:strRef>
              <c:f>'Price Determination'!$B$10:$M$10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'Price Determination'!$B$15:$M$15</c:f>
              <c:numCache>
                <c:formatCode>"$"#,##0_);\("$"#,##0\)</c:formatCode>
                <c:ptCount val="12"/>
                <c:pt idx="0">
                  <c:v>461353.21888412011</c:v>
                </c:pt>
                <c:pt idx="1">
                  <c:v>462360.30612244899</c:v>
                </c:pt>
                <c:pt idx="2">
                  <c:v>460794.82071713149</c:v>
                </c:pt>
                <c:pt idx="3">
                  <c:v>465367.12393566698</c:v>
                </c:pt>
                <c:pt idx="4">
                  <c:v>448201.45586897177</c:v>
                </c:pt>
                <c:pt idx="5">
                  <c:v>414046.78284182306</c:v>
                </c:pt>
                <c:pt idx="6">
                  <c:v>445644.10480349348</c:v>
                </c:pt>
                <c:pt idx="7">
                  <c:v>472863.31086773379</c:v>
                </c:pt>
                <c:pt idx="8">
                  <c:v>482120.50040355121</c:v>
                </c:pt>
                <c:pt idx="9">
                  <c:v>526722.58064516122</c:v>
                </c:pt>
                <c:pt idx="10">
                  <c:v>553394.73684210517</c:v>
                </c:pt>
                <c:pt idx="11">
                  <c:v>643500</c:v>
                </c:pt>
              </c:numCache>
            </c:numRef>
          </c:val>
          <c:extLst>
            <c:ext xmlns:c16="http://schemas.microsoft.com/office/drawing/2014/chart" uri="{C3380CC4-5D6E-409C-BE32-E72D297353CC}">
              <c16:uniqueId val="{00000004-2963-4326-AD7A-B938560BD865}"/>
            </c:ext>
          </c:extLst>
        </c:ser>
        <c:dLbls>
          <c:showLegendKey val="0"/>
          <c:showVal val="0"/>
          <c:showCatName val="0"/>
          <c:showSerName val="0"/>
          <c:showPercent val="0"/>
          <c:showBubbleSize val="0"/>
        </c:dLbls>
        <c:gapWidth val="219"/>
        <c:overlap val="-27"/>
        <c:axId val="621061903"/>
        <c:axId val="621061071"/>
      </c:barChart>
      <c:catAx>
        <c:axId val="62106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61071"/>
        <c:crosses val="autoZero"/>
        <c:auto val="1"/>
        <c:lblAlgn val="ctr"/>
        <c:lblOffset val="100"/>
        <c:noMultiLvlLbl val="0"/>
      </c:catAx>
      <c:valAx>
        <c:axId val="621061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6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z-Scores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Conslusion!$N$71</c:f>
              <c:strCache>
                <c:ptCount val="1"/>
                <c:pt idx="0">
                  <c:v>z-Scores</c:v>
                </c:pt>
              </c:strCache>
            </c:strRef>
          </c:tx>
          <c:spPr>
            <a:ln w="19050" cap="rnd">
              <a:noFill/>
              <a:round/>
            </a:ln>
            <a:effectLst/>
          </c:spPr>
          <c:marker>
            <c:symbol val="circle"/>
            <c:size val="5"/>
            <c:spPr>
              <a:solidFill>
                <a:schemeClr val="accent1"/>
              </a:solidFill>
              <a:ln w="9525">
                <a:solidFill>
                  <a:schemeClr val="accent1"/>
                </a:solidFill>
              </a:ln>
              <a:effectLst/>
            </c:spPr>
          </c:marker>
          <c:yVal>
            <c:numRef>
              <c:f>Conslusion!$N$72:$N$83</c:f>
              <c:numCache>
                <c:formatCode>0.000</c:formatCode>
                <c:ptCount val="12"/>
                <c:pt idx="0">
                  <c:v>-0.406437720674727</c:v>
                </c:pt>
                <c:pt idx="1">
                  <c:v>-0.39007212713731165</c:v>
                </c:pt>
                <c:pt idx="2">
                  <c:v>-0.41551192704451445</c:v>
                </c:pt>
                <c:pt idx="3">
                  <c:v>-0.34121006603737997</c:v>
                </c:pt>
                <c:pt idx="4">
                  <c:v>-0.62015943177842048</c:v>
                </c:pt>
                <c:pt idx="5">
                  <c:v>-1.1751873130701975</c:v>
                </c:pt>
                <c:pt idx="6">
                  <c:v>-0.66171746814033872</c:v>
                </c:pt>
                <c:pt idx="7">
                  <c:v>-0.21939385812448378</c:v>
                </c:pt>
                <c:pt idx="8">
                  <c:v>-6.8960613142249549E-2</c:v>
                </c:pt>
                <c:pt idx="9">
                  <c:v>0.65584205377332139</c:v>
                </c:pt>
                <c:pt idx="10">
                  <c:v>1.0892758720887812</c:v>
                </c:pt>
                <c:pt idx="11">
                  <c:v>2.5535245054752553</c:v>
                </c:pt>
              </c:numCache>
            </c:numRef>
          </c:yVal>
          <c:smooth val="0"/>
          <c:extLst>
            <c:ext xmlns:c16="http://schemas.microsoft.com/office/drawing/2014/chart" uri="{C3380CC4-5D6E-409C-BE32-E72D297353CC}">
              <c16:uniqueId val="{00000000-6876-4289-94DE-27C579A8CA22}"/>
            </c:ext>
          </c:extLst>
        </c:ser>
        <c:dLbls>
          <c:showLegendKey val="0"/>
          <c:showVal val="0"/>
          <c:showCatName val="0"/>
          <c:showSerName val="0"/>
          <c:showPercent val="0"/>
          <c:showBubbleSize val="0"/>
        </c:dLbls>
        <c:axId val="895625567"/>
        <c:axId val="895631807"/>
      </c:scatterChart>
      <c:valAx>
        <c:axId val="89562556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31807"/>
        <c:crosses val="autoZero"/>
        <c:crossBetween val="midCat"/>
      </c:valAx>
      <c:valAx>
        <c:axId val="895631807"/>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255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Firm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'Positive Report'!$A$7</c:f>
              <c:strCache>
                <c:ptCount val="1"/>
                <c:pt idx="0">
                  <c:v>Revenue 10 % (Not Adjusted)</c:v>
                </c:pt>
              </c:strCache>
            </c:strRef>
          </c:tx>
          <c:spPr>
            <a:ln w="28575" cap="rnd">
              <a:solidFill>
                <a:schemeClr val="accent1"/>
              </a:solidFill>
              <a:round/>
            </a:ln>
            <a:effectLst/>
          </c:spPr>
          <c:marker>
            <c:symbol val="none"/>
          </c:marker>
          <c:val>
            <c:numRef>
              <c:f>'Positive Report'!$B$7:$M$7</c:f>
              <c:numCache>
                <c:formatCode>"$"#,##0_);\("$"#,##0\)</c:formatCode>
                <c:ptCount val="12"/>
                <c:pt idx="0">
                  <c:v>31600</c:v>
                </c:pt>
                <c:pt idx="1">
                  <c:v>33300</c:v>
                </c:pt>
                <c:pt idx="2">
                  <c:v>34000</c:v>
                </c:pt>
                <c:pt idx="3">
                  <c:v>36150</c:v>
                </c:pt>
                <c:pt idx="4">
                  <c:v>36200</c:v>
                </c:pt>
                <c:pt idx="5">
                  <c:v>34050</c:v>
                </c:pt>
                <c:pt idx="6">
                  <c:v>37500</c:v>
                </c:pt>
                <c:pt idx="7">
                  <c:v>41250</c:v>
                </c:pt>
                <c:pt idx="8">
                  <c:v>43900</c:v>
                </c:pt>
                <c:pt idx="9">
                  <c:v>48000</c:v>
                </c:pt>
                <c:pt idx="10">
                  <c:v>51000</c:v>
                </c:pt>
                <c:pt idx="11">
                  <c:v>58500</c:v>
                </c:pt>
              </c:numCache>
            </c:numRef>
          </c:val>
          <c:smooth val="0"/>
          <c:extLst>
            <c:ext xmlns:c16="http://schemas.microsoft.com/office/drawing/2014/chart" uri="{C3380CC4-5D6E-409C-BE32-E72D297353CC}">
              <c16:uniqueId val="{00000000-5F4D-4D65-B964-2A84886DE47B}"/>
            </c:ext>
          </c:extLst>
        </c:ser>
        <c:ser>
          <c:idx val="1"/>
          <c:order val="1"/>
          <c:tx>
            <c:strRef>
              <c:f>'Positive Report'!$A$16</c:f>
              <c:strCache>
                <c:ptCount val="1"/>
                <c:pt idx="0">
                  <c:v> Revenue 10% (Adjusted for inflation) </c:v>
                </c:pt>
              </c:strCache>
            </c:strRef>
          </c:tx>
          <c:spPr>
            <a:ln w="28575" cap="rnd">
              <a:solidFill>
                <a:schemeClr val="accent2"/>
              </a:solidFill>
              <a:round/>
            </a:ln>
            <a:effectLst/>
          </c:spPr>
          <c:marker>
            <c:symbol val="none"/>
          </c:marker>
          <c:val>
            <c:numRef>
              <c:f>'Positive Report'!$B$16:$M$16</c:f>
              <c:numCache>
                <c:formatCode>"$"#,##0_);\("$"#,##0\)</c:formatCode>
                <c:ptCount val="12"/>
                <c:pt idx="0">
                  <c:v>41941.2017167382</c:v>
                </c:pt>
                <c:pt idx="1">
                  <c:v>42032.755102040821</c:v>
                </c:pt>
                <c:pt idx="2">
                  <c:v>41890.438247011953</c:v>
                </c:pt>
                <c:pt idx="3">
                  <c:v>42306.102175969725</c:v>
                </c:pt>
                <c:pt idx="4">
                  <c:v>40745.586897179252</c:v>
                </c:pt>
                <c:pt idx="5">
                  <c:v>37640.616621983914</c:v>
                </c:pt>
                <c:pt idx="6">
                  <c:v>40513.100436681227</c:v>
                </c:pt>
                <c:pt idx="7">
                  <c:v>42987.573715248524</c:v>
                </c:pt>
                <c:pt idx="8">
                  <c:v>43829.136400322837</c:v>
                </c:pt>
                <c:pt idx="9">
                  <c:v>47883.870967741939</c:v>
                </c:pt>
                <c:pt idx="10">
                  <c:v>50308.612440191384</c:v>
                </c:pt>
                <c:pt idx="11">
                  <c:v>58500</c:v>
                </c:pt>
              </c:numCache>
            </c:numRef>
          </c:val>
          <c:smooth val="0"/>
          <c:extLst>
            <c:ext xmlns:c16="http://schemas.microsoft.com/office/drawing/2014/chart" uri="{C3380CC4-5D6E-409C-BE32-E72D297353CC}">
              <c16:uniqueId val="{00000001-5F4D-4D65-B964-2A84886DE47B}"/>
            </c:ext>
          </c:extLst>
        </c:ser>
        <c:dLbls>
          <c:showLegendKey val="0"/>
          <c:showVal val="0"/>
          <c:showCatName val="0"/>
          <c:showSerName val="0"/>
          <c:showPercent val="0"/>
          <c:showBubbleSize val="0"/>
        </c:dLbls>
        <c:smooth val="0"/>
        <c:axId val="677387679"/>
        <c:axId val="677386015"/>
      </c:lineChart>
      <c:catAx>
        <c:axId val="6773876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86015"/>
        <c:crosses val="autoZero"/>
        <c:auto val="1"/>
        <c:lblAlgn val="ctr"/>
        <c:lblOffset val="100"/>
        <c:noMultiLvlLbl val="0"/>
      </c:catAx>
      <c:valAx>
        <c:axId val="677386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87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Adjusted Final Price of the house (for the buyer)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04344267544509"/>
          <c:y val="0.11549619409996467"/>
          <c:w val="0.53676852852524781"/>
          <c:h val="0.79615125032447864"/>
        </c:manualLayout>
      </c:layout>
      <c:scatterChart>
        <c:scatterStyle val="lineMarker"/>
        <c:varyColors val="0"/>
        <c:ser>
          <c:idx val="0"/>
          <c:order val="0"/>
          <c:tx>
            <c:strRef>
              <c:f>'Positive Report'!$A$17</c:f>
              <c:strCache>
                <c:ptCount val="1"/>
                <c:pt idx="0">
                  <c:v>Selling Price of the house (for the buyer)</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yVal>
            <c:numRef>
              <c:f>'Positive Report'!$B$17:$M$17</c:f>
              <c:numCache>
                <c:formatCode>"$"#,##0_);\("$"#,##0\)</c:formatCode>
                <c:ptCount val="12"/>
                <c:pt idx="0">
                  <c:v>461353.21888412011</c:v>
                </c:pt>
                <c:pt idx="1">
                  <c:v>462360.30612244899</c:v>
                </c:pt>
                <c:pt idx="2">
                  <c:v>460794.82071713149</c:v>
                </c:pt>
                <c:pt idx="3">
                  <c:v>465367.12393566698</c:v>
                </c:pt>
                <c:pt idx="4">
                  <c:v>448201.45586897177</c:v>
                </c:pt>
                <c:pt idx="5">
                  <c:v>414046.78284182306</c:v>
                </c:pt>
                <c:pt idx="6">
                  <c:v>445644.10480349348</c:v>
                </c:pt>
                <c:pt idx="7">
                  <c:v>472863.31086773379</c:v>
                </c:pt>
                <c:pt idx="8">
                  <c:v>482120.50040355121</c:v>
                </c:pt>
                <c:pt idx="9">
                  <c:v>526722.58064516122</c:v>
                </c:pt>
                <c:pt idx="10">
                  <c:v>553394.73684210517</c:v>
                </c:pt>
                <c:pt idx="11">
                  <c:v>643500</c:v>
                </c:pt>
              </c:numCache>
            </c:numRef>
          </c:yVal>
          <c:smooth val="0"/>
          <c:extLst>
            <c:ext xmlns:c16="http://schemas.microsoft.com/office/drawing/2014/chart" uri="{C3380CC4-5D6E-409C-BE32-E72D297353CC}">
              <c16:uniqueId val="{00000001-A53E-4F7E-9A02-3479705A6035}"/>
            </c:ext>
          </c:extLst>
        </c:ser>
        <c:dLbls>
          <c:showLegendKey val="0"/>
          <c:showVal val="0"/>
          <c:showCatName val="0"/>
          <c:showSerName val="0"/>
          <c:showPercent val="0"/>
          <c:showBubbleSize val="0"/>
        </c:dLbls>
        <c:axId val="1003138623"/>
        <c:axId val="1003122815"/>
      </c:scatterChart>
      <c:valAx>
        <c:axId val="100313862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22815"/>
        <c:crosses val="autoZero"/>
        <c:crossBetween val="midCat"/>
      </c:valAx>
      <c:valAx>
        <c:axId val="10031228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38623"/>
        <c:crosses val="autoZero"/>
        <c:crossBetween val="midCat"/>
      </c:valAx>
      <c:spPr>
        <a:noFill/>
        <a:ln>
          <a:noFill/>
        </a:ln>
        <a:effectLst/>
      </c:spPr>
    </c:plotArea>
    <c:legend>
      <c:legendPos val="r"/>
      <c:layout>
        <c:manualLayout>
          <c:xMode val="edge"/>
          <c:yMode val="edge"/>
          <c:x val="0.68698890770066545"/>
          <c:y val="0.15904080984047855"/>
          <c:w val="0.19253607151065513"/>
          <c:h val="0.580359526290015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z-Scores (Median House Prices with 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'Positive Report'!$C$60</c:f>
              <c:strCache>
                <c:ptCount val="1"/>
                <c:pt idx="0">
                  <c:v>z-Scores</c:v>
                </c:pt>
              </c:strCache>
            </c:strRef>
          </c:tx>
          <c:spPr>
            <a:ln w="19050" cap="rnd">
              <a:noFill/>
              <a:round/>
            </a:ln>
            <a:effectLst/>
          </c:spPr>
          <c:marker>
            <c:symbol val="circle"/>
            <c:size val="5"/>
            <c:spPr>
              <a:solidFill>
                <a:schemeClr val="accent1"/>
              </a:solidFill>
              <a:ln w="9525">
                <a:solidFill>
                  <a:schemeClr val="accent1"/>
                </a:solidFill>
              </a:ln>
              <a:effectLst/>
            </c:spPr>
          </c:marker>
          <c:yVal>
            <c:numRef>
              <c:f>'Positive Report'!$C$61:$C$72</c:f>
              <c:numCache>
                <c:formatCode>0.000</c:formatCode>
                <c:ptCount val="12"/>
                <c:pt idx="0">
                  <c:v>-0.4064372962663495</c:v>
                </c:pt>
                <c:pt idx="1">
                  <c:v>-0.39007169102722167</c:v>
                </c:pt>
                <c:pt idx="2">
                  <c:v>-0.4155115091243673</c:v>
                </c:pt>
                <c:pt idx="3">
                  <c:v>-0.34120959498998149</c:v>
                </c:pt>
                <c:pt idx="4">
                  <c:v>-0.62015916018515171</c:v>
                </c:pt>
                <c:pt idx="5">
                  <c:v>-1.1751874383324763</c:v>
                </c:pt>
                <c:pt idx="6">
                  <c:v>-0.66171722626186102</c:v>
                </c:pt>
                <c:pt idx="7">
                  <c:v>-0.21939329997616733</c:v>
                </c:pt>
                <c:pt idx="8">
                  <c:v>-6.8959947431286694E-2</c:v>
                </c:pt>
                <c:pt idx="9">
                  <c:v>0.655843237732048</c:v>
                </c:pt>
                <c:pt idx="10">
                  <c:v>1.0892773659609762</c:v>
                </c:pt>
                <c:pt idx="11">
                  <c:v>2.5535270463132189</c:v>
                </c:pt>
              </c:numCache>
            </c:numRef>
          </c:yVal>
          <c:smooth val="0"/>
          <c:extLst>
            <c:ext xmlns:c16="http://schemas.microsoft.com/office/drawing/2014/chart" uri="{C3380CC4-5D6E-409C-BE32-E72D297353CC}">
              <c16:uniqueId val="{00000000-EDFA-457B-978A-121102E374D7}"/>
            </c:ext>
          </c:extLst>
        </c:ser>
        <c:dLbls>
          <c:showLegendKey val="0"/>
          <c:showVal val="0"/>
          <c:showCatName val="0"/>
          <c:showSerName val="0"/>
          <c:showPercent val="0"/>
          <c:showBubbleSize val="0"/>
        </c:dLbls>
        <c:axId val="856595103"/>
        <c:axId val="856598431"/>
      </c:scatterChart>
      <c:valAx>
        <c:axId val="85659510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98431"/>
        <c:crosses val="autoZero"/>
        <c:crossBetween val="midCat"/>
      </c:valAx>
      <c:valAx>
        <c:axId val="8565984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95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z-Scores</a:t>
            </a:r>
            <a:r>
              <a:rPr lang="en-AU" baseline="0"/>
              <a:t> (Median Vacant Land Prices)</a:t>
            </a:r>
          </a:p>
        </c:rich>
      </c:tx>
      <c:layout>
        <c:manualLayout>
          <c:xMode val="edge"/>
          <c:yMode val="edge"/>
          <c:x val="0.22883668769917748"/>
          <c:y val="5.3872053872053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'Positive Report'!$F$61:$F$72</c:f>
              <c:numCache>
                <c:formatCode>0.000</c:formatCode>
                <c:ptCount val="12"/>
                <c:pt idx="0">
                  <c:v>-0.92710730628323978</c:v>
                </c:pt>
                <c:pt idx="1">
                  <c:v>-0.22059728825337868</c:v>
                </c:pt>
                <c:pt idx="2">
                  <c:v>1.8870278457810226</c:v>
                </c:pt>
                <c:pt idx="3">
                  <c:v>0.4366142742263438</c:v>
                </c:pt>
                <c:pt idx="4">
                  <c:v>-0.29525420128896562</c:v>
                </c:pt>
                <c:pt idx="5">
                  <c:v>0.43790915391711321</c:v>
                </c:pt>
                <c:pt idx="6">
                  <c:v>0.40748722784418995</c:v>
                </c:pt>
                <c:pt idx="7">
                  <c:v>-1.23680205826265</c:v>
                </c:pt>
                <c:pt idx="8">
                  <c:v>-1.3875602926279724</c:v>
                </c:pt>
                <c:pt idx="9">
                  <c:v>-0.77514562723169644</c:v>
                </c:pt>
                <c:pt idx="10">
                  <c:v>0.36805586737710261</c:v>
                </c:pt>
                <c:pt idx="11">
                  <c:v>1.305371774114668</c:v>
                </c:pt>
              </c:numCache>
            </c:numRef>
          </c:yVal>
          <c:smooth val="0"/>
          <c:extLst>
            <c:ext xmlns:c16="http://schemas.microsoft.com/office/drawing/2014/chart" uri="{C3380CC4-5D6E-409C-BE32-E72D297353CC}">
              <c16:uniqueId val="{00000000-C37D-4AEF-A0D6-38D5AA55334F}"/>
            </c:ext>
          </c:extLst>
        </c:ser>
        <c:dLbls>
          <c:showLegendKey val="0"/>
          <c:showVal val="0"/>
          <c:showCatName val="0"/>
          <c:showSerName val="0"/>
          <c:showPercent val="0"/>
          <c:showBubbleSize val="0"/>
        </c:dLbls>
        <c:axId val="979603583"/>
        <c:axId val="979579455"/>
      </c:scatterChart>
      <c:valAx>
        <c:axId val="97960358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579455"/>
        <c:crosses val="autoZero"/>
        <c:crossBetween val="midCat"/>
      </c:valAx>
      <c:valAx>
        <c:axId val="97957945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35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AU" sz="1200" b="1"/>
              <a:t>z-Scores (Cost of building ONLY the house on the Land)</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'Positive Report'!$J$61:$J$72</c:f>
              <c:numCache>
                <c:formatCode>0.000</c:formatCode>
                <c:ptCount val="12"/>
                <c:pt idx="0">
                  <c:v>-4.9101478738152581E-3</c:v>
                </c:pt>
                <c:pt idx="1">
                  <c:v>-0.296154443991613</c:v>
                </c:pt>
                <c:pt idx="2">
                  <c:v>-1.2396514094570352</c:v>
                </c:pt>
                <c:pt idx="3">
                  <c:v>-0.53325195137206693</c:v>
                </c:pt>
                <c:pt idx="4">
                  <c:v>-0.49499992159157941</c:v>
                </c:pt>
                <c:pt idx="5">
                  <c:v>-1.3724068312637427</c:v>
                </c:pt>
                <c:pt idx="6">
                  <c:v>-0.84284698749238729</c:v>
                </c:pt>
                <c:pt idx="7">
                  <c:v>0.31804724596105671</c:v>
                </c:pt>
                <c:pt idx="8">
                  <c:v>0.534971188526428</c:v>
                </c:pt>
                <c:pt idx="9">
                  <c:v>0.99706370938200195</c:v>
                </c:pt>
                <c:pt idx="10">
                  <c:v>0.9350063173722718</c:v>
                </c:pt>
                <c:pt idx="11">
                  <c:v>1.9991339955804655</c:v>
                </c:pt>
              </c:numCache>
            </c:numRef>
          </c:yVal>
          <c:smooth val="0"/>
          <c:extLst>
            <c:ext xmlns:c16="http://schemas.microsoft.com/office/drawing/2014/chart" uri="{C3380CC4-5D6E-409C-BE32-E72D297353CC}">
              <c16:uniqueId val="{00000000-DA21-4A16-BBAF-F3921C66E8E2}"/>
            </c:ext>
          </c:extLst>
        </c:ser>
        <c:dLbls>
          <c:showLegendKey val="0"/>
          <c:showVal val="0"/>
          <c:showCatName val="0"/>
          <c:showSerName val="0"/>
          <c:showPercent val="0"/>
          <c:showBubbleSize val="0"/>
        </c:dLbls>
        <c:axId val="966669503"/>
        <c:axId val="966656607"/>
      </c:scatterChart>
      <c:valAx>
        <c:axId val="96666950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56607"/>
        <c:crosses val="autoZero"/>
        <c:crossBetween val="midCat"/>
      </c:valAx>
      <c:valAx>
        <c:axId val="966656607"/>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695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z-Scores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'Positive Report'!$N$60</c:f>
              <c:strCache>
                <c:ptCount val="1"/>
                <c:pt idx="0">
                  <c:v>z-Scores</c:v>
                </c:pt>
              </c:strCache>
            </c:strRef>
          </c:tx>
          <c:spPr>
            <a:ln w="19050" cap="rnd">
              <a:noFill/>
              <a:round/>
            </a:ln>
            <a:effectLst/>
          </c:spPr>
          <c:marker>
            <c:symbol val="circle"/>
            <c:size val="5"/>
            <c:spPr>
              <a:solidFill>
                <a:schemeClr val="accent1"/>
              </a:solidFill>
              <a:ln w="9525">
                <a:solidFill>
                  <a:schemeClr val="accent1"/>
                </a:solidFill>
              </a:ln>
              <a:effectLst/>
            </c:spPr>
          </c:marker>
          <c:yVal>
            <c:numRef>
              <c:f>'Positive Report'!$N$61:$N$72</c:f>
              <c:numCache>
                <c:formatCode>0.000</c:formatCode>
                <c:ptCount val="12"/>
                <c:pt idx="0">
                  <c:v>-0.406437720674727</c:v>
                </c:pt>
                <c:pt idx="1">
                  <c:v>-0.39007212713731165</c:v>
                </c:pt>
                <c:pt idx="2">
                  <c:v>-0.41551192704451445</c:v>
                </c:pt>
                <c:pt idx="3">
                  <c:v>-0.34121006603737997</c:v>
                </c:pt>
                <c:pt idx="4">
                  <c:v>-0.62015943177842048</c:v>
                </c:pt>
                <c:pt idx="5">
                  <c:v>-1.1751873130701975</c:v>
                </c:pt>
                <c:pt idx="6">
                  <c:v>-0.66171746814033872</c:v>
                </c:pt>
                <c:pt idx="7">
                  <c:v>-0.21939385812448378</c:v>
                </c:pt>
                <c:pt idx="8">
                  <c:v>-6.8960613142249549E-2</c:v>
                </c:pt>
                <c:pt idx="9">
                  <c:v>0.65584205377332139</c:v>
                </c:pt>
                <c:pt idx="10">
                  <c:v>1.0892758720887812</c:v>
                </c:pt>
                <c:pt idx="11">
                  <c:v>2.5535245054752553</c:v>
                </c:pt>
              </c:numCache>
            </c:numRef>
          </c:yVal>
          <c:smooth val="0"/>
          <c:extLst>
            <c:ext xmlns:c16="http://schemas.microsoft.com/office/drawing/2014/chart" uri="{C3380CC4-5D6E-409C-BE32-E72D297353CC}">
              <c16:uniqueId val="{00000000-44B1-426E-B937-EB1B55900CE5}"/>
            </c:ext>
          </c:extLst>
        </c:ser>
        <c:dLbls>
          <c:showLegendKey val="0"/>
          <c:showVal val="0"/>
          <c:showCatName val="0"/>
          <c:showSerName val="0"/>
          <c:showPercent val="0"/>
          <c:showBubbleSize val="0"/>
        </c:dLbls>
        <c:axId val="895625567"/>
        <c:axId val="895631807"/>
      </c:scatterChart>
      <c:valAx>
        <c:axId val="89562556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31807"/>
        <c:crosses val="autoZero"/>
        <c:crossBetween val="midCat"/>
      </c:valAx>
      <c:valAx>
        <c:axId val="895631807"/>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255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Firm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'Negative Report'!$A$7</c:f>
              <c:strCache>
                <c:ptCount val="1"/>
                <c:pt idx="0">
                  <c:v>Revenue 10 % (Not Adjusted)</c:v>
                </c:pt>
              </c:strCache>
            </c:strRef>
          </c:tx>
          <c:spPr>
            <a:ln w="28575" cap="rnd">
              <a:solidFill>
                <a:schemeClr val="accent1"/>
              </a:solidFill>
              <a:round/>
            </a:ln>
            <a:effectLst/>
          </c:spPr>
          <c:marker>
            <c:symbol val="none"/>
          </c:marker>
          <c:val>
            <c:numRef>
              <c:f>'Negative Report'!$B$7:$M$7</c:f>
              <c:numCache>
                <c:formatCode>"$"#,##0_);\("$"#,##0\)</c:formatCode>
                <c:ptCount val="12"/>
                <c:pt idx="0">
                  <c:v>31600</c:v>
                </c:pt>
                <c:pt idx="1">
                  <c:v>33300</c:v>
                </c:pt>
                <c:pt idx="2">
                  <c:v>34000</c:v>
                </c:pt>
                <c:pt idx="3">
                  <c:v>36150</c:v>
                </c:pt>
                <c:pt idx="4">
                  <c:v>36200</c:v>
                </c:pt>
                <c:pt idx="5">
                  <c:v>34050</c:v>
                </c:pt>
                <c:pt idx="6">
                  <c:v>37500</c:v>
                </c:pt>
                <c:pt idx="7">
                  <c:v>41250</c:v>
                </c:pt>
                <c:pt idx="8">
                  <c:v>43900</c:v>
                </c:pt>
                <c:pt idx="9">
                  <c:v>48000</c:v>
                </c:pt>
                <c:pt idx="10">
                  <c:v>51000</c:v>
                </c:pt>
                <c:pt idx="11">
                  <c:v>58500</c:v>
                </c:pt>
              </c:numCache>
            </c:numRef>
          </c:val>
          <c:smooth val="0"/>
          <c:extLst>
            <c:ext xmlns:c16="http://schemas.microsoft.com/office/drawing/2014/chart" uri="{C3380CC4-5D6E-409C-BE32-E72D297353CC}">
              <c16:uniqueId val="{00000000-1DFA-4846-99CC-A3FD0525CE48}"/>
            </c:ext>
          </c:extLst>
        </c:ser>
        <c:ser>
          <c:idx val="1"/>
          <c:order val="1"/>
          <c:tx>
            <c:strRef>
              <c:f>'Negative Report'!$A$16</c:f>
              <c:strCache>
                <c:ptCount val="1"/>
                <c:pt idx="0">
                  <c:v> Revenue 10% (Adjusted for inflation) </c:v>
                </c:pt>
              </c:strCache>
            </c:strRef>
          </c:tx>
          <c:spPr>
            <a:ln w="28575" cap="rnd">
              <a:solidFill>
                <a:schemeClr val="accent2"/>
              </a:solidFill>
              <a:round/>
            </a:ln>
            <a:effectLst/>
          </c:spPr>
          <c:marker>
            <c:symbol val="none"/>
          </c:marker>
          <c:val>
            <c:numRef>
              <c:f>'Negative Report'!$B$16:$M$16</c:f>
              <c:numCache>
                <c:formatCode>"$"#,##0_);\("$"#,##0\)</c:formatCode>
                <c:ptCount val="12"/>
                <c:pt idx="0">
                  <c:v>41941.2017167382</c:v>
                </c:pt>
                <c:pt idx="1">
                  <c:v>42032.755102040821</c:v>
                </c:pt>
                <c:pt idx="2">
                  <c:v>41890.438247011953</c:v>
                </c:pt>
                <c:pt idx="3">
                  <c:v>42306.102175969725</c:v>
                </c:pt>
                <c:pt idx="4">
                  <c:v>40745.586897179252</c:v>
                </c:pt>
                <c:pt idx="5">
                  <c:v>37640.616621983914</c:v>
                </c:pt>
                <c:pt idx="6">
                  <c:v>40513.100436681227</c:v>
                </c:pt>
                <c:pt idx="7">
                  <c:v>42987.573715248524</c:v>
                </c:pt>
                <c:pt idx="8">
                  <c:v>43829.136400322837</c:v>
                </c:pt>
                <c:pt idx="9">
                  <c:v>47883.870967741939</c:v>
                </c:pt>
                <c:pt idx="10">
                  <c:v>50308.612440191384</c:v>
                </c:pt>
                <c:pt idx="11">
                  <c:v>58500</c:v>
                </c:pt>
              </c:numCache>
            </c:numRef>
          </c:val>
          <c:smooth val="0"/>
          <c:extLst>
            <c:ext xmlns:c16="http://schemas.microsoft.com/office/drawing/2014/chart" uri="{C3380CC4-5D6E-409C-BE32-E72D297353CC}">
              <c16:uniqueId val="{00000001-1DFA-4846-99CC-A3FD0525CE48}"/>
            </c:ext>
          </c:extLst>
        </c:ser>
        <c:dLbls>
          <c:showLegendKey val="0"/>
          <c:showVal val="0"/>
          <c:showCatName val="0"/>
          <c:showSerName val="0"/>
          <c:showPercent val="0"/>
          <c:showBubbleSize val="0"/>
        </c:dLbls>
        <c:smooth val="0"/>
        <c:axId val="677387679"/>
        <c:axId val="677386015"/>
      </c:lineChart>
      <c:catAx>
        <c:axId val="6773876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86015"/>
        <c:crosses val="autoZero"/>
        <c:auto val="1"/>
        <c:lblAlgn val="ctr"/>
        <c:lblOffset val="100"/>
        <c:noMultiLvlLbl val="0"/>
      </c:catAx>
      <c:valAx>
        <c:axId val="677386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87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26175</xdr:colOff>
      <xdr:row>2</xdr:row>
      <xdr:rowOff>6601</xdr:rowOff>
    </xdr:from>
    <xdr:to>
      <xdr:col>10</xdr:col>
      <xdr:colOff>19268</xdr:colOff>
      <xdr:row>19</xdr:row>
      <xdr:rowOff>54895</xdr:rowOff>
    </xdr:to>
    <xdr:sp macro="" textlink="">
      <xdr:nvSpPr>
        <xdr:cNvPr id="2" name="TextBox 1">
          <a:extLst>
            <a:ext uri="{FF2B5EF4-FFF2-40B4-BE49-F238E27FC236}">
              <a16:creationId xmlns:a16="http://schemas.microsoft.com/office/drawing/2014/main" id="{8EAC00E3-3050-4F15-9FCD-ED06D17B0ED2}"/>
            </a:ext>
          </a:extLst>
        </xdr:cNvPr>
        <xdr:cNvSpPr txBox="1"/>
      </xdr:nvSpPr>
      <xdr:spPr>
        <a:xfrm>
          <a:off x="5026800" y="459039"/>
          <a:ext cx="5882718" cy="3421731"/>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b="0">
              <a:latin typeface="Arial" panose="020B0604020202020204" pitchFamily="34" charset="0"/>
              <a:cs typeface="Arial" panose="020B0604020202020204" pitchFamily="34" charset="0"/>
            </a:rPr>
            <a:t>A task for a buy-build-and-sale firm which is considering to</a:t>
          </a:r>
          <a:r>
            <a:rPr lang="en-AU" b="0" baseline="0">
              <a:latin typeface="Arial" panose="020B0604020202020204" pitchFamily="34" charset="0"/>
              <a:cs typeface="Arial" panose="020B0604020202020204" pitchFamily="34" charset="0"/>
            </a:rPr>
            <a:t> invest in the suburb "Alfredton". </a:t>
          </a:r>
        </a:p>
        <a:p>
          <a:pPr algn="l"/>
          <a:endParaRPr lang="en-AU" b="0">
            <a:latin typeface="Arial" panose="020B0604020202020204" pitchFamily="34" charset="0"/>
            <a:cs typeface="Arial" panose="020B0604020202020204" pitchFamily="34" charset="0"/>
          </a:endParaRPr>
        </a:p>
        <a:p>
          <a:pPr algn="l"/>
          <a:r>
            <a:rPr lang="en-AU" b="0">
              <a:latin typeface="Arial" panose="020B0604020202020204" pitchFamily="34" charset="0"/>
              <a:cs typeface="Arial" panose="020B0604020202020204" pitchFamily="34" charset="0"/>
            </a:rPr>
            <a:t> The firm buys an empty land in</a:t>
          </a:r>
          <a:r>
            <a:rPr lang="en-AU" b="0" baseline="0">
              <a:latin typeface="Arial" panose="020B0604020202020204" pitchFamily="34" charset="0"/>
              <a:cs typeface="Arial" panose="020B0604020202020204" pitchFamily="34" charset="0"/>
            </a:rPr>
            <a:t> Alfredton</a:t>
          </a:r>
          <a:r>
            <a:rPr lang="en-AU" b="0">
              <a:latin typeface="Arial" panose="020B0604020202020204" pitchFamily="34" charset="0"/>
              <a:cs typeface="Arial" panose="020B0604020202020204" pitchFamily="34" charset="0"/>
            </a:rPr>
            <a:t>, builds a new house on the land, and then sells the house to investor(s). The combination of interest payments, opportunity costs, building costs, and taxes require the firm to build and sell as quickly as possible, while maintaining a high-quality product. </a:t>
          </a:r>
        </a:p>
        <a:p>
          <a:pPr algn="l"/>
          <a:endParaRPr lang="en-AU" b="0">
            <a:latin typeface="Arial" panose="020B0604020202020204" pitchFamily="34" charset="0"/>
            <a:cs typeface="Arial" panose="020B0604020202020204" pitchFamily="34" charset="0"/>
          </a:endParaRPr>
        </a:p>
        <a:p>
          <a:pPr algn="l"/>
          <a:r>
            <a:rPr lang="en-AU" b="0">
              <a:latin typeface="Arial" panose="020B0604020202020204" pitchFamily="34" charset="0"/>
              <a:cs typeface="Arial" panose="020B0604020202020204" pitchFamily="34" charset="0"/>
            </a:rPr>
            <a:t>For simplicity, we are only assuming cost of empty land purchase and building of a new house, and revenues as resale of the new house (with land).</a:t>
          </a:r>
        </a:p>
        <a:p>
          <a:pPr algn="l"/>
          <a:endParaRPr lang="en-AU" sz="1100" b="0"/>
        </a:p>
        <a:p>
          <a:pPr algn="l" eaLnBrk="1" fontAlgn="auto" latinLnBrk="0" hangingPunct="1"/>
          <a:r>
            <a:rPr lang="en-AU" sz="1100" b="1" i="0">
              <a:solidFill>
                <a:schemeClr val="dk1"/>
              </a:solidFill>
              <a:effectLst/>
              <a:latin typeface="+mn-lt"/>
              <a:ea typeface="+mn-ea"/>
              <a:cs typeface="+mn-cs"/>
            </a:rPr>
            <a:t> </a:t>
          </a:r>
          <a:r>
            <a:rPr lang="en-AU" sz="1100" b="1" i="0">
              <a:solidFill>
                <a:srgbClr val="7030A0"/>
              </a:solidFill>
              <a:effectLst/>
              <a:latin typeface="+mn-lt"/>
              <a:ea typeface="+mn-ea"/>
              <a:cs typeface="+mn-cs"/>
            </a:rPr>
            <a:t>NOTE</a:t>
          </a:r>
          <a:r>
            <a:rPr lang="en-AU" sz="1100" b="0" i="1">
              <a:solidFill>
                <a:srgbClr val="7030A0"/>
              </a:solidFill>
              <a:effectLst/>
              <a:latin typeface="Calibri" panose="020F0502020204030204" pitchFamily="34" charset="0"/>
              <a:ea typeface="+mn-ea"/>
              <a:cs typeface="Calibri" panose="020F0502020204030204" pitchFamily="34" charset="0"/>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AU" sz="1100" b="0" i="1">
              <a:solidFill>
                <a:srgbClr val="7030A0"/>
              </a:solidFill>
              <a:effectLst/>
              <a:latin typeface="+mn-lt"/>
              <a:ea typeface="+mn-ea"/>
              <a:cs typeface="+mn-cs"/>
            </a:rPr>
            <a:t>It is assumed</a:t>
          </a:r>
          <a:r>
            <a:rPr lang="en-AU" sz="1100" b="0" i="1" baseline="0">
              <a:solidFill>
                <a:srgbClr val="7030A0"/>
              </a:solidFill>
              <a:effectLst/>
              <a:latin typeface="+mn-lt"/>
              <a:ea typeface="+mn-ea"/>
              <a:cs typeface="+mn-cs"/>
            </a:rPr>
            <a:t> that there are many vacant land spaces and houses with land spread across the suburb, the firm can invest in any and start their work/task. </a:t>
          </a:r>
          <a:r>
            <a:rPr lang="en-AU" sz="1100" b="0" i="1">
              <a:solidFill>
                <a:srgbClr val="7030A0"/>
              </a:solidFill>
              <a:effectLst/>
              <a:latin typeface="+mn-lt"/>
              <a:ea typeface="+mn-ea"/>
              <a:cs typeface="+mn-cs"/>
            </a:rPr>
            <a:t>The prices here are assumed for different pieces of land (including &amp; excluding houses) spread across the suburb- ALFREDTON. </a:t>
          </a:r>
          <a:endParaRPr lang="en-AU">
            <a:solidFill>
              <a:srgbClr val="7030A0"/>
            </a:solidFill>
            <a:effectLst/>
          </a:endParaRPr>
        </a:p>
        <a:p>
          <a:pPr algn="l" eaLnBrk="1" fontAlgn="auto" latinLnBrk="0" hangingPunct="1"/>
          <a:r>
            <a:rPr lang="en-AU" sz="1100" b="0" i="1" baseline="0">
              <a:solidFill>
                <a:srgbClr val="7030A0"/>
              </a:solidFill>
              <a:effectLst/>
              <a:latin typeface="Calibri" panose="020F0502020204030204" pitchFamily="34" charset="0"/>
              <a:ea typeface="+mn-ea"/>
              <a:cs typeface="Calibri" panose="020F0502020204030204" pitchFamily="34" charset="0"/>
            </a:rPr>
            <a:t> Therefore, the prices shown are NOT for one specific piece of land/house being appreciated/depreciated with years passing situated in a particular address, but for many pieces of land/houses with land situated in different addresses in Alfredton.</a:t>
          </a:r>
          <a:endParaRPr lang="en-AU" i="1">
            <a:solidFill>
              <a:srgbClr val="7030A0"/>
            </a:solidFill>
            <a:effectLst/>
            <a:latin typeface="Calibri" panose="020F0502020204030204" pitchFamily="34" charset="0"/>
            <a:cs typeface="Calibri" panose="020F0502020204030204" pitchFamily="34" charset="0"/>
          </a:endParaRPr>
        </a:p>
        <a:p>
          <a:pPr algn="l" eaLnBrk="1" fontAlgn="auto" latinLnBrk="0" hangingPunct="1"/>
          <a:r>
            <a:rPr lang="en-AU" sz="1100" b="0" i="1">
              <a:solidFill>
                <a:srgbClr val="7030A0"/>
              </a:solidFill>
              <a:effectLst/>
              <a:latin typeface="Calibri" panose="020F0502020204030204" pitchFamily="34" charset="0"/>
              <a:ea typeface="+mn-ea"/>
              <a:cs typeface="Calibri" panose="020F0502020204030204" pitchFamily="34" charset="0"/>
            </a:rPr>
            <a:t>These prices depict houses and vacant land spaces spread over the whole suburb. </a:t>
          </a:r>
          <a:endParaRPr lang="en-AU" i="1">
            <a:solidFill>
              <a:srgbClr val="7030A0"/>
            </a:solidFill>
            <a:effectLst/>
            <a:latin typeface="Calibri" panose="020F0502020204030204" pitchFamily="34" charset="0"/>
            <a:cs typeface="Calibri" panose="020F0502020204030204" pitchFamily="34" charset="0"/>
          </a:endParaRPr>
        </a:p>
      </xdr:txBody>
    </xdr:sp>
    <xdr:clientData/>
  </xdr:twoCellAnchor>
  <xdr:twoCellAnchor>
    <xdr:from>
      <xdr:col>1</xdr:col>
      <xdr:colOff>2304905</xdr:colOff>
      <xdr:row>26</xdr:row>
      <xdr:rowOff>196318</xdr:rowOff>
    </xdr:from>
    <xdr:to>
      <xdr:col>5</xdr:col>
      <xdr:colOff>7270</xdr:colOff>
      <xdr:row>31</xdr:row>
      <xdr:rowOff>189046</xdr:rowOff>
    </xdr:to>
    <xdr:sp macro="" textlink="">
      <xdr:nvSpPr>
        <xdr:cNvPr id="3" name="TextBox 2">
          <a:extLst>
            <a:ext uri="{FF2B5EF4-FFF2-40B4-BE49-F238E27FC236}">
              <a16:creationId xmlns:a16="http://schemas.microsoft.com/office/drawing/2014/main" id="{6ACA4338-73D3-412D-8C3F-6348FAB579B4}"/>
            </a:ext>
          </a:extLst>
        </xdr:cNvPr>
        <xdr:cNvSpPr txBox="1"/>
      </xdr:nvSpPr>
      <xdr:spPr>
        <a:xfrm>
          <a:off x="3330115" y="5489600"/>
          <a:ext cx="3337384" cy="1010667"/>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u="sng"/>
            <a:t>Price Determination</a:t>
          </a:r>
        </a:p>
        <a:p>
          <a:r>
            <a:rPr lang="en-AU" sz="1100"/>
            <a:t>Explanation</a:t>
          </a:r>
          <a:r>
            <a:rPr lang="en-AU" sz="1100" baseline="0"/>
            <a:t> for h</a:t>
          </a:r>
          <a:r>
            <a:rPr lang="en-AU" sz="1100"/>
            <a:t>ow the total</a:t>
          </a:r>
          <a:r>
            <a:rPr lang="en-AU" sz="1100" baseline="0"/>
            <a:t> price </a:t>
          </a:r>
          <a:r>
            <a:rPr lang="en-AU"/>
            <a:t>of building a median-size house is determined.</a:t>
          </a:r>
          <a:r>
            <a:rPr lang="en-AU" baseline="0"/>
            <a:t> </a:t>
          </a:r>
        </a:p>
        <a:p>
          <a:r>
            <a:rPr lang="en-AU" sz="1100" baseline="0"/>
            <a:t>Figures and tables depict pre-adjusted and adjusted prices in accordance with the inflation data.</a:t>
          </a:r>
          <a:endParaRPr lang="en-AU" sz="1100"/>
        </a:p>
      </xdr:txBody>
    </xdr:sp>
    <xdr:clientData/>
  </xdr:twoCellAnchor>
  <xdr:twoCellAnchor>
    <xdr:from>
      <xdr:col>5</xdr:col>
      <xdr:colOff>836161</xdr:colOff>
      <xdr:row>21</xdr:row>
      <xdr:rowOff>7273</xdr:rowOff>
    </xdr:from>
    <xdr:to>
      <xdr:col>13</xdr:col>
      <xdr:colOff>7271</xdr:colOff>
      <xdr:row>24</xdr:row>
      <xdr:rowOff>196318</xdr:rowOff>
    </xdr:to>
    <xdr:sp macro="" textlink="">
      <xdr:nvSpPr>
        <xdr:cNvPr id="4" name="TextBox 3">
          <a:extLst>
            <a:ext uri="{FF2B5EF4-FFF2-40B4-BE49-F238E27FC236}">
              <a16:creationId xmlns:a16="http://schemas.microsoft.com/office/drawing/2014/main" id="{FBA1A25B-8805-4653-A50D-BFE89774C184}"/>
            </a:ext>
          </a:extLst>
        </xdr:cNvPr>
        <xdr:cNvSpPr txBox="1"/>
      </xdr:nvSpPr>
      <xdr:spPr>
        <a:xfrm>
          <a:off x="7496390" y="4282617"/>
          <a:ext cx="6565709" cy="799808"/>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u="sng"/>
            <a:t>Formulas Used</a:t>
          </a:r>
        </a:p>
        <a:p>
          <a:pPr algn="l"/>
          <a:r>
            <a:rPr lang="en-AU" sz="1100"/>
            <a:t>-&gt;</a:t>
          </a:r>
          <a:r>
            <a:rPr lang="en-AU" sz="1100" baseline="0"/>
            <a:t> Calculation of inflation:-  </a:t>
          </a:r>
          <a:r>
            <a:rPr lang="en-AU" sz="1100" i="1" baseline="0"/>
            <a:t>Year X/Year Y = CPI of year X/ CPI of year Y</a:t>
          </a:r>
        </a:p>
        <a:p>
          <a:pPr algn="l"/>
          <a:r>
            <a:rPr lang="en-AU" sz="1100" baseline="0"/>
            <a:t>-&gt; Calculation of change (%):-    (Price of Terminal Year - Price of Base Year)/Price of Base Year*100</a:t>
          </a:r>
        </a:p>
        <a:p>
          <a:pPr algn="l"/>
          <a:r>
            <a:rPr lang="en-AU" sz="1100" baseline="0"/>
            <a:t>-&gt;Calculation of growth (%):-  (1/no. of observations)*log (Price of Terminal year/Price of Base year)*100</a:t>
          </a:r>
        </a:p>
        <a:p>
          <a:pPr algn="l"/>
          <a:endParaRPr lang="en-AU" sz="1100" baseline="0"/>
        </a:p>
        <a:p>
          <a:pPr algn="l"/>
          <a:endParaRPr lang="en-AU" sz="1100"/>
        </a:p>
      </xdr:txBody>
    </xdr:sp>
    <xdr:clientData/>
  </xdr:twoCellAnchor>
  <xdr:twoCellAnchor>
    <xdr:from>
      <xdr:col>1</xdr:col>
      <xdr:colOff>2304904</xdr:colOff>
      <xdr:row>21</xdr:row>
      <xdr:rowOff>174503</xdr:rowOff>
    </xdr:from>
    <xdr:to>
      <xdr:col>4</xdr:col>
      <xdr:colOff>828893</xdr:colOff>
      <xdr:row>25</xdr:row>
      <xdr:rowOff>167232</xdr:rowOff>
    </xdr:to>
    <xdr:sp macro="" textlink="">
      <xdr:nvSpPr>
        <xdr:cNvPr id="5" name="TextBox 4">
          <a:extLst>
            <a:ext uri="{FF2B5EF4-FFF2-40B4-BE49-F238E27FC236}">
              <a16:creationId xmlns:a16="http://schemas.microsoft.com/office/drawing/2014/main" id="{143A16E1-BABD-4ECA-930D-31B13C9057C8}"/>
            </a:ext>
          </a:extLst>
        </xdr:cNvPr>
        <xdr:cNvSpPr txBox="1"/>
      </xdr:nvSpPr>
      <xdr:spPr>
        <a:xfrm>
          <a:off x="3330114" y="4449847"/>
          <a:ext cx="3322844" cy="807080"/>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u="sng"/>
            <a:t>Contents</a:t>
          </a:r>
        </a:p>
        <a:p>
          <a:pPr algn="l"/>
          <a:r>
            <a:rPr lang="en-AU" sz="1100"/>
            <a:t>-&gt;Name</a:t>
          </a:r>
        </a:p>
        <a:p>
          <a:pPr algn="l"/>
          <a:r>
            <a:rPr lang="en-AU" sz="1100"/>
            <a:t>-&gt;Student</a:t>
          </a:r>
          <a:r>
            <a:rPr lang="en-AU" sz="1100" baseline="0"/>
            <a:t> ID</a:t>
          </a:r>
          <a:endParaRPr lang="en-AU" sz="1100"/>
        </a:p>
        <a:p>
          <a:pPr algn="l"/>
          <a:r>
            <a:rPr lang="en-AU" sz="1100"/>
            <a:t>-&gt;Formulas Used</a:t>
          </a:r>
        </a:p>
        <a:p>
          <a:pPr algn="l"/>
          <a:endParaRPr lang="en-AU" sz="1100"/>
        </a:p>
        <a:p>
          <a:endParaRPr lang="en-AU" sz="1100"/>
        </a:p>
      </xdr:txBody>
    </xdr:sp>
    <xdr:clientData/>
  </xdr:twoCellAnchor>
  <xdr:twoCellAnchor>
    <xdr:from>
      <xdr:col>1</xdr:col>
      <xdr:colOff>2312175</xdr:colOff>
      <xdr:row>33</xdr:row>
      <xdr:rowOff>14542</xdr:rowOff>
    </xdr:from>
    <xdr:to>
      <xdr:col>6</xdr:col>
      <xdr:colOff>14542</xdr:colOff>
      <xdr:row>36</xdr:row>
      <xdr:rowOff>7271</xdr:rowOff>
    </xdr:to>
    <xdr:sp macro="" textlink="">
      <xdr:nvSpPr>
        <xdr:cNvPr id="6" name="TextBox 5">
          <a:extLst>
            <a:ext uri="{FF2B5EF4-FFF2-40B4-BE49-F238E27FC236}">
              <a16:creationId xmlns:a16="http://schemas.microsoft.com/office/drawing/2014/main" id="{86D9AA9C-85FE-4DBB-AA69-BB72FC5F7F05}"/>
            </a:ext>
          </a:extLst>
        </xdr:cNvPr>
        <xdr:cNvSpPr txBox="1"/>
      </xdr:nvSpPr>
      <xdr:spPr>
        <a:xfrm>
          <a:off x="3337385" y="6732939"/>
          <a:ext cx="2523035" cy="603492"/>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u="sng"/>
            <a:t>Positive Report</a:t>
          </a:r>
        </a:p>
        <a:p>
          <a:r>
            <a:rPr lang="en-AU" sz="1100"/>
            <a:t>-&gt;Figures,</a:t>
          </a:r>
          <a:r>
            <a:rPr lang="en-AU" sz="1100" baseline="0"/>
            <a:t> charts and </a:t>
          </a:r>
          <a:r>
            <a:rPr lang="en-AU" sz="1100"/>
            <a:t>tables </a:t>
          </a:r>
        </a:p>
        <a:p>
          <a:r>
            <a:rPr lang="en-AU" sz="1100"/>
            <a:t>-&gt;Pros</a:t>
          </a:r>
          <a:r>
            <a:rPr lang="en-AU" sz="1100" baseline="0"/>
            <a:t> for investing in Alfredton</a:t>
          </a:r>
          <a:endParaRPr lang="en-AU" sz="1100"/>
        </a:p>
      </xdr:txBody>
    </xdr:sp>
    <xdr:clientData/>
  </xdr:twoCellAnchor>
  <xdr:twoCellAnchor>
    <xdr:from>
      <xdr:col>1</xdr:col>
      <xdr:colOff>2304905</xdr:colOff>
      <xdr:row>37</xdr:row>
      <xdr:rowOff>7271</xdr:rowOff>
    </xdr:from>
    <xdr:to>
      <xdr:col>6</xdr:col>
      <xdr:colOff>0</xdr:colOff>
      <xdr:row>40</xdr:row>
      <xdr:rowOff>189046</xdr:rowOff>
    </xdr:to>
    <xdr:sp macro="" textlink="">
      <xdr:nvSpPr>
        <xdr:cNvPr id="7" name="TextBox 6">
          <a:extLst>
            <a:ext uri="{FF2B5EF4-FFF2-40B4-BE49-F238E27FC236}">
              <a16:creationId xmlns:a16="http://schemas.microsoft.com/office/drawing/2014/main" id="{27618836-5C5C-41DF-9CC4-6CBDCEE454E5}"/>
            </a:ext>
          </a:extLst>
        </xdr:cNvPr>
        <xdr:cNvSpPr txBox="1"/>
      </xdr:nvSpPr>
      <xdr:spPr>
        <a:xfrm>
          <a:off x="3330115" y="7540019"/>
          <a:ext cx="2515763" cy="792538"/>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u="sng"/>
            <a:t>Negative Report</a:t>
          </a:r>
        </a:p>
        <a:p>
          <a:r>
            <a:rPr lang="en-AU" sz="1100"/>
            <a:t>-&gt;Figures,</a:t>
          </a:r>
          <a:r>
            <a:rPr lang="en-AU" sz="1100" baseline="0"/>
            <a:t> charts and tables</a:t>
          </a:r>
        </a:p>
        <a:p>
          <a:r>
            <a:rPr lang="en-AU" sz="1100" baseline="0"/>
            <a:t>-&gt; Cons for investing in Alfredton</a:t>
          </a:r>
        </a:p>
        <a:p>
          <a:endParaRPr lang="en-AU" sz="1100"/>
        </a:p>
      </xdr:txBody>
    </xdr:sp>
    <xdr:clientData/>
  </xdr:twoCellAnchor>
  <xdr:twoCellAnchor>
    <xdr:from>
      <xdr:col>1</xdr:col>
      <xdr:colOff>2312175</xdr:colOff>
      <xdr:row>42</xdr:row>
      <xdr:rowOff>0</xdr:rowOff>
    </xdr:from>
    <xdr:to>
      <xdr:col>4</xdr:col>
      <xdr:colOff>414446</xdr:colOff>
      <xdr:row>47</xdr:row>
      <xdr:rowOff>14542</xdr:rowOff>
    </xdr:to>
    <xdr:sp macro="" textlink="">
      <xdr:nvSpPr>
        <xdr:cNvPr id="8" name="TextBox 7">
          <a:extLst>
            <a:ext uri="{FF2B5EF4-FFF2-40B4-BE49-F238E27FC236}">
              <a16:creationId xmlns:a16="http://schemas.microsoft.com/office/drawing/2014/main" id="{F097AB34-7D12-4F0A-8C0B-A0420825C12B}"/>
            </a:ext>
          </a:extLst>
        </xdr:cNvPr>
        <xdr:cNvSpPr txBox="1"/>
      </xdr:nvSpPr>
      <xdr:spPr>
        <a:xfrm>
          <a:off x="3337385" y="8550687"/>
          <a:ext cx="2901126" cy="1032481"/>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u="sng"/>
            <a:t>Conclusion</a:t>
          </a:r>
        </a:p>
        <a:p>
          <a:pPr algn="l"/>
          <a:r>
            <a:rPr lang="en-AU" sz="1100"/>
            <a:t>-&gt;Th</a:t>
          </a:r>
          <a:r>
            <a:rPr lang="en-AU" sz="1100" baseline="0"/>
            <a:t>e final decision stated in the summary</a:t>
          </a:r>
        </a:p>
        <a:p>
          <a:pPr algn="l"/>
          <a:r>
            <a:rPr lang="en-AU" sz="1100" baseline="0"/>
            <a:t>-&gt;Figures, charts and tables</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190499</xdr:rowOff>
    </xdr:from>
    <xdr:to>
      <xdr:col>8</xdr:col>
      <xdr:colOff>1066800</xdr:colOff>
      <xdr:row>42</xdr:row>
      <xdr:rowOff>9525</xdr:rowOff>
    </xdr:to>
    <xdr:graphicFrame macro="">
      <xdr:nvGraphicFramePr>
        <xdr:cNvPr id="10" name="Chart 9">
          <a:extLst>
            <a:ext uri="{FF2B5EF4-FFF2-40B4-BE49-F238E27FC236}">
              <a16:creationId xmlns:a16="http://schemas.microsoft.com/office/drawing/2014/main" id="{C105F5E4-27B5-4DF9-9771-C3F429773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42</xdr:row>
      <xdr:rowOff>9525</xdr:rowOff>
    </xdr:from>
    <xdr:to>
      <xdr:col>9</xdr:col>
      <xdr:colOff>19050</xdr:colOff>
      <xdr:row>57</xdr:row>
      <xdr:rowOff>161925</xdr:rowOff>
    </xdr:to>
    <xdr:graphicFrame macro="">
      <xdr:nvGraphicFramePr>
        <xdr:cNvPr id="12" name="Chart 11">
          <a:extLst>
            <a:ext uri="{FF2B5EF4-FFF2-40B4-BE49-F238E27FC236}">
              <a16:creationId xmlns:a16="http://schemas.microsoft.com/office/drawing/2014/main" id="{C2B2FBF1-D06C-4469-A1E7-65DCE3593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333375</xdr:colOff>
      <xdr:row>23</xdr:row>
      <xdr:rowOff>95250</xdr:rowOff>
    </xdr:from>
    <xdr:to>
      <xdr:col>16</xdr:col>
      <xdr:colOff>142875</xdr:colOff>
      <xdr:row>43</xdr:row>
      <xdr:rowOff>47625</xdr:rowOff>
    </xdr:to>
    <xdr:sp macro="" textlink="">
      <xdr:nvSpPr>
        <xdr:cNvPr id="2" name="TextBox 1">
          <a:extLst>
            <a:ext uri="{FF2B5EF4-FFF2-40B4-BE49-F238E27FC236}">
              <a16:creationId xmlns:a16="http://schemas.microsoft.com/office/drawing/2014/main" id="{22A8F503-E173-49AC-99CE-D614F4B30463}"/>
            </a:ext>
          </a:extLst>
        </xdr:cNvPr>
        <xdr:cNvSpPr txBox="1"/>
      </xdr:nvSpPr>
      <xdr:spPr>
        <a:xfrm>
          <a:off x="13306425" y="5619750"/>
          <a:ext cx="6819900" cy="3952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AU" sz="1400" b="1">
              <a:solidFill>
                <a:schemeClr val="dk1"/>
              </a:solidFill>
              <a:effectLst/>
              <a:latin typeface="+mn-lt"/>
              <a:ea typeface="+mn-ea"/>
              <a:cs typeface="+mn-cs"/>
            </a:rPr>
            <a:t>How the total cost of building a median-size house is determined?</a:t>
          </a:r>
          <a:endParaRPr lang="en-AU" sz="1400">
            <a:effectLst/>
          </a:endParaRPr>
        </a:p>
        <a:p>
          <a:endParaRPr lang="en-AU" sz="1100"/>
        </a:p>
        <a:p>
          <a:endParaRPr lang="en-AU" sz="1100"/>
        </a:p>
        <a:p>
          <a:r>
            <a:rPr lang="en-AU" sz="1200">
              <a:latin typeface="Abadi" panose="020B0604020104020204" pitchFamily="34" charset="0"/>
            </a:rPr>
            <a:t>Given here  is the</a:t>
          </a:r>
          <a:r>
            <a:rPr lang="en-AU" sz="1200" baseline="0">
              <a:latin typeface="Abadi" panose="020B0604020104020204" pitchFamily="34" charset="0"/>
            </a:rPr>
            <a:t> information about data of</a:t>
          </a:r>
          <a:r>
            <a:rPr lang="en-AU" sz="1200">
              <a:latin typeface="Abadi" panose="020B0604020104020204" pitchFamily="34" charset="0"/>
            </a:rPr>
            <a:t> 12 pieces</a:t>
          </a:r>
          <a:r>
            <a:rPr lang="en-AU" sz="1200" baseline="0">
              <a:latin typeface="Abadi" panose="020B0604020104020204" pitchFamily="34" charset="0"/>
            </a:rPr>
            <a:t> of vacant land/houses with land  in the suburb Alfredton. The data represents :</a:t>
          </a:r>
        </a:p>
        <a:p>
          <a:endParaRPr lang="en-AU" sz="1200" baseline="0">
            <a:latin typeface="Abadi" panose="020B0604020104020204" pitchFamily="34" charset="0"/>
          </a:endParaRPr>
        </a:p>
        <a:p>
          <a:r>
            <a:rPr lang="en-AU" sz="1200" baseline="0">
              <a:latin typeface="Abadi" panose="020B0604020104020204" pitchFamily="34" charset="0"/>
            </a:rPr>
            <a:t>-&gt;What were the costs of purchasing  the  vacant land, building  a house for a particular  firm.                                                                                                                                                             [Adjusted vs Non-Adjusted]</a:t>
          </a:r>
        </a:p>
        <a:p>
          <a:r>
            <a:rPr lang="en-AU" sz="1200" baseline="0">
              <a:latin typeface="Abadi" panose="020B0604020104020204" pitchFamily="34" charset="0"/>
            </a:rPr>
            <a:t>-&gt; What was the revenue  for a sale of land or house with land back in previous years as compared to now.</a:t>
          </a:r>
        </a:p>
        <a:p>
          <a:r>
            <a:rPr lang="en-AU" sz="1200" baseline="0">
              <a:latin typeface="Abadi" panose="020B0604020104020204" pitchFamily="34" charset="0"/>
            </a:rPr>
            <a:t>-&gt; How the final price for the buyer is afftected with time.</a:t>
          </a:r>
        </a:p>
        <a:p>
          <a:endParaRPr lang="en-AU" sz="1200" baseline="0">
            <a:latin typeface="Abadi" panose="020B0604020104020204" pitchFamily="34" charset="0"/>
          </a:endParaRPr>
        </a:p>
        <a:p>
          <a:endParaRPr lang="en-AU" sz="1200" baseline="0">
            <a:latin typeface="Abadi" panose="020B0604020104020204" pitchFamily="34" charset="0"/>
          </a:endParaRPr>
        </a:p>
        <a:p>
          <a:r>
            <a:rPr lang="en-AU" sz="1200" b="0" i="0">
              <a:solidFill>
                <a:schemeClr val="dk1"/>
              </a:solidFill>
              <a:effectLst/>
              <a:latin typeface="Abadi" panose="020B0604020104020204" pitchFamily="34" charset="0"/>
              <a:ea typeface="+mn-ea"/>
              <a:cs typeface="+mn-cs"/>
            </a:rPr>
            <a:t>The prices have been adjusted for inflation to consider different time values of money  using specified CPI.</a:t>
          </a:r>
          <a:endParaRPr lang="en-AU" sz="1200" b="0" i="0" baseline="0">
            <a:solidFill>
              <a:schemeClr val="dk1"/>
            </a:solidFill>
            <a:effectLst/>
            <a:latin typeface="Abadi" panose="020B0604020104020204" pitchFamily="34" charset="0"/>
            <a:ea typeface="+mn-ea"/>
            <a:cs typeface="+mn-cs"/>
          </a:endParaRPr>
        </a:p>
        <a:p>
          <a:r>
            <a:rPr lang="en-AU" sz="1200" b="0" i="0" baseline="0">
              <a:solidFill>
                <a:schemeClr val="dk1"/>
              </a:solidFill>
              <a:effectLst/>
              <a:latin typeface="Abadi" panose="020B0604020104020204" pitchFamily="34" charset="0"/>
              <a:ea typeface="+mn-ea"/>
              <a:cs typeface="+mn-cs"/>
            </a:rPr>
            <a:t>A </a:t>
          </a:r>
          <a:r>
            <a:rPr lang="en-AU" sz="1200" baseline="0">
              <a:solidFill>
                <a:schemeClr val="dk1"/>
              </a:solidFill>
              <a:effectLst/>
              <a:latin typeface="Abadi" panose="020B0604020104020204" pitchFamily="34" charset="0"/>
              <a:ea typeface="+mn-ea"/>
              <a:cs typeface="+mn-cs"/>
            </a:rPr>
            <a:t>significant difference can be seen between  non-adjusted prices and adjuusted prices for inflation.</a:t>
          </a:r>
        </a:p>
        <a:p>
          <a:pPr marL="0" marR="0" lvl="0" indent="0" defTabSz="914400" rtl="0" eaLnBrk="1" fontAlgn="auto" latinLnBrk="0" hangingPunct="1">
            <a:lnSpc>
              <a:spcPct val="100000"/>
            </a:lnSpc>
            <a:spcBef>
              <a:spcPts val="0"/>
            </a:spcBef>
            <a:spcAft>
              <a:spcPts val="0"/>
            </a:spcAft>
            <a:buClrTx/>
            <a:buSzTx/>
            <a:buFontTx/>
            <a:buNone/>
            <a:tabLst/>
            <a:defRPr/>
          </a:pPr>
          <a:r>
            <a:rPr lang="en-AU" sz="1200" b="0" i="0">
              <a:solidFill>
                <a:schemeClr val="dk1"/>
              </a:solidFill>
              <a:effectLst/>
              <a:latin typeface="Abadi" panose="020B0604020104020204" pitchFamily="34" charset="0"/>
              <a:ea typeface="+mn-ea"/>
              <a:cs typeface="+mn-cs"/>
            </a:rPr>
            <a:t>The prices of houses (with land) are subtracted from the prices of the vacant land to find the actual cost of building a house for the firm. A charge of 10% on the final price is added as revenue of the firm and that is the</a:t>
          </a:r>
          <a:r>
            <a:rPr lang="en-AU" sz="1200" b="0" i="0" baseline="0">
              <a:solidFill>
                <a:schemeClr val="dk1"/>
              </a:solidFill>
              <a:effectLst/>
              <a:latin typeface="Abadi" panose="020B0604020104020204" pitchFamily="34" charset="0"/>
              <a:ea typeface="+mn-ea"/>
              <a:cs typeface="+mn-cs"/>
            </a:rPr>
            <a:t> full</a:t>
          </a:r>
          <a:r>
            <a:rPr lang="en-AU" sz="1200" b="0" i="0">
              <a:solidFill>
                <a:schemeClr val="dk1"/>
              </a:solidFill>
              <a:effectLst/>
              <a:latin typeface="Abadi" panose="020B0604020104020204" pitchFamily="34" charset="0"/>
              <a:ea typeface="+mn-ea"/>
              <a:cs typeface="+mn-cs"/>
            </a:rPr>
            <a:t> price charged from the buyer.</a:t>
          </a:r>
        </a:p>
        <a:p>
          <a:pPr marL="0" marR="0" lvl="0" indent="0" defTabSz="914400" rtl="0" eaLnBrk="1" fontAlgn="auto" latinLnBrk="0" hangingPunct="1">
            <a:lnSpc>
              <a:spcPct val="100000"/>
            </a:lnSpc>
            <a:spcBef>
              <a:spcPts val="0"/>
            </a:spcBef>
            <a:spcAft>
              <a:spcPts val="0"/>
            </a:spcAft>
            <a:buClrTx/>
            <a:buSzTx/>
            <a:buFontTx/>
            <a:buNone/>
            <a:tabLst/>
            <a:defRPr/>
          </a:pPr>
          <a:r>
            <a:rPr lang="en-AU" sz="1200" b="0" i="1">
              <a:solidFill>
                <a:schemeClr val="dk1"/>
              </a:solidFill>
              <a:effectLst/>
              <a:latin typeface="Abadi" panose="020B0604020104020204" pitchFamily="34" charset="0"/>
              <a:ea typeface="+mn-ea"/>
              <a:cs typeface="+mn-cs"/>
            </a:rPr>
            <a:t>-&gt; 1,2,3,4,5 etc. are assumed as different pieces of vacant land and houses with land in respective years spread across the Alfredton suburb.</a:t>
          </a:r>
          <a:endParaRPr lang="en-AU" sz="1200">
            <a:effectLst/>
            <a:latin typeface="Abadi" panose="020B0604020104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AU" sz="1200">
            <a:effectLst/>
            <a:latin typeface="Abadi" panose="020B0604020104020204" pitchFamily="34" charset="0"/>
          </a:endParaRPr>
        </a:p>
        <a:p>
          <a:endParaRPr lang="en-AU" sz="1200" baseline="0">
            <a:latin typeface="Abadi" panose="020B0604020104020204" pitchFamily="34" charset="0"/>
          </a:endParaRPr>
        </a:p>
        <a:p>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190499</xdr:rowOff>
    </xdr:from>
    <xdr:to>
      <xdr:col>4</xdr:col>
      <xdr:colOff>1924050</xdr:colOff>
      <xdr:row>43</xdr:row>
      <xdr:rowOff>0</xdr:rowOff>
    </xdr:to>
    <xdr:graphicFrame macro="">
      <xdr:nvGraphicFramePr>
        <xdr:cNvPr id="2" name="Chart 1">
          <a:extLst>
            <a:ext uri="{FF2B5EF4-FFF2-40B4-BE49-F238E27FC236}">
              <a16:creationId xmlns:a16="http://schemas.microsoft.com/office/drawing/2014/main" id="{8B95F654-AA67-41A7-B325-D3F7E8B08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14286</xdr:colOff>
      <xdr:row>23</xdr:row>
      <xdr:rowOff>190499</xdr:rowOff>
    </xdr:from>
    <xdr:to>
      <xdr:col>12</xdr:col>
      <xdr:colOff>237067</xdr:colOff>
      <xdr:row>42</xdr:row>
      <xdr:rowOff>200024</xdr:rowOff>
    </xdr:to>
    <xdr:graphicFrame macro="">
      <xdr:nvGraphicFramePr>
        <xdr:cNvPr id="3" name="Chart 2">
          <a:extLst>
            <a:ext uri="{FF2B5EF4-FFF2-40B4-BE49-F238E27FC236}">
              <a16:creationId xmlns:a16="http://schemas.microsoft.com/office/drawing/2014/main" id="{8B5A6E3C-F8F4-407A-A2E4-E76B4854F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44</xdr:row>
      <xdr:rowOff>9525</xdr:rowOff>
    </xdr:from>
    <xdr:to>
      <xdr:col>2</xdr:col>
      <xdr:colOff>781051</xdr:colOff>
      <xdr:row>58</xdr:row>
      <xdr:rowOff>9525</xdr:rowOff>
    </xdr:to>
    <xdr:graphicFrame macro="">
      <xdr:nvGraphicFramePr>
        <xdr:cNvPr id="5" name="Chart 4">
          <a:extLst>
            <a:ext uri="{FF2B5EF4-FFF2-40B4-BE49-F238E27FC236}">
              <a16:creationId xmlns:a16="http://schemas.microsoft.com/office/drawing/2014/main" id="{5C54F94F-081A-4841-8255-B3E08473A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800100</xdr:colOff>
      <xdr:row>43</xdr:row>
      <xdr:rowOff>180974</xdr:rowOff>
    </xdr:from>
    <xdr:to>
      <xdr:col>6</xdr:col>
      <xdr:colOff>828675</xdr:colOff>
      <xdr:row>58</xdr:row>
      <xdr:rowOff>9524</xdr:rowOff>
    </xdr:to>
    <xdr:graphicFrame macro="">
      <xdr:nvGraphicFramePr>
        <xdr:cNvPr id="6" name="Chart 5">
          <a:extLst>
            <a:ext uri="{FF2B5EF4-FFF2-40B4-BE49-F238E27FC236}">
              <a16:creationId xmlns:a16="http://schemas.microsoft.com/office/drawing/2014/main" id="{C73B9B18-7450-417A-9E17-260A13AF9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838200</xdr:colOff>
      <xdr:row>43</xdr:row>
      <xdr:rowOff>190500</xdr:rowOff>
    </xdr:from>
    <xdr:to>
      <xdr:col>10</xdr:col>
      <xdr:colOff>1066799</xdr:colOff>
      <xdr:row>57</xdr:row>
      <xdr:rowOff>190500</xdr:rowOff>
    </xdr:to>
    <xdr:graphicFrame macro="">
      <xdr:nvGraphicFramePr>
        <xdr:cNvPr id="7" name="Chart 6">
          <a:extLst>
            <a:ext uri="{FF2B5EF4-FFF2-40B4-BE49-F238E27FC236}">
              <a16:creationId xmlns:a16="http://schemas.microsoft.com/office/drawing/2014/main" id="{37BF0AC0-6291-40C3-B9E0-CC2DD1914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1071562</xdr:colOff>
      <xdr:row>44</xdr:row>
      <xdr:rowOff>0</xdr:rowOff>
    </xdr:from>
    <xdr:to>
      <xdr:col>14</xdr:col>
      <xdr:colOff>1028700</xdr:colOff>
      <xdr:row>58</xdr:row>
      <xdr:rowOff>19050</xdr:rowOff>
    </xdr:to>
    <xdr:graphicFrame macro="">
      <xdr:nvGraphicFramePr>
        <xdr:cNvPr id="8" name="Chart 7">
          <a:extLst>
            <a:ext uri="{FF2B5EF4-FFF2-40B4-BE49-F238E27FC236}">
              <a16:creationId xmlns:a16="http://schemas.microsoft.com/office/drawing/2014/main" id="{7EB57138-0AB0-4D08-93CC-6FCEFD251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504825</xdr:colOff>
      <xdr:row>20</xdr:row>
      <xdr:rowOff>57150</xdr:rowOff>
    </xdr:from>
    <xdr:to>
      <xdr:col>17</xdr:col>
      <xdr:colOff>800100</xdr:colOff>
      <xdr:row>35</xdr:row>
      <xdr:rowOff>47625</xdr:rowOff>
    </xdr:to>
    <xdr:sp macro="" textlink="">
      <xdr:nvSpPr>
        <xdr:cNvPr id="9" name="TextBox 8">
          <a:extLst>
            <a:ext uri="{FF2B5EF4-FFF2-40B4-BE49-F238E27FC236}">
              <a16:creationId xmlns:a16="http://schemas.microsoft.com/office/drawing/2014/main" id="{F6CD53BF-38D0-4F91-9C10-9947E1C295EF}"/>
            </a:ext>
          </a:extLst>
        </xdr:cNvPr>
        <xdr:cNvSpPr txBox="1"/>
      </xdr:nvSpPr>
      <xdr:spPr>
        <a:xfrm>
          <a:off x="20869275" y="4581525"/>
          <a:ext cx="6648450" cy="300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effectLst/>
              <a:latin typeface="Abadi" panose="020B0604020104020204" pitchFamily="34" charset="0"/>
              <a:ea typeface="+mn-ea"/>
              <a:cs typeface="+mn-cs"/>
            </a:rPr>
            <a:t>The </a:t>
          </a:r>
          <a:r>
            <a:rPr lang="en-AU" sz="1400" u="sng">
              <a:solidFill>
                <a:schemeClr val="dk1"/>
              </a:solidFill>
              <a:effectLst/>
              <a:latin typeface="Abadi" panose="020B0604020104020204" pitchFamily="34" charset="0"/>
              <a:ea typeface="+mn-ea"/>
              <a:cs typeface="+mn-cs"/>
            </a:rPr>
            <a:t>PROS</a:t>
          </a:r>
          <a:r>
            <a:rPr lang="en-AU" sz="1400" baseline="0">
              <a:solidFill>
                <a:schemeClr val="dk1"/>
              </a:solidFill>
              <a:effectLst/>
              <a:latin typeface="Abadi" panose="020B0604020104020204" pitchFamily="34" charset="0"/>
              <a:ea typeface="+mn-ea"/>
              <a:cs typeface="+mn-cs"/>
            </a:rPr>
            <a:t> for investing in this suburb are:-</a:t>
          </a:r>
        </a:p>
        <a:p>
          <a:endParaRPr lang="en-AU" sz="1400">
            <a:effectLst/>
            <a:latin typeface="Abadi" panose="020B0604020104020204" pitchFamily="34" charset="0"/>
          </a:endParaRPr>
        </a:p>
        <a:p>
          <a:pPr rtl="0"/>
          <a:r>
            <a:rPr lang="en-AU" sz="1400" b="0" i="0">
              <a:solidFill>
                <a:schemeClr val="dk1"/>
              </a:solidFill>
              <a:effectLst/>
              <a:latin typeface="Abadi" panose="020B0604020104020204" pitchFamily="34" charset="0"/>
              <a:ea typeface="+mn-ea"/>
              <a:cs typeface="+mn-cs"/>
            </a:rPr>
            <a:t>-&gt; For the past 6 years, we see a constant rise in houses with land prices and  in revenue, this means there is a great demand for houses in Alfredton. The population has increased significantly.</a:t>
          </a:r>
        </a:p>
        <a:p>
          <a:pPr rtl="0"/>
          <a:endParaRPr lang="en-AU" sz="1400">
            <a:effectLst/>
            <a:latin typeface="Abadi" panose="020B0604020104020204" pitchFamily="34" charset="0"/>
          </a:endParaRPr>
        </a:p>
        <a:p>
          <a:pPr rtl="0"/>
          <a:r>
            <a:rPr lang="en-AU" sz="1400" b="0" i="0">
              <a:solidFill>
                <a:schemeClr val="dk1"/>
              </a:solidFill>
              <a:effectLst/>
              <a:latin typeface="Abadi" panose="020B0604020104020204" pitchFamily="34" charset="0"/>
              <a:ea typeface="+mn-ea"/>
              <a:cs typeface="+mn-cs"/>
            </a:rPr>
            <a:t>-&gt; The prices of vacant land in Alfredton have decreased  from 20% to 11% . A 9% decrease makes us believe  that  purchasing vacant land  is less preferred than directly purchasing houses with land.</a:t>
          </a:r>
        </a:p>
        <a:p>
          <a:pPr rtl="0"/>
          <a:endParaRPr lang="en-AU" sz="1400">
            <a:effectLst/>
            <a:latin typeface="Abadi" panose="020B0604020104020204" pitchFamily="34" charset="0"/>
          </a:endParaRPr>
        </a:p>
        <a:p>
          <a:pPr rtl="0"/>
          <a:r>
            <a:rPr lang="en-AU" sz="1400" b="0" i="0">
              <a:solidFill>
                <a:schemeClr val="dk1"/>
              </a:solidFill>
              <a:effectLst/>
              <a:latin typeface="Abadi" panose="020B0604020104020204" pitchFamily="34" charset="0"/>
              <a:ea typeface="+mn-ea"/>
              <a:cs typeface="+mn-cs"/>
            </a:rPr>
            <a:t>-&gt;This could be an opportunity for the firm, as it could buy the vacant land with the purpose of reselling  it  whenever. The growth p.a. of 2.4% may be satisfying.</a:t>
          </a:r>
          <a:endParaRPr lang="en-AU" sz="1400">
            <a:effectLst/>
            <a:latin typeface="Abadi" panose="020B0604020104020204" pitchFamily="34" charset="0"/>
          </a:endParaRPr>
        </a:p>
        <a:p>
          <a:pPr rtl="0"/>
          <a:r>
            <a:rPr lang="en-AU" sz="1400" b="0" i="0">
              <a:solidFill>
                <a:schemeClr val="dk1"/>
              </a:solidFill>
              <a:effectLst/>
              <a:latin typeface="Abadi" panose="020B0604020104020204" pitchFamily="34" charset="0"/>
              <a:ea typeface="+mn-ea"/>
              <a:cs typeface="+mn-cs"/>
            </a:rPr>
            <a:t>-&gt; The costs increased and so did the revenue. The prices grew at an annual rate of 2.7 %</a:t>
          </a:r>
          <a:endParaRPr lang="en-AU" sz="1400">
            <a:effectLst/>
            <a:latin typeface="Abadi" panose="020B0604020104020204" pitchFamily="34" charset="0"/>
          </a:endParaRPr>
        </a:p>
        <a:p>
          <a:endParaRPr lang="en-AU" sz="1400">
            <a:latin typeface="Abadi" panose="020B0604020104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23</xdr:row>
      <xdr:rowOff>190499</xdr:rowOff>
    </xdr:from>
    <xdr:to>
      <xdr:col>4</xdr:col>
      <xdr:colOff>1924050</xdr:colOff>
      <xdr:row>43</xdr:row>
      <xdr:rowOff>0</xdr:rowOff>
    </xdr:to>
    <xdr:graphicFrame macro="">
      <xdr:nvGraphicFramePr>
        <xdr:cNvPr id="2" name="Chart 1">
          <a:extLst>
            <a:ext uri="{FF2B5EF4-FFF2-40B4-BE49-F238E27FC236}">
              <a16:creationId xmlns:a16="http://schemas.microsoft.com/office/drawing/2014/main" id="{C830E5D3-3BDB-BD4F-AA92-B5E1B37E5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14286</xdr:colOff>
      <xdr:row>23</xdr:row>
      <xdr:rowOff>190499</xdr:rowOff>
    </xdr:from>
    <xdr:to>
      <xdr:col>12</xdr:col>
      <xdr:colOff>237067</xdr:colOff>
      <xdr:row>42</xdr:row>
      <xdr:rowOff>200024</xdr:rowOff>
    </xdr:to>
    <xdr:graphicFrame macro="">
      <xdr:nvGraphicFramePr>
        <xdr:cNvPr id="3" name="Chart 2">
          <a:extLst>
            <a:ext uri="{FF2B5EF4-FFF2-40B4-BE49-F238E27FC236}">
              <a16:creationId xmlns:a16="http://schemas.microsoft.com/office/drawing/2014/main" id="{DD3B7193-B65C-F743-9071-6274FF35C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606424</xdr:colOff>
      <xdr:row>22</xdr:row>
      <xdr:rowOff>12700</xdr:rowOff>
    </xdr:from>
    <xdr:to>
      <xdr:col>19</xdr:col>
      <xdr:colOff>92074</xdr:colOff>
      <xdr:row>37</xdr:row>
      <xdr:rowOff>152400</xdr:rowOff>
    </xdr:to>
    <xdr:sp macro="" textlink="">
      <xdr:nvSpPr>
        <xdr:cNvPr id="4" name="TextBox 3">
          <a:extLst>
            <a:ext uri="{FF2B5EF4-FFF2-40B4-BE49-F238E27FC236}">
              <a16:creationId xmlns:a16="http://schemas.microsoft.com/office/drawing/2014/main" id="{79660509-E952-D642-8FB4-FE7BB011A04B}"/>
            </a:ext>
          </a:extLst>
        </xdr:cNvPr>
        <xdr:cNvSpPr txBox="1"/>
      </xdr:nvSpPr>
      <xdr:spPr>
        <a:xfrm>
          <a:off x="22466299" y="4937125"/>
          <a:ext cx="7286625" cy="315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The </a:t>
          </a:r>
          <a:r>
            <a:rPr lang="en-AU" sz="1400" i="0" u="sng"/>
            <a:t>CONS</a:t>
          </a:r>
          <a:r>
            <a:rPr lang="en-AU" sz="1400" u="none" baseline="0"/>
            <a:t> for</a:t>
          </a:r>
          <a:r>
            <a:rPr lang="en-AU" sz="1400" baseline="0"/>
            <a:t> investing in this suburb are:-</a:t>
          </a:r>
        </a:p>
        <a:p>
          <a:endParaRPr lang="en-AU" sz="1400" baseline="0"/>
        </a:p>
        <a:p>
          <a:pPr marL="0" marR="0" lvl="0" indent="0" defTabSz="914400" eaLnBrk="1" fontAlgn="auto" latinLnBrk="0" hangingPunct="1">
            <a:lnSpc>
              <a:spcPct val="100000"/>
            </a:lnSpc>
            <a:spcBef>
              <a:spcPts val="0"/>
            </a:spcBef>
            <a:spcAft>
              <a:spcPts val="0"/>
            </a:spcAft>
            <a:buClrTx/>
            <a:buSzTx/>
            <a:buFontTx/>
            <a:buNone/>
            <a:tabLst/>
            <a:defRPr/>
          </a:pPr>
          <a:r>
            <a:rPr lang="en-AU" sz="1400" baseline="0"/>
            <a:t>-&gt;There is a very high measure of variability. Prices rose continuously  in 2019 and thereafter.  This means the prices could also fall. It may not be a stable investment.</a:t>
          </a:r>
        </a:p>
        <a:p>
          <a:pPr marL="0" marR="0" lvl="0" indent="0" defTabSz="914400" eaLnBrk="1" fontAlgn="auto" latinLnBrk="0" hangingPunct="1">
            <a:lnSpc>
              <a:spcPct val="100000"/>
            </a:lnSpc>
            <a:spcBef>
              <a:spcPts val="0"/>
            </a:spcBef>
            <a:spcAft>
              <a:spcPts val="0"/>
            </a:spcAft>
            <a:buClrTx/>
            <a:buSzTx/>
            <a:buFontTx/>
            <a:buNone/>
            <a:tabLst/>
            <a:defRPr/>
          </a:pPr>
          <a:r>
            <a:rPr lang="en-AU" sz="1400" baseline="0"/>
            <a:t> </a:t>
          </a:r>
        </a:p>
        <a:p>
          <a:pPr marL="0" marR="0" lvl="0" indent="0" defTabSz="914400" eaLnBrk="1" fontAlgn="auto" latinLnBrk="0" hangingPunct="1">
            <a:lnSpc>
              <a:spcPct val="100000"/>
            </a:lnSpc>
            <a:spcBef>
              <a:spcPts val="0"/>
            </a:spcBef>
            <a:spcAft>
              <a:spcPts val="0"/>
            </a:spcAft>
            <a:buClrTx/>
            <a:buSzTx/>
            <a:buFontTx/>
            <a:buNone/>
            <a:tabLst/>
            <a:defRPr/>
          </a:pPr>
          <a:r>
            <a:rPr lang="en-AU" sz="1400" baseline="0"/>
            <a:t>-&gt;</a:t>
          </a:r>
          <a:r>
            <a:rPr lang="en-AU" sz="1400" baseline="0">
              <a:solidFill>
                <a:schemeClr val="dk1"/>
              </a:solidFill>
              <a:effectLst/>
              <a:latin typeface="+mn-lt"/>
              <a:ea typeface="+mn-ea"/>
              <a:cs typeface="+mn-cs"/>
            </a:rPr>
            <a:t>2021 [12] is an outlier, therefore a change of 16% can be noticed between 2020 [11] and 2021[12] so far.</a:t>
          </a:r>
        </a:p>
        <a:p>
          <a:pPr marL="0" marR="0" lvl="0" indent="0" defTabSz="914400" eaLnBrk="1" fontAlgn="auto" latinLnBrk="0" hangingPunct="1">
            <a:lnSpc>
              <a:spcPct val="100000"/>
            </a:lnSpc>
            <a:spcBef>
              <a:spcPts val="0"/>
            </a:spcBef>
            <a:spcAft>
              <a:spcPts val="0"/>
            </a:spcAft>
            <a:buClrTx/>
            <a:buSzTx/>
            <a:buFontTx/>
            <a:buNone/>
            <a:tabLst/>
            <a:defRPr/>
          </a:pPr>
          <a:endParaRPr lang="en-AU" sz="14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400" baseline="0">
              <a:solidFill>
                <a:schemeClr val="dk1"/>
              </a:solidFill>
              <a:effectLst/>
              <a:latin typeface="+mn-lt"/>
              <a:ea typeface="+mn-ea"/>
              <a:cs typeface="+mn-cs"/>
            </a:rPr>
            <a:t>-&gt;Since the economy has reopened after 2020,  some of the inflationary surge comes from supply and demand. Specifically, too little of the former and too much of the latter.</a:t>
          </a:r>
        </a:p>
        <a:p>
          <a:pPr marL="0" marR="0" lvl="0" indent="0" defTabSz="914400" eaLnBrk="1" fontAlgn="auto" latinLnBrk="0" hangingPunct="1">
            <a:lnSpc>
              <a:spcPct val="100000"/>
            </a:lnSpc>
            <a:spcBef>
              <a:spcPts val="0"/>
            </a:spcBef>
            <a:spcAft>
              <a:spcPts val="0"/>
            </a:spcAft>
            <a:buClrTx/>
            <a:buSzTx/>
            <a:buFontTx/>
            <a:buNone/>
            <a:tabLst/>
            <a:defRPr/>
          </a:pPr>
          <a:endParaRPr lang="en-AU" sz="14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400" baseline="0">
              <a:solidFill>
                <a:schemeClr val="dk1"/>
              </a:solidFill>
              <a:effectLst/>
              <a:latin typeface="+mn-lt"/>
              <a:ea typeface="+mn-ea"/>
              <a:cs typeface="+mn-cs"/>
            </a:rPr>
            <a:t>-&gt;The final prices for the buyers have increased drastically, this may be seen as a disadvantage for some people as they would avoid buying houses in Alfredton. </a:t>
          </a:r>
        </a:p>
        <a:p>
          <a:pPr marL="0" marR="0" lvl="0" indent="0" defTabSz="914400" eaLnBrk="1" fontAlgn="auto" latinLnBrk="0" hangingPunct="1">
            <a:lnSpc>
              <a:spcPct val="100000"/>
            </a:lnSpc>
            <a:spcBef>
              <a:spcPts val="0"/>
            </a:spcBef>
            <a:spcAft>
              <a:spcPts val="0"/>
            </a:spcAft>
            <a:buClrTx/>
            <a:buSzTx/>
            <a:buFontTx/>
            <a:buNone/>
            <a:tabLst/>
            <a:defRPr/>
          </a:pPr>
          <a:endParaRPr lang="en-AU" sz="14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AU" sz="1400" baseline="0"/>
        </a:p>
      </xdr:txBody>
    </xdr:sp>
    <xdr:clientData/>
  </xdr:twoCellAnchor>
  <xdr:twoCellAnchor>
    <xdr:from>
      <xdr:col>0</xdr:col>
      <xdr:colOff>1</xdr:colOff>
      <xdr:row>44</xdr:row>
      <xdr:rowOff>9525</xdr:rowOff>
    </xdr:from>
    <xdr:to>
      <xdr:col>2</xdr:col>
      <xdr:colOff>781051</xdr:colOff>
      <xdr:row>58</xdr:row>
      <xdr:rowOff>9525</xdr:rowOff>
    </xdr:to>
    <xdr:graphicFrame macro="">
      <xdr:nvGraphicFramePr>
        <xdr:cNvPr id="5" name="Chart 4">
          <a:extLst>
            <a:ext uri="{FF2B5EF4-FFF2-40B4-BE49-F238E27FC236}">
              <a16:creationId xmlns:a16="http://schemas.microsoft.com/office/drawing/2014/main" id="{5BFA4F9A-B296-CA46-BAA4-D9E46646B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800100</xdr:colOff>
      <xdr:row>43</xdr:row>
      <xdr:rowOff>180974</xdr:rowOff>
    </xdr:from>
    <xdr:to>
      <xdr:col>6</xdr:col>
      <xdr:colOff>828675</xdr:colOff>
      <xdr:row>58</xdr:row>
      <xdr:rowOff>9524</xdr:rowOff>
    </xdr:to>
    <xdr:graphicFrame macro="">
      <xdr:nvGraphicFramePr>
        <xdr:cNvPr id="6" name="Chart 5">
          <a:extLst>
            <a:ext uri="{FF2B5EF4-FFF2-40B4-BE49-F238E27FC236}">
              <a16:creationId xmlns:a16="http://schemas.microsoft.com/office/drawing/2014/main" id="{24E31B3E-51B1-614C-A81E-AB9858853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838200</xdr:colOff>
      <xdr:row>43</xdr:row>
      <xdr:rowOff>190500</xdr:rowOff>
    </xdr:from>
    <xdr:to>
      <xdr:col>10</xdr:col>
      <xdr:colOff>1066799</xdr:colOff>
      <xdr:row>57</xdr:row>
      <xdr:rowOff>190500</xdr:rowOff>
    </xdr:to>
    <xdr:graphicFrame macro="">
      <xdr:nvGraphicFramePr>
        <xdr:cNvPr id="7" name="Chart 6">
          <a:extLst>
            <a:ext uri="{FF2B5EF4-FFF2-40B4-BE49-F238E27FC236}">
              <a16:creationId xmlns:a16="http://schemas.microsoft.com/office/drawing/2014/main" id="{43200094-B7B3-374F-85D0-9FDBF3E67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1071562</xdr:colOff>
      <xdr:row>44</xdr:row>
      <xdr:rowOff>0</xdr:rowOff>
    </xdr:from>
    <xdr:to>
      <xdr:col>14</xdr:col>
      <xdr:colOff>1028700</xdr:colOff>
      <xdr:row>58</xdr:row>
      <xdr:rowOff>19050</xdr:rowOff>
    </xdr:to>
    <xdr:graphicFrame macro="">
      <xdr:nvGraphicFramePr>
        <xdr:cNvPr id="8" name="Chart 7">
          <a:extLst>
            <a:ext uri="{FF2B5EF4-FFF2-40B4-BE49-F238E27FC236}">
              <a16:creationId xmlns:a16="http://schemas.microsoft.com/office/drawing/2014/main" id="{3E5DAFF6-5AC1-714D-969A-E6003A9C2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161924</xdr:rowOff>
    </xdr:from>
    <xdr:to>
      <xdr:col>4</xdr:col>
      <xdr:colOff>1924050</xdr:colOff>
      <xdr:row>26</xdr:row>
      <xdr:rowOff>152400</xdr:rowOff>
    </xdr:to>
    <xdr:graphicFrame macro="">
      <xdr:nvGraphicFramePr>
        <xdr:cNvPr id="2" name="Chart 1">
          <a:extLst>
            <a:ext uri="{FF2B5EF4-FFF2-40B4-BE49-F238E27FC236}">
              <a16:creationId xmlns:a16="http://schemas.microsoft.com/office/drawing/2014/main" id="{012D7865-8A2A-455D-873C-67C00A4D2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4761</xdr:colOff>
      <xdr:row>7</xdr:row>
      <xdr:rowOff>180974</xdr:rowOff>
    </xdr:from>
    <xdr:to>
      <xdr:col>12</xdr:col>
      <xdr:colOff>227542</xdr:colOff>
      <xdr:row>26</xdr:row>
      <xdr:rowOff>171449</xdr:rowOff>
    </xdr:to>
    <xdr:graphicFrame macro="">
      <xdr:nvGraphicFramePr>
        <xdr:cNvPr id="3" name="Chart 2">
          <a:extLst>
            <a:ext uri="{FF2B5EF4-FFF2-40B4-BE49-F238E27FC236}">
              <a16:creationId xmlns:a16="http://schemas.microsoft.com/office/drawing/2014/main" id="{CFFA952D-C35F-4FEA-BE40-608B36FF8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15874</xdr:colOff>
      <xdr:row>28</xdr:row>
      <xdr:rowOff>22226</xdr:rowOff>
    </xdr:from>
    <xdr:to>
      <xdr:col>11</xdr:col>
      <xdr:colOff>1343025</xdr:colOff>
      <xdr:row>41</xdr:row>
      <xdr:rowOff>171450</xdr:rowOff>
    </xdr:to>
    <xdr:sp macro="" textlink="">
      <xdr:nvSpPr>
        <xdr:cNvPr id="4" name="TextBox 3">
          <a:extLst>
            <a:ext uri="{FF2B5EF4-FFF2-40B4-BE49-F238E27FC236}">
              <a16:creationId xmlns:a16="http://schemas.microsoft.com/office/drawing/2014/main" id="{B09B3250-A84B-4433-B8F3-91ABBB1152A0}"/>
            </a:ext>
          </a:extLst>
        </xdr:cNvPr>
        <xdr:cNvSpPr txBox="1"/>
      </xdr:nvSpPr>
      <xdr:spPr>
        <a:xfrm>
          <a:off x="12369799" y="5756276"/>
          <a:ext cx="6394451" cy="274954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AU" sz="1400" baseline="0">
              <a:solidFill>
                <a:sysClr val="windowText" lastClr="000000"/>
              </a:solidFill>
              <a:effectLst/>
              <a:latin typeface="+mn-lt"/>
              <a:ea typeface="+mn-ea"/>
              <a:cs typeface="+mn-cs"/>
            </a:rPr>
            <a:t>CONCLUSION</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40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AU" sz="1400" baseline="0">
              <a:solidFill>
                <a:sysClr val="windowText" lastClr="000000"/>
              </a:solidFill>
              <a:effectLst/>
              <a:latin typeface="+mn-lt"/>
              <a:ea typeface="+mn-ea"/>
              <a:cs typeface="+mn-cs"/>
            </a:rPr>
            <a:t>The suggestion would be to not invest in Alfredton as the current prices are soaring the sky. Reopening of the economy saw flooding it with spending. Firms faced a bevy of hurdles as they rushed to service the wave of new demand, leading to increment of building costs, opportunity costs, shipping costs etc. These costs have mostly been passed on to the final buyer/consumer and propped up inflation through the year. Uncertainties among investors and business owners around the pandemic's future have also lifted prices. As people got back to spending, there just weren't enough products to go around. Shortages of key materials/raw materials hampered activity and sellers/retailers rised prices to make most of the imbalance. So it would be advisable for due diligence on other suburbs also.</a:t>
          </a:r>
        </a:p>
        <a:p>
          <a:pPr marL="0" marR="0" lvl="0" indent="0" defTabSz="914400" eaLnBrk="1" fontAlgn="auto" latinLnBrk="0" hangingPunct="1">
            <a:lnSpc>
              <a:spcPct val="100000"/>
            </a:lnSpc>
            <a:spcBef>
              <a:spcPts val="0"/>
            </a:spcBef>
            <a:spcAft>
              <a:spcPts val="0"/>
            </a:spcAft>
            <a:buClrTx/>
            <a:buSzTx/>
            <a:buFontTx/>
            <a:buNone/>
            <a:tabLst/>
            <a:defRPr/>
          </a:pPr>
          <a:endParaRPr lang="en-AU" sz="1400" baseline="0">
            <a:solidFill>
              <a:sysClr val="windowText" lastClr="000000"/>
            </a:solidFill>
          </a:endParaRPr>
        </a:p>
      </xdr:txBody>
    </xdr:sp>
    <xdr:clientData/>
  </xdr:twoCellAnchor>
  <xdr:twoCellAnchor>
    <xdr:from>
      <xdr:col>0</xdr:col>
      <xdr:colOff>19051</xdr:colOff>
      <xdr:row>26</xdr:row>
      <xdr:rowOff>152400</xdr:rowOff>
    </xdr:from>
    <xdr:to>
      <xdr:col>2</xdr:col>
      <xdr:colOff>800101</xdr:colOff>
      <xdr:row>40</xdr:row>
      <xdr:rowOff>152400</xdr:rowOff>
    </xdr:to>
    <xdr:graphicFrame macro="">
      <xdr:nvGraphicFramePr>
        <xdr:cNvPr id="5" name="Chart 4">
          <a:extLst>
            <a:ext uri="{FF2B5EF4-FFF2-40B4-BE49-F238E27FC236}">
              <a16:creationId xmlns:a16="http://schemas.microsoft.com/office/drawing/2014/main" id="{59CD43AE-5229-4171-A033-CF316C7E2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809625</xdr:colOff>
      <xdr:row>26</xdr:row>
      <xdr:rowOff>142874</xdr:rowOff>
    </xdr:from>
    <xdr:to>
      <xdr:col>6</xdr:col>
      <xdr:colOff>838200</xdr:colOff>
      <xdr:row>40</xdr:row>
      <xdr:rowOff>171449</xdr:rowOff>
    </xdr:to>
    <xdr:graphicFrame macro="">
      <xdr:nvGraphicFramePr>
        <xdr:cNvPr id="6" name="Chart 5">
          <a:extLst>
            <a:ext uri="{FF2B5EF4-FFF2-40B4-BE49-F238E27FC236}">
              <a16:creationId xmlns:a16="http://schemas.microsoft.com/office/drawing/2014/main" id="{92F33C41-5B1C-4123-9CCD-9BE17B7D0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42</xdr:row>
      <xdr:rowOff>38100</xdr:rowOff>
    </xdr:from>
    <xdr:to>
      <xdr:col>2</xdr:col>
      <xdr:colOff>819150</xdr:colOff>
      <xdr:row>56</xdr:row>
      <xdr:rowOff>180975</xdr:rowOff>
    </xdr:to>
    <xdr:graphicFrame macro="">
      <xdr:nvGraphicFramePr>
        <xdr:cNvPr id="7" name="Chart 6">
          <a:extLst>
            <a:ext uri="{FF2B5EF4-FFF2-40B4-BE49-F238E27FC236}">
              <a16:creationId xmlns:a16="http://schemas.microsoft.com/office/drawing/2014/main" id="{821BECF0-6463-4C3C-8E0C-F8783BB04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776287</xdr:colOff>
      <xdr:row>42</xdr:row>
      <xdr:rowOff>19050</xdr:rowOff>
    </xdr:from>
    <xdr:to>
      <xdr:col>6</xdr:col>
      <xdr:colOff>809625</xdr:colOff>
      <xdr:row>56</xdr:row>
      <xdr:rowOff>171450</xdr:rowOff>
    </xdr:to>
    <xdr:graphicFrame macro="">
      <xdr:nvGraphicFramePr>
        <xdr:cNvPr id="8" name="Chart 7">
          <a:extLst>
            <a:ext uri="{FF2B5EF4-FFF2-40B4-BE49-F238E27FC236}">
              <a16:creationId xmlns:a16="http://schemas.microsoft.com/office/drawing/2014/main" id="{038B9C37-8F50-46B7-8AFF-E2FF7127C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A8874-E51D-D74C-810D-998D65798D08}">
  <dimension ref="A1:M43"/>
  <sheetViews>
    <sheetView tabSelected="1" zoomScale="120" zoomScaleNormal="120" workbookViewId="0">
      <selection activeCell="H41" sqref="H41"/>
    </sheetView>
  </sheetViews>
  <sheetFormatPr defaultColWidth="11" defaultRowHeight="15.75" x14ac:dyDescent="0.25"/>
  <cols>
    <col min="1" max="1" width="13.5" customWidth="1"/>
    <col min="2" max="2" width="30.375" customWidth="1"/>
    <col min="3" max="3" width="21.625" customWidth="1"/>
    <col min="12" max="12" width="16" customWidth="1"/>
    <col min="13" max="13" width="15.125" customWidth="1"/>
  </cols>
  <sheetData>
    <row r="1" spans="1:13" x14ac:dyDescent="0.25">
      <c r="I1" s="1"/>
      <c r="J1" s="1"/>
    </row>
    <row r="2" spans="1:13" ht="20.25" x14ac:dyDescent="0.3">
      <c r="E2" s="144"/>
      <c r="F2" s="142"/>
      <c r="G2" s="143" t="s">
        <v>14</v>
      </c>
      <c r="H2" s="143"/>
      <c r="I2" s="144"/>
      <c r="J2" s="17"/>
    </row>
    <row r="4" spans="1:13" x14ac:dyDescent="0.25">
      <c r="A4" s="113" t="s">
        <v>15</v>
      </c>
      <c r="B4" s="114" t="s">
        <v>16</v>
      </c>
      <c r="C4" s="118"/>
      <c r="L4" s="113" t="s">
        <v>0</v>
      </c>
      <c r="M4" s="116" t="s">
        <v>1</v>
      </c>
    </row>
    <row r="5" spans="1:13" x14ac:dyDescent="0.25">
      <c r="M5" s="14"/>
    </row>
    <row r="6" spans="1:13" x14ac:dyDescent="0.25">
      <c r="A6" s="113" t="s">
        <v>17</v>
      </c>
      <c r="B6" s="115" t="s">
        <v>18</v>
      </c>
      <c r="C6" s="119"/>
      <c r="L6" s="113" t="s">
        <v>3</v>
      </c>
      <c r="M6" s="116">
        <v>46184821</v>
      </c>
    </row>
    <row r="8" spans="1:13" x14ac:dyDescent="0.25">
      <c r="A8" s="113" t="s">
        <v>20</v>
      </c>
      <c r="B8" s="114" t="s">
        <v>19</v>
      </c>
      <c r="C8" s="118"/>
      <c r="L8" s="113" t="s">
        <v>4</v>
      </c>
      <c r="M8" s="116" t="s">
        <v>5</v>
      </c>
    </row>
    <row r="11" spans="1:13" x14ac:dyDescent="0.25">
      <c r="A11" s="15"/>
    </row>
    <row r="16" spans="1:13" x14ac:dyDescent="0.25">
      <c r="A16" s="15"/>
      <c r="B16" s="16"/>
      <c r="C16" s="16"/>
    </row>
    <row r="17" spans="1:3" x14ac:dyDescent="0.25">
      <c r="A17" s="15"/>
      <c r="B17" s="16"/>
      <c r="C17" s="16"/>
    </row>
    <row r="18" spans="1:3" x14ac:dyDescent="0.25">
      <c r="A18" s="15"/>
      <c r="B18" s="16"/>
      <c r="C18" s="16"/>
    </row>
    <row r="19" spans="1:3" x14ac:dyDescent="0.25">
      <c r="A19" s="15"/>
      <c r="B19" s="16"/>
      <c r="C19" s="16"/>
    </row>
    <row r="20" spans="1:3" x14ac:dyDescent="0.25">
      <c r="A20" s="15"/>
      <c r="B20" s="16"/>
      <c r="C20" s="16"/>
    </row>
    <row r="23" spans="1:3" x14ac:dyDescent="0.25">
      <c r="B23" s="145" t="s">
        <v>81</v>
      </c>
      <c r="C23" s="117"/>
    </row>
    <row r="28" spans="1:3" x14ac:dyDescent="0.25">
      <c r="B28" s="145" t="s">
        <v>82</v>
      </c>
      <c r="C28" s="117"/>
    </row>
    <row r="34" spans="2:3" x14ac:dyDescent="0.25">
      <c r="B34" s="145" t="s">
        <v>83</v>
      </c>
      <c r="C34" s="117"/>
    </row>
    <row r="38" spans="2:3" x14ac:dyDescent="0.25">
      <c r="B38" s="145" t="s">
        <v>84</v>
      </c>
      <c r="C38" s="117"/>
    </row>
    <row r="43" spans="2:3" x14ac:dyDescent="0.25">
      <c r="B43" s="145" t="s">
        <v>85</v>
      </c>
      <c r="C43" s="117"/>
    </row>
  </sheetData>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7E966-A1EF-4F9D-AF80-97BA2CF5E424}">
  <dimension ref="A1:R21"/>
  <sheetViews>
    <sheetView topLeftCell="B1" zoomScale="90" zoomScaleNormal="90" workbookViewId="0">
      <selection activeCell="P20" sqref="P20"/>
    </sheetView>
  </sheetViews>
  <sheetFormatPr defaultColWidth="8.875" defaultRowHeight="15.75" x14ac:dyDescent="0.25"/>
  <cols>
    <col min="1" max="1" width="43.125" customWidth="1"/>
    <col min="2" max="13" width="14.125" bestFit="1" customWidth="1"/>
    <col min="14" max="14" width="19.625" customWidth="1"/>
    <col min="15" max="15" width="19.125" customWidth="1"/>
    <col min="16" max="16" width="10.625" customWidth="1"/>
  </cols>
  <sheetData>
    <row r="1" spans="1:18" ht="17.25" x14ac:dyDescent="0.3">
      <c r="A1" s="3"/>
      <c r="B1" s="3"/>
      <c r="C1" s="3"/>
      <c r="D1" s="3"/>
      <c r="E1" s="3"/>
      <c r="F1" s="3"/>
      <c r="G1" s="3"/>
      <c r="H1" s="3"/>
      <c r="I1" s="3"/>
      <c r="J1" s="3"/>
      <c r="K1" s="3"/>
      <c r="L1" s="3"/>
      <c r="N1" s="4"/>
      <c r="O1" s="4"/>
      <c r="P1" s="4"/>
      <c r="Q1" s="2"/>
      <c r="R1" s="2"/>
    </row>
    <row r="2" spans="1:18" ht="33" x14ac:dyDescent="0.3">
      <c r="A2" s="125" t="s">
        <v>12</v>
      </c>
      <c r="B2" s="58" t="s">
        <v>26</v>
      </c>
      <c r="C2" s="58" t="s">
        <v>38</v>
      </c>
      <c r="D2" s="58" t="s">
        <v>39</v>
      </c>
      <c r="E2" s="58" t="s">
        <v>40</v>
      </c>
      <c r="F2" s="58" t="s">
        <v>41</v>
      </c>
      <c r="G2" s="58" t="s">
        <v>42</v>
      </c>
      <c r="H2" s="58" t="s">
        <v>43</v>
      </c>
      <c r="I2" s="58" t="s">
        <v>44</v>
      </c>
      <c r="J2" s="58" t="s">
        <v>45</v>
      </c>
      <c r="K2" s="58" t="s">
        <v>46</v>
      </c>
      <c r="L2" s="58" t="s">
        <v>47</v>
      </c>
      <c r="M2" s="28" t="s">
        <v>48</v>
      </c>
      <c r="N2" s="37" t="s">
        <v>49</v>
      </c>
      <c r="O2" s="38" t="s">
        <v>51</v>
      </c>
      <c r="P2" s="13" t="s">
        <v>2</v>
      </c>
      <c r="Q2" s="2"/>
      <c r="R2" s="2"/>
    </row>
    <row r="3" spans="1:18" ht="17.25" x14ac:dyDescent="0.3">
      <c r="A3" s="138" t="s">
        <v>6</v>
      </c>
      <c r="B3" s="23">
        <v>316000</v>
      </c>
      <c r="C3" s="23">
        <v>333000</v>
      </c>
      <c r="D3" s="23">
        <v>340000</v>
      </c>
      <c r="E3" s="23">
        <v>361500</v>
      </c>
      <c r="F3" s="23">
        <v>362000</v>
      </c>
      <c r="G3" s="23">
        <v>340500</v>
      </c>
      <c r="H3" s="23">
        <v>375000</v>
      </c>
      <c r="I3" s="23">
        <v>412500</v>
      </c>
      <c r="J3" s="23">
        <v>439000</v>
      </c>
      <c r="K3" s="23">
        <v>480000</v>
      </c>
      <c r="L3" s="23">
        <v>510000</v>
      </c>
      <c r="M3" s="24">
        <v>585000</v>
      </c>
      <c r="N3" s="127">
        <f>(L3-K3)/K3*100</f>
        <v>6.25</v>
      </c>
      <c r="O3" s="127">
        <f>(L3-B3)/B3*100</f>
        <v>61.392405063291143</v>
      </c>
      <c r="P3" s="41">
        <f>(1/12)*LN(M3/B3)</f>
        <v>5.1322469470412031E-2</v>
      </c>
      <c r="Q3" s="2"/>
      <c r="R3" s="2"/>
    </row>
    <row r="4" spans="1:18" ht="17.25" x14ac:dyDescent="0.3">
      <c r="A4" s="136" t="s">
        <v>7</v>
      </c>
      <c r="B4" s="23">
        <v>125000</v>
      </c>
      <c r="C4" s="23">
        <v>145000</v>
      </c>
      <c r="D4" s="23">
        <v>190000</v>
      </c>
      <c r="E4" s="23">
        <v>170000</v>
      </c>
      <c r="F4" s="23">
        <v>161000</v>
      </c>
      <c r="G4" s="23">
        <v>180000</v>
      </c>
      <c r="H4" s="23">
        <v>183500</v>
      </c>
      <c r="I4" s="23">
        <v>152000</v>
      </c>
      <c r="J4" s="23">
        <v>155000</v>
      </c>
      <c r="K4" s="23">
        <v>170000</v>
      </c>
      <c r="L4" s="23">
        <v>200000</v>
      </c>
      <c r="M4" s="25">
        <v>220000</v>
      </c>
      <c r="N4" s="128">
        <f>(L4-K4)/K4*100</f>
        <v>17.647058823529413</v>
      </c>
      <c r="O4" s="128">
        <f>(L4-B4)/B4*100</f>
        <v>60</v>
      </c>
      <c r="P4" s="41">
        <f>(1/12)*LN(M4/B4)</f>
        <v>4.7109484087505038E-2</v>
      </c>
      <c r="Q4" s="2"/>
      <c r="R4" s="2"/>
    </row>
    <row r="5" spans="1:18" ht="17.25" x14ac:dyDescent="0.3">
      <c r="A5" s="136" t="s">
        <v>11</v>
      </c>
      <c r="B5" s="30">
        <f t="shared" ref="B5:M5" si="0">B3-B4</f>
        <v>191000</v>
      </c>
      <c r="C5" s="30">
        <f t="shared" si="0"/>
        <v>188000</v>
      </c>
      <c r="D5" s="30">
        <f t="shared" si="0"/>
        <v>150000</v>
      </c>
      <c r="E5" s="30">
        <f t="shared" si="0"/>
        <v>191500</v>
      </c>
      <c r="F5" s="30">
        <f t="shared" si="0"/>
        <v>201000</v>
      </c>
      <c r="G5" s="30">
        <f t="shared" si="0"/>
        <v>160500</v>
      </c>
      <c r="H5" s="30">
        <f t="shared" si="0"/>
        <v>191500</v>
      </c>
      <c r="I5" s="30">
        <f t="shared" si="0"/>
        <v>260500</v>
      </c>
      <c r="J5" s="30">
        <f t="shared" si="0"/>
        <v>284000</v>
      </c>
      <c r="K5" s="30">
        <f t="shared" si="0"/>
        <v>310000</v>
      </c>
      <c r="L5" s="30">
        <f t="shared" si="0"/>
        <v>310000</v>
      </c>
      <c r="M5" s="35">
        <f t="shared" si="0"/>
        <v>365000</v>
      </c>
      <c r="N5" s="129">
        <f>(L5-K5)/K5*100</f>
        <v>0</v>
      </c>
      <c r="O5" s="131">
        <f>(L5-B5)/B5*100</f>
        <v>62.303664921465973</v>
      </c>
      <c r="P5" s="41">
        <f>(1/12)*LN(M5/B5)</f>
        <v>5.3968660461321795E-2</v>
      </c>
      <c r="Q5" s="2"/>
      <c r="R5" s="2"/>
    </row>
    <row r="6" spans="1:18" ht="17.25" x14ac:dyDescent="0.3">
      <c r="A6" s="136" t="s">
        <v>22</v>
      </c>
      <c r="B6" s="30">
        <f>0.1*B3</f>
        <v>31600</v>
      </c>
      <c r="C6" s="30">
        <f t="shared" ref="C6:M6" si="1">0.1*C3</f>
        <v>33300</v>
      </c>
      <c r="D6" s="30">
        <f t="shared" si="1"/>
        <v>34000</v>
      </c>
      <c r="E6" s="30">
        <f t="shared" si="1"/>
        <v>36150</v>
      </c>
      <c r="F6" s="30">
        <f t="shared" si="1"/>
        <v>36200</v>
      </c>
      <c r="G6" s="30">
        <f t="shared" si="1"/>
        <v>34050</v>
      </c>
      <c r="H6" s="30">
        <f t="shared" si="1"/>
        <v>37500</v>
      </c>
      <c r="I6" s="30">
        <f t="shared" si="1"/>
        <v>41250</v>
      </c>
      <c r="J6" s="30">
        <f t="shared" si="1"/>
        <v>43900</v>
      </c>
      <c r="K6" s="30">
        <f t="shared" si="1"/>
        <v>48000</v>
      </c>
      <c r="L6" s="30">
        <f t="shared" si="1"/>
        <v>51000</v>
      </c>
      <c r="M6" s="30">
        <f t="shared" si="1"/>
        <v>58500</v>
      </c>
      <c r="N6" s="128">
        <f>(L6-K6)/K6*100</f>
        <v>6.25</v>
      </c>
      <c r="O6" s="131">
        <f>(L6-B6)/B6*100</f>
        <v>61.392405063291143</v>
      </c>
      <c r="P6" s="41">
        <f>(1/12)*LN(M6/B6)</f>
        <v>5.1322469470412031E-2</v>
      </c>
      <c r="Q6" s="2"/>
      <c r="R6" s="2"/>
    </row>
    <row r="7" spans="1:18" ht="17.25" x14ac:dyDescent="0.3">
      <c r="A7" s="137" t="s">
        <v>23</v>
      </c>
      <c r="B7" s="109">
        <f>B3+B6</f>
        <v>347600</v>
      </c>
      <c r="C7" s="109">
        <f t="shared" ref="C7:M7" si="2">C3+C6</f>
        <v>366300</v>
      </c>
      <c r="D7" s="109">
        <f t="shared" si="2"/>
        <v>374000</v>
      </c>
      <c r="E7" s="109">
        <f t="shared" si="2"/>
        <v>397650</v>
      </c>
      <c r="F7" s="109">
        <f t="shared" si="2"/>
        <v>398200</v>
      </c>
      <c r="G7" s="109">
        <f t="shared" si="2"/>
        <v>374550</v>
      </c>
      <c r="H7" s="109">
        <f t="shared" si="2"/>
        <v>412500</v>
      </c>
      <c r="I7" s="109">
        <f t="shared" si="2"/>
        <v>453750</v>
      </c>
      <c r="J7" s="109">
        <f t="shared" si="2"/>
        <v>482900</v>
      </c>
      <c r="K7" s="109">
        <f t="shared" si="2"/>
        <v>528000</v>
      </c>
      <c r="L7" s="109">
        <f t="shared" si="2"/>
        <v>561000</v>
      </c>
      <c r="M7" s="109">
        <f t="shared" si="2"/>
        <v>643500</v>
      </c>
      <c r="N7" s="130">
        <f>(L7-K7)/K7*100</f>
        <v>6.25</v>
      </c>
      <c r="O7" s="132">
        <f>(L7-B7)/B7*100</f>
        <v>61.392405063291143</v>
      </c>
      <c r="P7" s="120">
        <f>(1/12)*LN(M7/B7)</f>
        <v>5.1322469470412031E-2</v>
      </c>
      <c r="Q7" s="2"/>
      <c r="R7" s="2"/>
    </row>
    <row r="8" spans="1:18" ht="17.25" x14ac:dyDescent="0.3">
      <c r="A8" s="29"/>
      <c r="B8" s="30"/>
      <c r="C8" s="30"/>
      <c r="D8" s="30"/>
      <c r="E8" s="30"/>
      <c r="F8" s="30"/>
      <c r="G8" s="30"/>
      <c r="H8" s="30"/>
      <c r="I8" s="30"/>
      <c r="J8" s="30"/>
      <c r="K8" s="30"/>
      <c r="L8" s="30"/>
      <c r="M8" s="30"/>
      <c r="N8" s="31"/>
      <c r="O8" s="32"/>
      <c r="P8" s="10"/>
      <c r="Q8" s="2"/>
      <c r="R8" s="2"/>
    </row>
    <row r="9" spans="1:18" ht="17.25" x14ac:dyDescent="0.3">
      <c r="A9" s="10"/>
      <c r="B9" s="9"/>
      <c r="C9" s="9"/>
      <c r="D9" s="9"/>
      <c r="E9" s="9"/>
      <c r="F9" s="9"/>
      <c r="G9" s="9"/>
      <c r="H9" s="9"/>
      <c r="I9" s="9"/>
      <c r="J9" s="9"/>
      <c r="K9" s="9"/>
      <c r="L9" s="9"/>
      <c r="M9" s="9"/>
      <c r="N9" s="5"/>
      <c r="O9" s="2"/>
      <c r="P9" s="2"/>
      <c r="Q9" s="2"/>
      <c r="R9" s="2"/>
    </row>
    <row r="10" spans="1:18" ht="17.25" x14ac:dyDescent="0.3">
      <c r="A10" s="126" t="s">
        <v>13</v>
      </c>
      <c r="B10" s="58" t="s">
        <v>25</v>
      </c>
      <c r="C10" s="58" t="s">
        <v>24</v>
      </c>
      <c r="D10" s="58" t="s">
        <v>27</v>
      </c>
      <c r="E10" s="58" t="s">
        <v>28</v>
      </c>
      <c r="F10" s="58" t="s">
        <v>29</v>
      </c>
      <c r="G10" s="58" t="s">
        <v>30</v>
      </c>
      <c r="H10" s="58" t="s">
        <v>31</v>
      </c>
      <c r="I10" s="58" t="s">
        <v>32</v>
      </c>
      <c r="J10" s="58" t="s">
        <v>33</v>
      </c>
      <c r="K10" s="58" t="s">
        <v>34</v>
      </c>
      <c r="L10" s="58" t="s">
        <v>35</v>
      </c>
      <c r="M10" s="28" t="s">
        <v>36</v>
      </c>
      <c r="N10" s="22" t="s">
        <v>37</v>
      </c>
      <c r="O10" s="11" t="s">
        <v>50</v>
      </c>
      <c r="P10" s="6" t="s">
        <v>2</v>
      </c>
      <c r="Q10" s="2"/>
      <c r="R10" s="2"/>
    </row>
    <row r="11" spans="1:18" ht="17.25" x14ac:dyDescent="0.3">
      <c r="A11" s="33" t="s">
        <v>8</v>
      </c>
      <c r="B11" s="26">
        <f t="shared" ref="B11:M11" si="3">$M21*B3/B21</f>
        <v>419412.01716738194</v>
      </c>
      <c r="C11" s="26">
        <f t="shared" si="3"/>
        <v>420327.55102040817</v>
      </c>
      <c r="D11" s="26">
        <f t="shared" si="3"/>
        <v>418904.38247011951</v>
      </c>
      <c r="E11" s="26">
        <f t="shared" si="3"/>
        <v>423061.02175969724</v>
      </c>
      <c r="F11" s="26">
        <f t="shared" si="3"/>
        <v>407455.86897179252</v>
      </c>
      <c r="G11" s="26">
        <f t="shared" si="3"/>
        <v>376406.16621983913</v>
      </c>
      <c r="H11" s="26">
        <f t="shared" si="3"/>
        <v>405131.00436681224</v>
      </c>
      <c r="I11" s="26">
        <f t="shared" si="3"/>
        <v>429875.73715248524</v>
      </c>
      <c r="J11" s="26">
        <f t="shared" si="3"/>
        <v>438291.36400322837</v>
      </c>
      <c r="K11" s="26">
        <f t="shared" si="3"/>
        <v>478838.70967741933</v>
      </c>
      <c r="L11" s="26">
        <f t="shared" si="3"/>
        <v>503086.12440191384</v>
      </c>
      <c r="M11" s="27">
        <f t="shared" si="3"/>
        <v>585000</v>
      </c>
      <c r="N11" s="40">
        <f>(L11-K11)/K11*100</f>
        <v>5.063795853269534</v>
      </c>
      <c r="O11" s="133">
        <f>(L11-B11)/B11*100</f>
        <v>19.950336139543335</v>
      </c>
      <c r="P11" s="42">
        <f>(1/12)*LN(M11/B11)</f>
        <v>2.7729839661503983E-2</v>
      </c>
    </row>
    <row r="12" spans="1:18" ht="17.25" x14ac:dyDescent="0.3">
      <c r="A12" s="8" t="s">
        <v>10</v>
      </c>
      <c r="B12" s="26">
        <f t="shared" ref="B12:M12" si="4">$M21*B4/B21</f>
        <v>165906.65236051503</v>
      </c>
      <c r="C12" s="26">
        <f t="shared" si="4"/>
        <v>183025.51020408163</v>
      </c>
      <c r="D12" s="26">
        <f t="shared" si="4"/>
        <v>234093.62549800795</v>
      </c>
      <c r="E12" s="26">
        <f t="shared" si="4"/>
        <v>198949.85808893092</v>
      </c>
      <c r="F12" s="26">
        <f t="shared" si="4"/>
        <v>181216.56050955414</v>
      </c>
      <c r="G12" s="26">
        <f t="shared" si="4"/>
        <v>198981.23324396781</v>
      </c>
      <c r="H12" s="26">
        <f t="shared" si="4"/>
        <v>198244.10480349345</v>
      </c>
      <c r="I12" s="26">
        <f t="shared" si="4"/>
        <v>158402.69587194608</v>
      </c>
      <c r="J12" s="26">
        <f t="shared" si="4"/>
        <v>154749.79822437448</v>
      </c>
      <c r="K12" s="26">
        <f t="shared" si="4"/>
        <v>169588.70967741936</v>
      </c>
      <c r="L12" s="26">
        <f t="shared" si="4"/>
        <v>197288.67623604464</v>
      </c>
      <c r="M12" s="27">
        <f t="shared" si="4"/>
        <v>220000</v>
      </c>
      <c r="N12" s="40">
        <f>(L12-K12)/K12*100</f>
        <v>16.333614785627155</v>
      </c>
      <c r="O12" s="133">
        <f>(L12-B12)/B12*100</f>
        <v>18.91547049441785</v>
      </c>
      <c r="P12" s="42">
        <f>(1/12)*LN(M12/B12)</f>
        <v>2.3516854278596976E-2</v>
      </c>
    </row>
    <row r="13" spans="1:18" ht="17.25" x14ac:dyDescent="0.3">
      <c r="A13" s="8" t="s">
        <v>11</v>
      </c>
      <c r="B13" s="26">
        <f>B11-B12</f>
        <v>253505.36480686691</v>
      </c>
      <c r="C13" s="26">
        <f>C11-C12</f>
        <v>237302.04081632654</v>
      </c>
      <c r="D13" s="26">
        <f t="shared" ref="D13:M13" si="5">D11-D12</f>
        <v>184810.75697211156</v>
      </c>
      <c r="E13" s="26">
        <f t="shared" si="5"/>
        <v>224111.16367076631</v>
      </c>
      <c r="F13" s="26">
        <f t="shared" si="5"/>
        <v>226239.30846223838</v>
      </c>
      <c r="G13" s="26">
        <f t="shared" si="5"/>
        <v>177424.93297587131</v>
      </c>
      <c r="H13" s="26">
        <f t="shared" si="5"/>
        <v>206886.89956331879</v>
      </c>
      <c r="I13" s="26">
        <f t="shared" si="5"/>
        <v>271473.04128053912</v>
      </c>
      <c r="J13" s="26">
        <f t="shared" si="5"/>
        <v>283541.5657788539</v>
      </c>
      <c r="K13" s="26">
        <f t="shared" si="5"/>
        <v>309250</v>
      </c>
      <c r="L13" s="26">
        <f t="shared" si="5"/>
        <v>305797.44816586922</v>
      </c>
      <c r="M13" s="27">
        <f t="shared" si="5"/>
        <v>365000</v>
      </c>
      <c r="N13" s="40">
        <f>(L13-K13)/K13*100</f>
        <v>-1.1164274322169041</v>
      </c>
      <c r="O13" s="133">
        <f>(L13-B13)/B13*100</f>
        <v>20.627604231902957</v>
      </c>
      <c r="P13" s="42">
        <f>(1/12)*LN(M13/B13)</f>
        <v>3.037603065241376E-2</v>
      </c>
    </row>
    <row r="14" spans="1:18" ht="17.25" x14ac:dyDescent="0.3">
      <c r="A14" s="135" t="s">
        <v>21</v>
      </c>
      <c r="B14" s="36">
        <f>0.1*B11</f>
        <v>41941.2017167382</v>
      </c>
      <c r="C14" s="36">
        <f>0.1*C11</f>
        <v>42032.755102040821</v>
      </c>
      <c r="D14" s="36">
        <f t="shared" ref="D14:M14" si="6">0.1*D11</f>
        <v>41890.438247011953</v>
      </c>
      <c r="E14" s="36">
        <f t="shared" si="6"/>
        <v>42306.102175969725</v>
      </c>
      <c r="F14" s="36">
        <f t="shared" si="6"/>
        <v>40745.586897179252</v>
      </c>
      <c r="G14" s="36">
        <f t="shared" si="6"/>
        <v>37640.616621983914</v>
      </c>
      <c r="H14" s="36">
        <f t="shared" si="6"/>
        <v>40513.100436681227</v>
      </c>
      <c r="I14" s="36">
        <f t="shared" si="6"/>
        <v>42987.573715248524</v>
      </c>
      <c r="J14" s="36">
        <f t="shared" si="6"/>
        <v>43829.136400322837</v>
      </c>
      <c r="K14" s="36">
        <f t="shared" si="6"/>
        <v>47883.870967741939</v>
      </c>
      <c r="L14" s="36">
        <f t="shared" si="6"/>
        <v>50308.612440191384</v>
      </c>
      <c r="M14" s="36">
        <f t="shared" si="6"/>
        <v>58500</v>
      </c>
      <c r="N14" s="40">
        <f>(L14-K14)/K14*100</f>
        <v>5.0637958532695215</v>
      </c>
      <c r="O14" s="133">
        <f>(L14-B14)/B14*100</f>
        <v>19.950336139543317</v>
      </c>
      <c r="P14" s="42">
        <f>(1/12)*LN(M14/B14)</f>
        <v>2.7729839661503969E-2</v>
      </c>
    </row>
    <row r="15" spans="1:18" ht="17.25" x14ac:dyDescent="0.3">
      <c r="A15" s="121" t="s">
        <v>23</v>
      </c>
      <c r="B15" s="122">
        <f>B11+B14</f>
        <v>461353.21888412011</v>
      </c>
      <c r="C15" s="122">
        <f>C11+C14</f>
        <v>462360.30612244899</v>
      </c>
      <c r="D15" s="122">
        <f t="shared" ref="D15:M15" si="7">D11+D14</f>
        <v>460794.82071713149</v>
      </c>
      <c r="E15" s="122">
        <f t="shared" si="7"/>
        <v>465367.12393566698</v>
      </c>
      <c r="F15" s="122">
        <f t="shared" si="7"/>
        <v>448201.45586897177</v>
      </c>
      <c r="G15" s="122">
        <f t="shared" si="7"/>
        <v>414046.78284182306</v>
      </c>
      <c r="H15" s="122">
        <f t="shared" si="7"/>
        <v>445644.10480349348</v>
      </c>
      <c r="I15" s="122">
        <f t="shared" si="7"/>
        <v>472863.31086773379</v>
      </c>
      <c r="J15" s="122">
        <f t="shared" si="7"/>
        <v>482120.50040355121</v>
      </c>
      <c r="K15" s="122">
        <f t="shared" si="7"/>
        <v>526722.58064516122</v>
      </c>
      <c r="L15" s="122">
        <f t="shared" si="7"/>
        <v>553394.73684210517</v>
      </c>
      <c r="M15" s="122">
        <f t="shared" si="7"/>
        <v>643500</v>
      </c>
      <c r="N15" s="123">
        <f>(L15-K15)/K15*100</f>
        <v>5.063795853269534</v>
      </c>
      <c r="O15" s="134">
        <f>(L15-B15)/B15*100</f>
        <v>19.950336139543328</v>
      </c>
      <c r="P15" s="124">
        <f>(1/12)*LN(M15/B15)</f>
        <v>2.7729839661503983E-2</v>
      </c>
    </row>
    <row r="17" spans="1:15" x14ac:dyDescent="0.25">
      <c r="O17" s="18"/>
    </row>
    <row r="21" spans="1:15" ht="17.25" x14ac:dyDescent="0.3">
      <c r="A21" s="6" t="s">
        <v>9</v>
      </c>
      <c r="B21" s="7">
        <v>93.2</v>
      </c>
      <c r="C21" s="7">
        <v>98</v>
      </c>
      <c r="D21" s="7">
        <v>100.4</v>
      </c>
      <c r="E21" s="7">
        <v>105.7</v>
      </c>
      <c r="F21" s="7">
        <v>109.9</v>
      </c>
      <c r="G21" s="7">
        <v>111.9</v>
      </c>
      <c r="H21" s="7">
        <v>114.5</v>
      </c>
      <c r="I21" s="7">
        <v>118.7</v>
      </c>
      <c r="J21" s="7">
        <v>123.9</v>
      </c>
      <c r="K21" s="7">
        <v>124</v>
      </c>
      <c r="L21" s="7">
        <v>125.4</v>
      </c>
      <c r="M21" s="7">
        <v>123.7</v>
      </c>
    </row>
  </sheetData>
  <phoneticPr fontId="13" type="noConversion"/>
  <conditionalFormatting sqref="A5:M5">
    <cfRule type="colorScale" priority="7">
      <colorScale>
        <cfvo type="min"/>
        <cfvo type="percentile" val="50"/>
        <cfvo type="max"/>
        <color rgb="FFF8696B"/>
        <color rgb="FFFFEB84"/>
        <color rgb="FF63BE7B"/>
      </colorScale>
    </cfRule>
  </conditionalFormatting>
  <conditionalFormatting sqref="A13:M13">
    <cfRule type="colorScale" priority="6">
      <colorScale>
        <cfvo type="min"/>
        <cfvo type="percentile" val="50"/>
        <cfvo type="max"/>
        <color rgb="FFF8696B"/>
        <color rgb="FFFFEB84"/>
        <color rgb="FF63BE7B"/>
      </colorScale>
    </cfRule>
  </conditionalFormatting>
  <conditionalFormatting sqref="A21:M21">
    <cfRule type="colorScale" priority="5">
      <colorScale>
        <cfvo type="min"/>
        <cfvo type="percentile" val="50"/>
        <cfvo type="max"/>
        <color rgb="FFF8696B"/>
        <color rgb="FFFCFCFF"/>
        <color rgb="FF5A8AC6"/>
      </colorScale>
    </cfRule>
  </conditionalFormatting>
  <conditionalFormatting sqref="N3:N7">
    <cfRule type="dataBar" priority="4">
      <dataBar>
        <cfvo type="min"/>
        <cfvo type="max"/>
        <color rgb="FF638EC6"/>
      </dataBar>
      <extLst>
        <ext xmlns:x14="http://schemas.microsoft.com/office/spreadsheetml/2009/9/main" uri="{B025F937-C7B1-47D3-B67F-A62EFF666E3E}">
          <x14:id>{080A1D0D-1D69-43D4-9733-93AEFA6C1B10}</x14:id>
        </ext>
      </extLst>
    </cfRule>
  </conditionalFormatting>
  <conditionalFormatting sqref="N11:N15">
    <cfRule type="dataBar" priority="3">
      <dataBar>
        <cfvo type="min"/>
        <cfvo type="max"/>
        <color rgb="FF638EC6"/>
      </dataBar>
      <extLst>
        <ext xmlns:x14="http://schemas.microsoft.com/office/spreadsheetml/2009/9/main" uri="{B025F937-C7B1-47D3-B67F-A62EFF666E3E}">
          <x14:id>{EF327B2B-7637-453C-8005-C4BA6695626F}</x14:id>
        </ext>
      </extLst>
    </cfRule>
  </conditionalFormatting>
  <conditionalFormatting sqref="O3:O7">
    <cfRule type="dataBar" priority="2">
      <dataBar>
        <cfvo type="min"/>
        <cfvo type="max"/>
        <color rgb="FFFF555A"/>
      </dataBar>
      <extLst>
        <ext xmlns:x14="http://schemas.microsoft.com/office/spreadsheetml/2009/9/main" uri="{B025F937-C7B1-47D3-B67F-A62EFF666E3E}">
          <x14:id>{C3492984-4017-4BCA-88F3-BC9747E85C05}</x14:id>
        </ext>
      </extLst>
    </cfRule>
  </conditionalFormatting>
  <conditionalFormatting sqref="O11:O15">
    <cfRule type="dataBar" priority="1">
      <dataBar>
        <cfvo type="min"/>
        <cfvo type="max"/>
        <color rgb="FFFF555A"/>
      </dataBar>
      <extLst>
        <ext xmlns:x14="http://schemas.microsoft.com/office/spreadsheetml/2009/9/main" uri="{B025F937-C7B1-47D3-B67F-A62EFF666E3E}">
          <x14:id>{428D931A-951B-4423-A60C-32524B700AC1}</x14:id>
        </ext>
      </extLst>
    </cfRule>
  </conditionalFormatting>
  <pageMargins left="0.7" right="0.7" top="0.75" bottom="0.75" header="0.3" footer="0.3"/>
  <pageSetup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dataBar" id="{080A1D0D-1D69-43D4-9733-93AEFA6C1B10}">
            <x14:dataBar minLength="0" maxLength="100" border="1" negativeBarBorderColorSameAsPositive="0">
              <x14:cfvo type="autoMin"/>
              <x14:cfvo type="autoMax"/>
              <x14:borderColor rgb="FF638EC6"/>
              <x14:negativeFillColor rgb="FFFF0000"/>
              <x14:negativeBorderColor rgb="FFFF0000"/>
              <x14:axisColor rgb="FF000000"/>
            </x14:dataBar>
          </x14:cfRule>
          <xm:sqref>N3:N7</xm:sqref>
        </x14:conditionalFormatting>
        <x14:conditionalFormatting xmlns:xm="http://schemas.microsoft.com/office/excel/2006/main">
          <x14:cfRule type="dataBar" id="{EF327B2B-7637-453C-8005-C4BA6695626F}">
            <x14:dataBar minLength="0" maxLength="100" border="1" negativeBarBorderColorSameAsPositive="0">
              <x14:cfvo type="autoMin"/>
              <x14:cfvo type="autoMax"/>
              <x14:borderColor rgb="FF638EC6"/>
              <x14:negativeFillColor rgb="FFFF0000"/>
              <x14:negativeBorderColor rgb="FFFF0000"/>
              <x14:axisColor rgb="FF000000"/>
            </x14:dataBar>
          </x14:cfRule>
          <xm:sqref>N11:N15</xm:sqref>
        </x14:conditionalFormatting>
        <x14:conditionalFormatting xmlns:xm="http://schemas.microsoft.com/office/excel/2006/main">
          <x14:cfRule type="dataBar" id="{C3492984-4017-4BCA-88F3-BC9747E85C05}">
            <x14:dataBar minLength="0" maxLength="100" border="1" negativeBarBorderColorSameAsPositive="0">
              <x14:cfvo type="autoMin"/>
              <x14:cfvo type="autoMax"/>
              <x14:borderColor rgb="FFFF555A"/>
              <x14:negativeFillColor rgb="FFFF0000"/>
              <x14:negativeBorderColor rgb="FFFF0000"/>
              <x14:axisColor rgb="FF000000"/>
            </x14:dataBar>
          </x14:cfRule>
          <xm:sqref>O3:O7</xm:sqref>
        </x14:conditionalFormatting>
        <x14:conditionalFormatting xmlns:xm="http://schemas.microsoft.com/office/excel/2006/main">
          <x14:cfRule type="dataBar" id="{428D931A-951B-4423-A60C-32524B700AC1}">
            <x14:dataBar minLength="0" maxLength="100" border="1" negativeBarBorderColorSameAsPositive="0">
              <x14:cfvo type="autoMin"/>
              <x14:cfvo type="autoMax"/>
              <x14:borderColor rgb="FFFF555A"/>
              <x14:negativeFillColor rgb="FFFF0000"/>
              <x14:negativeBorderColor rgb="FFFF0000"/>
              <x14:axisColor rgb="FF000000"/>
            </x14:dataBar>
          </x14:cfRule>
          <xm:sqref>O11:O15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96E9C-6587-47B6-A816-B60068384AEB}">
  <dimension ref="A1:T86"/>
  <sheetViews>
    <sheetView topLeftCell="I1" zoomScaleNormal="100" workbookViewId="0">
      <selection activeCell="T21" sqref="T21"/>
    </sheetView>
  </sheetViews>
  <sheetFormatPr defaultColWidth="8.875" defaultRowHeight="15.75" x14ac:dyDescent="0.25"/>
  <cols>
    <col min="1" max="1" width="43" customWidth="1"/>
    <col min="2" max="2" width="27.5" customWidth="1"/>
    <col min="3" max="3" width="14.125" bestFit="1" customWidth="1"/>
    <col min="4" max="4" width="23.875" customWidth="1"/>
    <col min="5" max="5" width="25.375" customWidth="1"/>
    <col min="6" max="7" width="14.125" bestFit="1" customWidth="1"/>
    <col min="8" max="8" width="24.125" customWidth="1"/>
    <col min="9" max="11" width="14.125" bestFit="1" customWidth="1"/>
    <col min="12" max="12" width="24.5" customWidth="1"/>
    <col min="13" max="13" width="14.125" bestFit="1" customWidth="1"/>
    <col min="14" max="14" width="19.625" customWidth="1"/>
    <col min="15" max="16" width="24.625" customWidth="1"/>
    <col min="17" max="17" width="14.5" customWidth="1"/>
    <col min="18" max="18" width="16.5" customWidth="1"/>
    <col min="19" max="19" width="22.125" customWidth="1"/>
  </cols>
  <sheetData>
    <row r="1" spans="1:20" x14ac:dyDescent="0.25">
      <c r="A1" s="19"/>
    </row>
    <row r="2" spans="1:20" ht="17.25" x14ac:dyDescent="0.3">
      <c r="A2" s="3"/>
      <c r="B2" s="3"/>
      <c r="C2" s="3"/>
      <c r="D2" s="3"/>
      <c r="E2" s="3"/>
      <c r="F2" s="3"/>
      <c r="G2" s="3"/>
      <c r="H2" s="3"/>
      <c r="I2" s="3"/>
      <c r="J2" s="3"/>
      <c r="K2" s="3"/>
      <c r="L2" s="3"/>
      <c r="N2" s="4"/>
      <c r="O2" s="4"/>
      <c r="P2" s="4"/>
      <c r="Q2" s="4"/>
      <c r="R2" s="4"/>
      <c r="S2" s="2"/>
      <c r="T2" s="2"/>
    </row>
    <row r="3" spans="1:20" ht="33" x14ac:dyDescent="0.3">
      <c r="A3" s="11" t="s">
        <v>80</v>
      </c>
      <c r="B3" s="58" t="s">
        <v>26</v>
      </c>
      <c r="C3" s="58" t="s">
        <v>38</v>
      </c>
      <c r="D3" s="58" t="s">
        <v>39</v>
      </c>
      <c r="E3" s="58" t="s">
        <v>40</v>
      </c>
      <c r="F3" s="58" t="s">
        <v>41</v>
      </c>
      <c r="G3" s="58" t="s">
        <v>42</v>
      </c>
      <c r="H3" s="58" t="s">
        <v>43</v>
      </c>
      <c r="I3" s="58" t="s">
        <v>44</v>
      </c>
      <c r="J3" s="58" t="s">
        <v>45</v>
      </c>
      <c r="K3" s="58" t="s">
        <v>46</v>
      </c>
      <c r="L3" s="58" t="s">
        <v>47</v>
      </c>
      <c r="M3" s="28" t="s">
        <v>48</v>
      </c>
      <c r="N3" s="37" t="s">
        <v>58</v>
      </c>
      <c r="O3" s="38" t="s">
        <v>59</v>
      </c>
      <c r="P3" s="38" t="s">
        <v>60</v>
      </c>
      <c r="Q3" s="38" t="s">
        <v>2</v>
      </c>
      <c r="R3" s="13" t="s">
        <v>53</v>
      </c>
      <c r="S3" s="2"/>
      <c r="T3" s="2"/>
    </row>
    <row r="4" spans="1:20" ht="17.25" x14ac:dyDescent="0.3">
      <c r="A4" s="8" t="s">
        <v>6</v>
      </c>
      <c r="B4" s="23">
        <v>316000</v>
      </c>
      <c r="C4" s="23">
        <v>333000</v>
      </c>
      <c r="D4" s="23">
        <v>340000</v>
      </c>
      <c r="E4" s="23">
        <v>361500</v>
      </c>
      <c r="F4" s="23">
        <v>362000</v>
      </c>
      <c r="G4" s="23">
        <v>340500</v>
      </c>
      <c r="H4" s="23">
        <v>375000</v>
      </c>
      <c r="I4" s="23">
        <v>412500</v>
      </c>
      <c r="J4" s="23">
        <v>439000</v>
      </c>
      <c r="K4" s="23">
        <v>480000</v>
      </c>
      <c r="L4" s="23">
        <v>510000</v>
      </c>
      <c r="M4" s="50">
        <v>585000</v>
      </c>
      <c r="N4" s="52">
        <f>(G4-B4)/B4*100</f>
        <v>7.7531645569620249</v>
      </c>
      <c r="O4" s="52">
        <f>(M4-H4)/H4*100</f>
        <v>56.000000000000007</v>
      </c>
      <c r="P4" s="52">
        <f>(M4-L4)/L4*100</f>
        <v>14.705882352941178</v>
      </c>
      <c r="Q4" s="53">
        <f>(1/12)*LN(M4/B4)</f>
        <v>5.1322469470412031E-2</v>
      </c>
      <c r="R4" s="39">
        <f>Q4*100</f>
        <v>5.1322469470412031</v>
      </c>
      <c r="S4" s="2"/>
      <c r="T4" s="2"/>
    </row>
    <row r="5" spans="1:20" ht="17.25" x14ac:dyDescent="0.3">
      <c r="A5" s="8" t="s">
        <v>7</v>
      </c>
      <c r="B5" s="23">
        <v>125000</v>
      </c>
      <c r="C5" s="23">
        <v>145000</v>
      </c>
      <c r="D5" s="23">
        <v>190000</v>
      </c>
      <c r="E5" s="23">
        <v>170000</v>
      </c>
      <c r="F5" s="23">
        <v>161000</v>
      </c>
      <c r="G5" s="23">
        <v>180000</v>
      </c>
      <c r="H5" s="23">
        <v>183500</v>
      </c>
      <c r="I5" s="23">
        <v>152000</v>
      </c>
      <c r="J5" s="23">
        <v>155000</v>
      </c>
      <c r="K5" s="23">
        <v>170000</v>
      </c>
      <c r="L5" s="23">
        <v>200000</v>
      </c>
      <c r="M5" s="51">
        <v>220000</v>
      </c>
      <c r="N5" s="52">
        <f>(G5-B5)/B5*100</f>
        <v>44</v>
      </c>
      <c r="O5" s="52">
        <f>(M5-H5)/H5*100</f>
        <v>19.891008174386922</v>
      </c>
      <c r="P5" s="52">
        <f>(M5-L5)/L5*100</f>
        <v>10</v>
      </c>
      <c r="Q5" s="53">
        <f>(1/12)*LN(M5/B5)</f>
        <v>4.7109484087505038E-2</v>
      </c>
      <c r="R5" s="39">
        <f>Q5*100</f>
        <v>4.7109484087505038</v>
      </c>
      <c r="S5" s="2"/>
      <c r="T5" s="2"/>
    </row>
    <row r="6" spans="1:20" ht="17.25" x14ac:dyDescent="0.3">
      <c r="A6" s="8" t="s">
        <v>11</v>
      </c>
      <c r="B6" s="30">
        <f t="shared" ref="B6:M6" si="0">B4-B5</f>
        <v>191000</v>
      </c>
      <c r="C6" s="30">
        <f t="shared" si="0"/>
        <v>188000</v>
      </c>
      <c r="D6" s="30">
        <f t="shared" si="0"/>
        <v>150000</v>
      </c>
      <c r="E6" s="30">
        <f t="shared" si="0"/>
        <v>191500</v>
      </c>
      <c r="F6" s="30">
        <f t="shared" si="0"/>
        <v>201000</v>
      </c>
      <c r="G6" s="30">
        <f t="shared" si="0"/>
        <v>160500</v>
      </c>
      <c r="H6" s="30">
        <f t="shared" si="0"/>
        <v>191500</v>
      </c>
      <c r="I6" s="30">
        <f t="shared" si="0"/>
        <v>260500</v>
      </c>
      <c r="J6" s="30">
        <f t="shared" si="0"/>
        <v>284000</v>
      </c>
      <c r="K6" s="30">
        <f t="shared" si="0"/>
        <v>310000</v>
      </c>
      <c r="L6" s="30">
        <f t="shared" si="0"/>
        <v>310000</v>
      </c>
      <c r="M6" s="30">
        <f t="shared" si="0"/>
        <v>365000</v>
      </c>
      <c r="N6" s="52">
        <f>(G6-B6)/B6*100</f>
        <v>-15.968586387434556</v>
      </c>
      <c r="O6" s="52">
        <f>(M6-H6)/H6*100</f>
        <v>90.600522193211489</v>
      </c>
      <c r="P6" s="52">
        <f>(M6-L6)/L6*100</f>
        <v>17.741935483870968</v>
      </c>
      <c r="Q6" s="53">
        <f>(1/12)*LN(M6/B6)</f>
        <v>5.3968660461321795E-2</v>
      </c>
      <c r="R6" s="39">
        <f>Q6*100</f>
        <v>5.3968660461321791</v>
      </c>
      <c r="S6" s="2"/>
      <c r="T6" s="2"/>
    </row>
    <row r="7" spans="1:20" ht="17.25" x14ac:dyDescent="0.3">
      <c r="A7" s="8" t="s">
        <v>52</v>
      </c>
      <c r="B7" s="30">
        <f>0.1*B4</f>
        <v>31600</v>
      </c>
      <c r="C7" s="30">
        <f t="shared" ref="C7:M7" si="1">0.1*C4</f>
        <v>33300</v>
      </c>
      <c r="D7" s="30">
        <f t="shared" si="1"/>
        <v>34000</v>
      </c>
      <c r="E7" s="30">
        <f t="shared" si="1"/>
        <v>36150</v>
      </c>
      <c r="F7" s="30">
        <f t="shared" si="1"/>
        <v>36200</v>
      </c>
      <c r="G7" s="30">
        <f t="shared" si="1"/>
        <v>34050</v>
      </c>
      <c r="H7" s="30">
        <f t="shared" si="1"/>
        <v>37500</v>
      </c>
      <c r="I7" s="30">
        <f t="shared" si="1"/>
        <v>41250</v>
      </c>
      <c r="J7" s="30">
        <f t="shared" si="1"/>
        <v>43900</v>
      </c>
      <c r="K7" s="30">
        <f t="shared" si="1"/>
        <v>48000</v>
      </c>
      <c r="L7" s="30">
        <f t="shared" si="1"/>
        <v>51000</v>
      </c>
      <c r="M7" s="30">
        <f t="shared" si="1"/>
        <v>58500</v>
      </c>
      <c r="N7" s="52">
        <f>(G7-B7)/B7*100</f>
        <v>7.7531645569620249</v>
      </c>
      <c r="O7" s="52">
        <f>(M7-H7)/H7*100</f>
        <v>56.000000000000007</v>
      </c>
      <c r="P7" s="52">
        <f>(M7-L7)/L7*100</f>
        <v>14.705882352941178</v>
      </c>
      <c r="Q7" s="53">
        <f>(1/12)*LN(M7/B7)</f>
        <v>5.1322469470412031E-2</v>
      </c>
      <c r="R7" s="39">
        <f>Q7*100</f>
        <v>5.1322469470412031</v>
      </c>
      <c r="S7" s="2"/>
      <c r="T7" s="2"/>
    </row>
    <row r="8" spans="1:20" ht="17.25" x14ac:dyDescent="0.3">
      <c r="A8" s="108" t="s">
        <v>23</v>
      </c>
      <c r="B8" s="109">
        <f>B4+B7</f>
        <v>347600</v>
      </c>
      <c r="C8" s="109">
        <f t="shared" ref="C8:M8" si="2">C4+C7</f>
        <v>366300</v>
      </c>
      <c r="D8" s="109">
        <f t="shared" si="2"/>
        <v>374000</v>
      </c>
      <c r="E8" s="109">
        <f t="shared" si="2"/>
        <v>397650</v>
      </c>
      <c r="F8" s="109">
        <f t="shared" si="2"/>
        <v>398200</v>
      </c>
      <c r="G8" s="109">
        <f t="shared" si="2"/>
        <v>374550</v>
      </c>
      <c r="H8" s="109">
        <f t="shared" si="2"/>
        <v>412500</v>
      </c>
      <c r="I8" s="109">
        <f t="shared" si="2"/>
        <v>453750</v>
      </c>
      <c r="J8" s="109">
        <f t="shared" si="2"/>
        <v>482900</v>
      </c>
      <c r="K8" s="109">
        <f t="shared" si="2"/>
        <v>528000</v>
      </c>
      <c r="L8" s="109">
        <f t="shared" si="2"/>
        <v>561000</v>
      </c>
      <c r="M8" s="109">
        <f t="shared" si="2"/>
        <v>643500</v>
      </c>
      <c r="N8" s="110">
        <f>(G8-B8)/B8*100</f>
        <v>7.7531645569620249</v>
      </c>
      <c r="O8" s="110">
        <f>(M8-H8)/H8*100</f>
        <v>56.000000000000007</v>
      </c>
      <c r="P8" s="110">
        <f>(M8-L8)/L8*100</f>
        <v>14.705882352941178</v>
      </c>
      <c r="Q8" s="111">
        <f>(1/12)*LN(M8/B8)</f>
        <v>5.1322469470412031E-2</v>
      </c>
      <c r="R8" s="112">
        <f>Q8*100</f>
        <v>5.1322469470412031</v>
      </c>
      <c r="S8" s="2"/>
      <c r="T8" s="2"/>
    </row>
    <row r="9" spans="1:20" ht="17.25" x14ac:dyDescent="0.3">
      <c r="A9" s="29"/>
      <c r="B9" s="30"/>
      <c r="C9" s="30"/>
      <c r="D9" s="30"/>
      <c r="E9" s="30"/>
      <c r="F9" s="30"/>
      <c r="G9" s="30"/>
      <c r="H9" s="30"/>
      <c r="I9" s="30"/>
      <c r="J9" s="30"/>
      <c r="K9" s="30"/>
      <c r="L9" s="30"/>
      <c r="M9" s="30"/>
      <c r="N9" s="31"/>
      <c r="O9" s="31"/>
      <c r="P9" s="31"/>
      <c r="Q9" s="99"/>
      <c r="R9" s="99"/>
      <c r="S9" s="2"/>
      <c r="T9" s="2"/>
    </row>
    <row r="10" spans="1:20" ht="17.25" x14ac:dyDescent="0.3">
      <c r="A10" s="29"/>
      <c r="B10" s="30"/>
      <c r="C10" s="30"/>
      <c r="D10" s="30"/>
      <c r="E10" s="30"/>
      <c r="F10" s="30"/>
      <c r="G10" s="30"/>
      <c r="H10" s="30"/>
      <c r="I10" s="30"/>
      <c r="J10" s="30"/>
      <c r="K10" s="30"/>
      <c r="L10" s="30"/>
      <c r="M10" s="30"/>
      <c r="N10" s="31"/>
      <c r="O10" s="32"/>
      <c r="P10" s="101" t="s">
        <v>78</v>
      </c>
      <c r="Q10" s="102">
        <f>GEOMEAN(Q4:Q8)</f>
        <v>5.0960599031463681E-2</v>
      </c>
      <c r="R10" s="103">
        <f>Q10*100</f>
        <v>5.0960599031463678</v>
      </c>
      <c r="S10" s="2"/>
      <c r="T10" s="2"/>
    </row>
    <row r="11" spans="1:20" ht="17.25" x14ac:dyDescent="0.3">
      <c r="A11" s="10"/>
      <c r="B11" s="9"/>
      <c r="C11" s="9"/>
      <c r="D11" s="9"/>
      <c r="E11" s="9"/>
      <c r="F11" s="9"/>
      <c r="G11" s="9"/>
      <c r="H11" s="9"/>
      <c r="I11" s="9"/>
      <c r="J11" s="9"/>
      <c r="K11" s="9"/>
      <c r="L11" s="9"/>
      <c r="M11" s="9"/>
      <c r="N11" s="5"/>
      <c r="O11" s="2"/>
      <c r="P11" s="2"/>
      <c r="Q11" s="2"/>
      <c r="R11" s="2"/>
      <c r="S11" s="2"/>
      <c r="T11" s="2"/>
    </row>
    <row r="12" spans="1:20" ht="17.25" x14ac:dyDescent="0.3">
      <c r="A12" s="12" t="s">
        <v>13</v>
      </c>
      <c r="B12" s="58" t="s">
        <v>25</v>
      </c>
      <c r="C12" s="58" t="s">
        <v>24</v>
      </c>
      <c r="D12" s="58" t="s">
        <v>27</v>
      </c>
      <c r="E12" s="58" t="s">
        <v>28</v>
      </c>
      <c r="F12" s="58" t="s">
        <v>29</v>
      </c>
      <c r="G12" s="58" t="s">
        <v>30</v>
      </c>
      <c r="H12" s="58" t="s">
        <v>31</v>
      </c>
      <c r="I12" s="58" t="s">
        <v>32</v>
      </c>
      <c r="J12" s="58" t="s">
        <v>33</v>
      </c>
      <c r="K12" s="58" t="s">
        <v>34</v>
      </c>
      <c r="L12" s="58" t="s">
        <v>35</v>
      </c>
      <c r="M12" s="28" t="s">
        <v>36</v>
      </c>
      <c r="N12" s="22" t="s">
        <v>54</v>
      </c>
      <c r="O12" s="11" t="s">
        <v>55</v>
      </c>
      <c r="P12" s="47" t="s">
        <v>57</v>
      </c>
      <c r="Q12" s="11" t="s">
        <v>2</v>
      </c>
      <c r="R12" s="6" t="s">
        <v>53</v>
      </c>
      <c r="S12" s="2"/>
      <c r="T12" s="2"/>
    </row>
    <row r="13" spans="1:20" ht="17.25" x14ac:dyDescent="0.3">
      <c r="A13" s="33" t="s">
        <v>8</v>
      </c>
      <c r="B13" s="26">
        <f t="shared" ref="B13:M13" si="3">$M23*B4/B23</f>
        <v>419412.01716738194</v>
      </c>
      <c r="C13" s="26">
        <f t="shared" si="3"/>
        <v>420327.55102040817</v>
      </c>
      <c r="D13" s="26">
        <f t="shared" si="3"/>
        <v>418904.38247011951</v>
      </c>
      <c r="E13" s="26">
        <f t="shared" si="3"/>
        <v>423061.02175969724</v>
      </c>
      <c r="F13" s="26">
        <f t="shared" si="3"/>
        <v>407455.86897179252</v>
      </c>
      <c r="G13" s="26">
        <f t="shared" si="3"/>
        <v>376406.16621983913</v>
      </c>
      <c r="H13" s="26">
        <f t="shared" si="3"/>
        <v>405131.00436681224</v>
      </c>
      <c r="I13" s="26">
        <f t="shared" si="3"/>
        <v>429875.73715248524</v>
      </c>
      <c r="J13" s="26">
        <f t="shared" si="3"/>
        <v>438291.36400322837</v>
      </c>
      <c r="K13" s="26">
        <f t="shared" si="3"/>
        <v>478838.70967741933</v>
      </c>
      <c r="L13" s="26">
        <f t="shared" si="3"/>
        <v>503086.12440191384</v>
      </c>
      <c r="M13" s="27">
        <f t="shared" si="3"/>
        <v>585000</v>
      </c>
      <c r="N13" s="48">
        <f>(G13-B13)/B13*100</f>
        <v>-10.253843282315806</v>
      </c>
      <c r="O13" s="49">
        <f>(M13-H13)/H13*100</f>
        <v>44.39773645917542</v>
      </c>
      <c r="P13" s="48">
        <f>(M13-L13)/L13*100</f>
        <v>16.282276855770611</v>
      </c>
      <c r="Q13" s="43">
        <f>(1/12)*LN(M13/B13)</f>
        <v>2.7729839661503983E-2</v>
      </c>
      <c r="R13" s="44">
        <f>Q13*100</f>
        <v>2.7729839661503983</v>
      </c>
    </row>
    <row r="14" spans="1:20" ht="17.25" x14ac:dyDescent="0.3">
      <c r="A14" s="8" t="s">
        <v>10</v>
      </c>
      <c r="B14" s="26">
        <f t="shared" ref="B14:M14" si="4">$M23*B5/B23</f>
        <v>165906.65236051503</v>
      </c>
      <c r="C14" s="26">
        <f t="shared" si="4"/>
        <v>183025.51020408163</v>
      </c>
      <c r="D14" s="26">
        <f t="shared" si="4"/>
        <v>234093.62549800795</v>
      </c>
      <c r="E14" s="26">
        <f t="shared" si="4"/>
        <v>198949.85808893092</v>
      </c>
      <c r="F14" s="26">
        <f t="shared" si="4"/>
        <v>181216.56050955414</v>
      </c>
      <c r="G14" s="26">
        <f t="shared" si="4"/>
        <v>198981.23324396781</v>
      </c>
      <c r="H14" s="26">
        <f t="shared" si="4"/>
        <v>198244.10480349345</v>
      </c>
      <c r="I14" s="26">
        <f t="shared" si="4"/>
        <v>158402.69587194608</v>
      </c>
      <c r="J14" s="26">
        <f t="shared" si="4"/>
        <v>154749.79822437448</v>
      </c>
      <c r="K14" s="26">
        <f t="shared" si="4"/>
        <v>169588.70967741936</v>
      </c>
      <c r="L14" s="26">
        <f t="shared" si="4"/>
        <v>197288.67623604464</v>
      </c>
      <c r="M14" s="27">
        <f t="shared" si="4"/>
        <v>220000</v>
      </c>
      <c r="N14" s="48">
        <f>(G14-B14)/B14*100</f>
        <v>19.935656836461114</v>
      </c>
      <c r="O14" s="49">
        <f>(M14-H14)/H14*100</f>
        <v>10.974296167884418</v>
      </c>
      <c r="P14" s="48">
        <f>(M14-L14)/L14*100</f>
        <v>11.511721907841558</v>
      </c>
      <c r="Q14" s="43">
        <f>(1/12)*LN(M14/B14)</f>
        <v>2.3516854278596976E-2</v>
      </c>
      <c r="R14" s="40">
        <f>Q14*100</f>
        <v>2.3516854278596977</v>
      </c>
    </row>
    <row r="15" spans="1:20" ht="17.25" x14ac:dyDescent="0.3">
      <c r="A15" s="8" t="s">
        <v>11</v>
      </c>
      <c r="B15" s="26">
        <f>B13-B14</f>
        <v>253505.36480686691</v>
      </c>
      <c r="C15" s="26">
        <f>C13-C14</f>
        <v>237302.04081632654</v>
      </c>
      <c r="D15" s="26">
        <f t="shared" ref="D15:M15" si="5">D13-D14</f>
        <v>184810.75697211156</v>
      </c>
      <c r="E15" s="26">
        <f t="shared" si="5"/>
        <v>224111.16367076631</v>
      </c>
      <c r="F15" s="26">
        <f t="shared" si="5"/>
        <v>226239.30846223838</v>
      </c>
      <c r="G15" s="26">
        <f t="shared" si="5"/>
        <v>177424.93297587131</v>
      </c>
      <c r="H15" s="26">
        <f t="shared" si="5"/>
        <v>206886.89956331879</v>
      </c>
      <c r="I15" s="26">
        <f t="shared" si="5"/>
        <v>271473.04128053912</v>
      </c>
      <c r="J15" s="26">
        <f t="shared" si="5"/>
        <v>283541.5657788539</v>
      </c>
      <c r="K15" s="26">
        <f t="shared" si="5"/>
        <v>309250</v>
      </c>
      <c r="L15" s="26">
        <f t="shared" si="5"/>
        <v>305797.44816586922</v>
      </c>
      <c r="M15" s="27">
        <f t="shared" si="5"/>
        <v>365000</v>
      </c>
      <c r="N15" s="48">
        <f>(G15-B15)/B15*100</f>
        <v>-30.011369538059867</v>
      </c>
      <c r="O15" s="49">
        <f>(M15-H15)/H15*100</f>
        <v>76.424897260490823</v>
      </c>
      <c r="P15" s="48">
        <f>(M15-L15)/L15*100</f>
        <v>19.360054241531277</v>
      </c>
      <c r="Q15" s="45">
        <f>(1/12)*LN(M15/B15)</f>
        <v>3.037603065241376E-2</v>
      </c>
      <c r="R15" s="40">
        <f>Q15*100</f>
        <v>3.0376030652413761</v>
      </c>
    </row>
    <row r="16" spans="1:20" ht="17.25" x14ac:dyDescent="0.3">
      <c r="A16" s="34" t="s">
        <v>56</v>
      </c>
      <c r="B16" s="36">
        <f>0.1*B13</f>
        <v>41941.2017167382</v>
      </c>
      <c r="C16" s="36">
        <f>0.1*C13</f>
        <v>42032.755102040821</v>
      </c>
      <c r="D16" s="36">
        <f t="shared" ref="D16:M16" si="6">0.1*D13</f>
        <v>41890.438247011953</v>
      </c>
      <c r="E16" s="36">
        <f t="shared" si="6"/>
        <v>42306.102175969725</v>
      </c>
      <c r="F16" s="36">
        <f t="shared" si="6"/>
        <v>40745.586897179252</v>
      </c>
      <c r="G16" s="36">
        <f t="shared" si="6"/>
        <v>37640.616621983914</v>
      </c>
      <c r="H16" s="36">
        <f t="shared" si="6"/>
        <v>40513.100436681227</v>
      </c>
      <c r="I16" s="36">
        <f t="shared" si="6"/>
        <v>42987.573715248524</v>
      </c>
      <c r="J16" s="36">
        <f t="shared" si="6"/>
        <v>43829.136400322837</v>
      </c>
      <c r="K16" s="36">
        <f t="shared" si="6"/>
        <v>47883.870967741939</v>
      </c>
      <c r="L16" s="36">
        <f t="shared" si="6"/>
        <v>50308.612440191384</v>
      </c>
      <c r="M16" s="36">
        <f t="shared" si="6"/>
        <v>58500</v>
      </c>
      <c r="N16" s="48">
        <f>(G16-B16)/B16*100</f>
        <v>-10.253843282315817</v>
      </c>
      <c r="O16" s="49">
        <f>(M16-H16)/H16*100</f>
        <v>44.397736459175405</v>
      </c>
      <c r="P16" s="48">
        <f>(M16-L16)/L16*100</f>
        <v>16.282276855770611</v>
      </c>
      <c r="Q16" s="45">
        <f>(1/12)*LN(M16/B16)</f>
        <v>2.7729839661503969E-2</v>
      </c>
      <c r="R16" s="40">
        <f>Q16*100</f>
        <v>2.772983966150397</v>
      </c>
    </row>
    <row r="17" spans="1:18" ht="17.25" x14ac:dyDescent="0.3">
      <c r="A17" s="121" t="s">
        <v>23</v>
      </c>
      <c r="B17" s="122">
        <f>B13+B16</f>
        <v>461353.21888412011</v>
      </c>
      <c r="C17" s="122">
        <f>C13+C16</f>
        <v>462360.30612244899</v>
      </c>
      <c r="D17" s="122">
        <f t="shared" ref="D17:M17" si="7">D13+D16</f>
        <v>460794.82071713149</v>
      </c>
      <c r="E17" s="122">
        <f t="shared" si="7"/>
        <v>465367.12393566698</v>
      </c>
      <c r="F17" s="122">
        <f t="shared" si="7"/>
        <v>448201.45586897177</v>
      </c>
      <c r="G17" s="122">
        <f t="shared" si="7"/>
        <v>414046.78284182306</v>
      </c>
      <c r="H17" s="122">
        <f t="shared" si="7"/>
        <v>445644.10480349348</v>
      </c>
      <c r="I17" s="122">
        <f t="shared" si="7"/>
        <v>472863.31086773379</v>
      </c>
      <c r="J17" s="122">
        <f t="shared" si="7"/>
        <v>482120.50040355121</v>
      </c>
      <c r="K17" s="122">
        <f t="shared" si="7"/>
        <v>526722.58064516122</v>
      </c>
      <c r="L17" s="122">
        <f t="shared" si="7"/>
        <v>553394.73684210517</v>
      </c>
      <c r="M17" s="122">
        <f t="shared" si="7"/>
        <v>643500</v>
      </c>
      <c r="N17" s="139">
        <f>(G17-B17)/B17*100</f>
        <v>-10.253843282315799</v>
      </c>
      <c r="O17" s="140">
        <f>(M17-H17)/H17*100</f>
        <v>44.397736459175412</v>
      </c>
      <c r="P17" s="139">
        <f>(M17-L17)/L17*100</f>
        <v>16.282276855770622</v>
      </c>
      <c r="Q17" s="141">
        <f>(1/12)*LN(M17/B17)</f>
        <v>2.7729839661503983E-2</v>
      </c>
      <c r="R17" s="123">
        <f>Q17*100</f>
        <v>2.7729839661503983</v>
      </c>
    </row>
    <row r="18" spans="1:18" x14ac:dyDescent="0.25">
      <c r="B18" s="46"/>
    </row>
    <row r="19" spans="1:18" ht="17.25" x14ac:dyDescent="0.25">
      <c r="O19" s="18"/>
      <c r="P19" s="100" t="s">
        <v>79</v>
      </c>
      <c r="Q19" s="104">
        <f>GEOMEAN(Q13:Q17)</f>
        <v>2.7324389356371725E-2</v>
      </c>
      <c r="R19" s="105">
        <f>Q19*100</f>
        <v>2.7324389356371723</v>
      </c>
    </row>
    <row r="23" spans="1:18" ht="17.25" x14ac:dyDescent="0.3">
      <c r="A23" s="6" t="s">
        <v>9</v>
      </c>
      <c r="B23" s="7">
        <v>93.2</v>
      </c>
      <c r="C23" s="7">
        <v>98</v>
      </c>
      <c r="D23" s="7">
        <v>100.4</v>
      </c>
      <c r="E23" s="7">
        <v>105.7</v>
      </c>
      <c r="F23" s="7">
        <v>109.9</v>
      </c>
      <c r="G23" s="7">
        <v>111.9</v>
      </c>
      <c r="H23" s="7">
        <v>114.5</v>
      </c>
      <c r="I23" s="7">
        <v>118.7</v>
      </c>
      <c r="J23" s="7">
        <v>123.9</v>
      </c>
      <c r="K23" s="7">
        <v>124</v>
      </c>
      <c r="L23" s="7">
        <v>125.4</v>
      </c>
      <c r="M23" s="7">
        <v>123.7</v>
      </c>
    </row>
    <row r="60" spans="1:14" x14ac:dyDescent="0.25">
      <c r="A60" s="12" t="s">
        <v>74</v>
      </c>
      <c r="B60" s="98" t="s">
        <v>61</v>
      </c>
      <c r="C60" s="12" t="s">
        <v>75</v>
      </c>
      <c r="D60" s="64" t="s">
        <v>77</v>
      </c>
      <c r="E60" s="85" t="s">
        <v>7</v>
      </c>
      <c r="F60" s="85" t="s">
        <v>75</v>
      </c>
      <c r="G60" s="21"/>
      <c r="H60" s="89" t="s">
        <v>76</v>
      </c>
      <c r="I60" s="81"/>
      <c r="J60" s="7" t="s">
        <v>75</v>
      </c>
      <c r="K60" s="55"/>
      <c r="L60" s="7" t="s">
        <v>77</v>
      </c>
      <c r="M60" s="12" t="s">
        <v>21</v>
      </c>
      <c r="N60" s="12" t="s">
        <v>75</v>
      </c>
    </row>
    <row r="61" spans="1:14" ht="18.75" x14ac:dyDescent="0.3">
      <c r="A61" s="65">
        <v>1</v>
      </c>
      <c r="B61" s="68">
        <f>B13</f>
        <v>419412.01716738194</v>
      </c>
      <c r="C61" s="106">
        <f>STANDARDIZE(B61,442149.16,55942.56)</f>
        <v>-0.4064372962663495</v>
      </c>
      <c r="D61" s="75">
        <v>1</v>
      </c>
      <c r="E61" s="68">
        <f>B14</f>
        <v>165906.65236051503</v>
      </c>
      <c r="F61" s="106">
        <f>STANDARDIZE(E61,188370.62,24230.17)</f>
        <v>-0.92710730628323978</v>
      </c>
      <c r="G61" s="56"/>
      <c r="H61" s="60">
        <v>1</v>
      </c>
      <c r="I61" s="78">
        <f>B15</f>
        <v>253505.36480686691</v>
      </c>
      <c r="J61" s="107">
        <f>STANDARDIZE(I61,253778.54,55634.82)</f>
        <v>-4.9101478738152581E-3</v>
      </c>
      <c r="K61" s="56"/>
      <c r="L61" s="76">
        <v>1</v>
      </c>
      <c r="M61" s="79">
        <f>B16</f>
        <v>41941.2017167382</v>
      </c>
      <c r="N61" s="106">
        <f>STANDARDIZE(M61,44214.92,5594.26)</f>
        <v>-0.406437720674727</v>
      </c>
    </row>
    <row r="62" spans="1:14" ht="18.75" x14ac:dyDescent="0.3">
      <c r="A62" s="66">
        <v>2</v>
      </c>
      <c r="B62" s="69">
        <f>C13</f>
        <v>420327.55102040817</v>
      </c>
      <c r="C62" s="106">
        <f>STANDARDIZE(B62,442149.16,55942.56)</f>
        <v>-0.39007169102722167</v>
      </c>
      <c r="D62" s="76">
        <v>2</v>
      </c>
      <c r="E62" s="69">
        <f>C14</f>
        <v>183025.51020408163</v>
      </c>
      <c r="F62" s="106">
        <f t="shared" ref="F62:F72" si="8">STANDARDIZE(E62,188370.62,24230.17)</f>
        <v>-0.22059728825337868</v>
      </c>
      <c r="G62" s="61"/>
      <c r="H62" s="60">
        <v>2</v>
      </c>
      <c r="I62" s="79">
        <f>C15</f>
        <v>237302.04081632654</v>
      </c>
      <c r="J62" s="74">
        <f t="shared" ref="J62:J72" si="9">STANDARDIZE(I62,253778.54,55634.82)</f>
        <v>-0.296154443991613</v>
      </c>
      <c r="K62" s="61"/>
      <c r="L62" s="76">
        <v>2</v>
      </c>
      <c r="M62" s="79">
        <f>C16</f>
        <v>42032.755102040821</v>
      </c>
      <c r="N62" s="106">
        <f t="shared" ref="N62:N72" si="10">STANDARDIZE(M62,44214.92,5594.26)</f>
        <v>-0.39007212713731165</v>
      </c>
    </row>
    <row r="63" spans="1:14" ht="18.75" x14ac:dyDescent="0.3">
      <c r="A63" s="66">
        <v>3</v>
      </c>
      <c r="B63" s="69">
        <f>D13</f>
        <v>418904.38247011951</v>
      </c>
      <c r="C63" s="106">
        <f t="shared" ref="C63:C72" si="11">STANDARDIZE(B63,442149.16,55942.56)</f>
        <v>-0.4155115091243673</v>
      </c>
      <c r="D63" s="76">
        <v>3</v>
      </c>
      <c r="E63" s="69">
        <f>D14</f>
        <v>234093.62549800795</v>
      </c>
      <c r="F63" s="106">
        <f t="shared" si="8"/>
        <v>1.8870278457810226</v>
      </c>
      <c r="G63" s="61"/>
      <c r="H63" s="60">
        <v>3</v>
      </c>
      <c r="I63" s="79">
        <f>D15</f>
        <v>184810.75697211156</v>
      </c>
      <c r="J63" s="74">
        <f t="shared" si="9"/>
        <v>-1.2396514094570352</v>
      </c>
      <c r="K63" s="61"/>
      <c r="L63" s="76">
        <v>3</v>
      </c>
      <c r="M63" s="79">
        <f>D16</f>
        <v>41890.438247011953</v>
      </c>
      <c r="N63" s="106">
        <f t="shared" si="10"/>
        <v>-0.41551192704451445</v>
      </c>
    </row>
    <row r="64" spans="1:14" ht="18.75" x14ac:dyDescent="0.3">
      <c r="A64" s="66">
        <v>4</v>
      </c>
      <c r="B64" s="69">
        <f>E13</f>
        <v>423061.02175969724</v>
      </c>
      <c r="C64" s="106">
        <f t="shared" si="11"/>
        <v>-0.34120959498998149</v>
      </c>
      <c r="D64" s="76">
        <v>4</v>
      </c>
      <c r="E64" s="69">
        <f>E14</f>
        <v>198949.85808893092</v>
      </c>
      <c r="F64" s="106">
        <f t="shared" si="8"/>
        <v>0.4366142742263438</v>
      </c>
      <c r="G64" s="61"/>
      <c r="H64" s="60">
        <v>4</v>
      </c>
      <c r="I64" s="79">
        <f>E15</f>
        <v>224111.16367076631</v>
      </c>
      <c r="J64" s="74">
        <f t="shared" si="9"/>
        <v>-0.53325195137206693</v>
      </c>
      <c r="K64" s="61"/>
      <c r="L64" s="76">
        <v>4</v>
      </c>
      <c r="M64" s="79">
        <f>E16</f>
        <v>42306.102175969725</v>
      </c>
      <c r="N64" s="106">
        <f t="shared" si="10"/>
        <v>-0.34121006603737997</v>
      </c>
    </row>
    <row r="65" spans="1:14" ht="18.75" x14ac:dyDescent="0.3">
      <c r="A65" s="66">
        <v>5</v>
      </c>
      <c r="B65" s="69">
        <f>F13</f>
        <v>407455.86897179252</v>
      </c>
      <c r="C65" s="106">
        <f t="shared" si="11"/>
        <v>-0.62015916018515171</v>
      </c>
      <c r="D65" s="76">
        <v>5</v>
      </c>
      <c r="E65" s="69">
        <f>F14</f>
        <v>181216.56050955414</v>
      </c>
      <c r="F65" s="106">
        <f t="shared" si="8"/>
        <v>-0.29525420128896562</v>
      </c>
      <c r="G65" s="61"/>
      <c r="H65" s="60">
        <v>5</v>
      </c>
      <c r="I65" s="79">
        <f>F15</f>
        <v>226239.30846223838</v>
      </c>
      <c r="J65" s="74">
        <f t="shared" si="9"/>
        <v>-0.49499992159157941</v>
      </c>
      <c r="K65" s="61"/>
      <c r="L65" s="76">
        <v>5</v>
      </c>
      <c r="M65" s="79">
        <f>F16</f>
        <v>40745.586897179252</v>
      </c>
      <c r="N65" s="106">
        <f t="shared" si="10"/>
        <v>-0.62015943177842048</v>
      </c>
    </row>
    <row r="66" spans="1:14" ht="18.75" x14ac:dyDescent="0.3">
      <c r="A66" s="66">
        <v>6</v>
      </c>
      <c r="B66" s="69">
        <f>G13</f>
        <v>376406.16621983913</v>
      </c>
      <c r="C66" s="106">
        <f t="shared" si="11"/>
        <v>-1.1751874383324763</v>
      </c>
      <c r="D66" s="76">
        <v>6</v>
      </c>
      <c r="E66" s="69">
        <f>G14</f>
        <v>198981.23324396781</v>
      </c>
      <c r="F66" s="106">
        <f t="shared" si="8"/>
        <v>0.43790915391711321</v>
      </c>
      <c r="G66" s="61"/>
      <c r="H66" s="60">
        <v>6</v>
      </c>
      <c r="I66" s="79">
        <f>G15</f>
        <v>177424.93297587131</v>
      </c>
      <c r="J66" s="74">
        <f t="shared" si="9"/>
        <v>-1.3724068312637427</v>
      </c>
      <c r="K66" s="61"/>
      <c r="L66" s="76">
        <v>6</v>
      </c>
      <c r="M66" s="79">
        <f>G16</f>
        <v>37640.616621983914</v>
      </c>
      <c r="N66" s="106">
        <f t="shared" si="10"/>
        <v>-1.1751873130701975</v>
      </c>
    </row>
    <row r="67" spans="1:14" ht="18.75" x14ac:dyDescent="0.3">
      <c r="A67" s="66">
        <v>7</v>
      </c>
      <c r="B67" s="69">
        <f>H13</f>
        <v>405131.00436681224</v>
      </c>
      <c r="C67" s="106">
        <f t="shared" si="11"/>
        <v>-0.66171722626186102</v>
      </c>
      <c r="D67" s="76">
        <v>7</v>
      </c>
      <c r="E67" s="69">
        <f>H14</f>
        <v>198244.10480349345</v>
      </c>
      <c r="F67" s="106">
        <f t="shared" si="8"/>
        <v>0.40748722784418995</v>
      </c>
      <c r="G67" s="61"/>
      <c r="H67" s="60">
        <v>7</v>
      </c>
      <c r="I67" s="79">
        <f>H15</f>
        <v>206886.89956331879</v>
      </c>
      <c r="J67" s="74">
        <f t="shared" si="9"/>
        <v>-0.84284698749238729</v>
      </c>
      <c r="K67" s="61"/>
      <c r="L67" s="76">
        <v>7</v>
      </c>
      <c r="M67" s="79">
        <f>H16</f>
        <v>40513.100436681227</v>
      </c>
      <c r="N67" s="106">
        <f t="shared" si="10"/>
        <v>-0.66171746814033872</v>
      </c>
    </row>
    <row r="68" spans="1:14" ht="18.75" x14ac:dyDescent="0.3">
      <c r="A68" s="66">
        <v>8</v>
      </c>
      <c r="B68" s="69">
        <f>I13</f>
        <v>429875.73715248524</v>
      </c>
      <c r="C68" s="106">
        <f t="shared" si="11"/>
        <v>-0.21939329997616733</v>
      </c>
      <c r="D68" s="76">
        <v>8</v>
      </c>
      <c r="E68" s="69">
        <f>I14</f>
        <v>158402.69587194608</v>
      </c>
      <c r="F68" s="106">
        <f t="shared" si="8"/>
        <v>-1.23680205826265</v>
      </c>
      <c r="G68" s="61"/>
      <c r="H68" s="60">
        <v>8</v>
      </c>
      <c r="I68" s="79">
        <f>I15</f>
        <v>271473.04128053912</v>
      </c>
      <c r="J68" s="74">
        <f t="shared" si="9"/>
        <v>0.31804724596105671</v>
      </c>
      <c r="K68" s="61"/>
      <c r="L68" s="76">
        <v>8</v>
      </c>
      <c r="M68" s="79">
        <f>I16</f>
        <v>42987.573715248524</v>
      </c>
      <c r="N68" s="106">
        <f t="shared" si="10"/>
        <v>-0.21939385812448378</v>
      </c>
    </row>
    <row r="69" spans="1:14" ht="18.75" x14ac:dyDescent="0.3">
      <c r="A69" s="66">
        <v>9</v>
      </c>
      <c r="B69" s="69">
        <f>J13</f>
        <v>438291.36400322837</v>
      </c>
      <c r="C69" s="106">
        <f t="shared" si="11"/>
        <v>-6.8959947431286694E-2</v>
      </c>
      <c r="D69" s="76">
        <v>9</v>
      </c>
      <c r="E69" s="69">
        <f>J14</f>
        <v>154749.79822437448</v>
      </c>
      <c r="F69" s="106">
        <f t="shared" si="8"/>
        <v>-1.3875602926279724</v>
      </c>
      <c r="G69" s="61"/>
      <c r="H69" s="60">
        <v>9</v>
      </c>
      <c r="I69" s="79">
        <f>J15</f>
        <v>283541.5657788539</v>
      </c>
      <c r="J69" s="74">
        <f t="shared" si="9"/>
        <v>0.534971188526428</v>
      </c>
      <c r="K69" s="61"/>
      <c r="L69" s="76">
        <v>9</v>
      </c>
      <c r="M69" s="79">
        <f>J16</f>
        <v>43829.136400322837</v>
      </c>
      <c r="N69" s="106">
        <f t="shared" si="10"/>
        <v>-6.8960613142249549E-2</v>
      </c>
    </row>
    <row r="70" spans="1:14" ht="18.75" x14ac:dyDescent="0.3">
      <c r="A70" s="66">
        <v>10</v>
      </c>
      <c r="B70" s="69">
        <f>K13</f>
        <v>478838.70967741933</v>
      </c>
      <c r="C70" s="106">
        <f t="shared" si="11"/>
        <v>0.655843237732048</v>
      </c>
      <c r="D70" s="76">
        <v>10</v>
      </c>
      <c r="E70" s="69">
        <f>K14</f>
        <v>169588.70967741936</v>
      </c>
      <c r="F70" s="106">
        <f t="shared" si="8"/>
        <v>-0.77514562723169644</v>
      </c>
      <c r="G70" s="61"/>
      <c r="H70" s="60">
        <v>10</v>
      </c>
      <c r="I70" s="79">
        <f>K15</f>
        <v>309250</v>
      </c>
      <c r="J70" s="74">
        <f t="shared" si="9"/>
        <v>0.99706370938200195</v>
      </c>
      <c r="K70" s="61"/>
      <c r="L70" s="76">
        <v>10</v>
      </c>
      <c r="M70" s="79">
        <f>K16</f>
        <v>47883.870967741939</v>
      </c>
      <c r="N70" s="106">
        <f t="shared" si="10"/>
        <v>0.65584205377332139</v>
      </c>
    </row>
    <row r="71" spans="1:14" ht="18.75" x14ac:dyDescent="0.3">
      <c r="A71" s="66">
        <v>11</v>
      </c>
      <c r="B71" s="69">
        <f>L13</f>
        <v>503086.12440191384</v>
      </c>
      <c r="C71" s="106">
        <f t="shared" si="11"/>
        <v>1.0892773659609762</v>
      </c>
      <c r="D71" s="76">
        <v>11</v>
      </c>
      <c r="E71" s="69">
        <f>L14</f>
        <v>197288.67623604464</v>
      </c>
      <c r="F71" s="106">
        <f t="shared" si="8"/>
        <v>0.36805586737710261</v>
      </c>
      <c r="G71" s="61"/>
      <c r="H71" s="60">
        <v>11</v>
      </c>
      <c r="I71" s="79">
        <f>L15</f>
        <v>305797.44816586922</v>
      </c>
      <c r="J71" s="74">
        <f t="shared" si="9"/>
        <v>0.9350063173722718</v>
      </c>
      <c r="K71" s="61"/>
      <c r="L71" s="76">
        <v>11</v>
      </c>
      <c r="M71" s="79">
        <f>L16</f>
        <v>50308.612440191384</v>
      </c>
      <c r="N71" s="106">
        <f t="shared" si="10"/>
        <v>1.0892758720887812</v>
      </c>
    </row>
    <row r="72" spans="1:14" ht="18.75" x14ac:dyDescent="0.3">
      <c r="A72" s="66">
        <v>12</v>
      </c>
      <c r="B72" s="69">
        <f>M13</f>
        <v>585000</v>
      </c>
      <c r="C72" s="106">
        <f t="shared" si="11"/>
        <v>2.5535270463132189</v>
      </c>
      <c r="D72" s="76">
        <v>12</v>
      </c>
      <c r="E72" s="69">
        <f>M14</f>
        <v>220000</v>
      </c>
      <c r="F72" s="106">
        <f t="shared" si="8"/>
        <v>1.305371774114668</v>
      </c>
      <c r="G72" s="61"/>
      <c r="H72" s="60">
        <v>12</v>
      </c>
      <c r="I72" s="79">
        <f>M15</f>
        <v>365000</v>
      </c>
      <c r="J72" s="74">
        <f t="shared" si="9"/>
        <v>1.9991339955804655</v>
      </c>
      <c r="K72" s="61"/>
      <c r="L72" s="76">
        <v>12</v>
      </c>
      <c r="M72" s="79">
        <f>M16</f>
        <v>58500</v>
      </c>
      <c r="N72" s="106">
        <f t="shared" si="10"/>
        <v>2.5535245054752553</v>
      </c>
    </row>
    <row r="73" spans="1:14" x14ac:dyDescent="0.25">
      <c r="A73" s="56"/>
      <c r="B73" s="70"/>
      <c r="C73" s="56"/>
      <c r="D73" s="21"/>
      <c r="E73" s="70"/>
      <c r="F73" s="106"/>
      <c r="G73" s="56"/>
      <c r="I73" s="62"/>
      <c r="J73" s="21"/>
      <c r="K73" s="56"/>
      <c r="L73" s="21"/>
      <c r="M73" s="56"/>
      <c r="N73" s="56"/>
    </row>
    <row r="74" spans="1:14" x14ac:dyDescent="0.25">
      <c r="A74" s="90" t="s">
        <v>62</v>
      </c>
      <c r="B74" s="91">
        <f>AVERAGE(B61:B72)</f>
        <v>442149.16226759151</v>
      </c>
      <c r="C74" s="84"/>
      <c r="D74" s="92" t="s">
        <v>62</v>
      </c>
      <c r="E74" s="93">
        <f>AVERAGE(E61:E72)</f>
        <v>188370.61872652793</v>
      </c>
      <c r="F74" s="94"/>
      <c r="G74" s="56"/>
      <c r="H74" s="95" t="s">
        <v>62</v>
      </c>
      <c r="I74" s="96">
        <f>AVERAGE(I61:I72)</f>
        <v>253778.54354106353</v>
      </c>
      <c r="J74" s="20"/>
      <c r="K74" s="56"/>
      <c r="L74" s="92" t="s">
        <v>62</v>
      </c>
      <c r="M74" s="96">
        <f>AVERAGE(M61:M72)</f>
        <v>44214.916226759146</v>
      </c>
      <c r="N74" s="84"/>
    </row>
    <row r="75" spans="1:14" x14ac:dyDescent="0.25">
      <c r="A75" s="67" t="s">
        <v>63</v>
      </c>
      <c r="B75" s="71">
        <f>MEDIAN(B61:B72)</f>
        <v>421694.2863900527</v>
      </c>
      <c r="C75" s="56"/>
      <c r="D75" s="77" t="s">
        <v>63</v>
      </c>
      <c r="E75" s="72">
        <f>MEDIAN(E61:E72)</f>
        <v>190157.09322006314</v>
      </c>
      <c r="F75" s="62"/>
      <c r="G75" s="56"/>
      <c r="H75" s="59" t="s">
        <v>63</v>
      </c>
      <c r="I75" s="80">
        <f>MEDIAN(I61:I72)</f>
        <v>245403.70281159674</v>
      </c>
      <c r="J75" s="21"/>
      <c r="K75" s="56"/>
      <c r="L75" s="77" t="s">
        <v>63</v>
      </c>
      <c r="M75" s="80">
        <f>MEDIAN(M61:M72)</f>
        <v>42169.428639005273</v>
      </c>
      <c r="N75" s="56"/>
    </row>
    <row r="76" spans="1:14" x14ac:dyDescent="0.25">
      <c r="A76" s="67" t="s">
        <v>68</v>
      </c>
      <c r="B76" s="71">
        <f>_xlfn.STDEV.S(B61:B72)</f>
        <v>55942.555910405055</v>
      </c>
      <c r="C76" s="56"/>
      <c r="D76" s="77" t="s">
        <v>68</v>
      </c>
      <c r="E76" s="72">
        <f>_xlfn.STDEV.S(E61:E72)</f>
        <v>24230.166451449484</v>
      </c>
      <c r="F76" s="62"/>
      <c r="G76" s="56"/>
      <c r="H76" s="59" t="s">
        <v>68</v>
      </c>
      <c r="I76" s="80">
        <f>_xlfn.STDEV.S(I61:I72)</f>
        <v>55634.817753501258</v>
      </c>
      <c r="J76" s="21"/>
      <c r="K76" s="56"/>
      <c r="L76" s="77" t="s">
        <v>68</v>
      </c>
      <c r="M76" s="80">
        <f>_xlfn.STDEV.S(M61:M72)</f>
        <v>5594.2555910405108</v>
      </c>
      <c r="N76" s="56"/>
    </row>
    <row r="77" spans="1:14" x14ac:dyDescent="0.25">
      <c r="A77" s="67" t="s">
        <v>65</v>
      </c>
      <c r="B77" s="71">
        <f>MAX(B61:B72)</f>
        <v>585000</v>
      </c>
      <c r="C77" s="56"/>
      <c r="D77" s="77" t="s">
        <v>65</v>
      </c>
      <c r="E77" s="72">
        <f>MAX(E61:E72)</f>
        <v>234093.62549800795</v>
      </c>
      <c r="F77" s="62"/>
      <c r="G77" s="56"/>
      <c r="H77" s="59" t="s">
        <v>65</v>
      </c>
      <c r="I77" s="80">
        <f>MAX(I61:I72)</f>
        <v>365000</v>
      </c>
      <c r="J77" s="21"/>
      <c r="K77" s="56"/>
      <c r="L77" s="77" t="s">
        <v>65</v>
      </c>
      <c r="M77" s="80">
        <f>MAX(M61:M72)</f>
        <v>58500</v>
      </c>
      <c r="N77" s="56"/>
    </row>
    <row r="78" spans="1:14" x14ac:dyDescent="0.25">
      <c r="A78" s="67" t="s">
        <v>66</v>
      </c>
      <c r="B78" s="71">
        <f>MIN(B61:B72)</f>
        <v>376406.16621983913</v>
      </c>
      <c r="C78" s="56"/>
      <c r="D78" s="77" t="s">
        <v>66</v>
      </c>
      <c r="E78" s="72">
        <f>MIN(E61:E72)</f>
        <v>154749.79822437448</v>
      </c>
      <c r="F78" s="62"/>
      <c r="G78" s="56"/>
      <c r="H78" s="59" t="s">
        <v>66</v>
      </c>
      <c r="I78" s="80">
        <f>MIN(I61:I72)</f>
        <v>177424.93297587131</v>
      </c>
      <c r="J78" s="21"/>
      <c r="K78" s="56"/>
      <c r="L78" s="77" t="s">
        <v>66</v>
      </c>
      <c r="M78" s="80">
        <f>MIN(M61:M72)</f>
        <v>37640.616621983914</v>
      </c>
      <c r="N78" s="56"/>
    </row>
    <row r="79" spans="1:14" x14ac:dyDescent="0.25">
      <c r="A79" s="67" t="s">
        <v>64</v>
      </c>
      <c r="B79" s="71">
        <f>B77-B78</f>
        <v>208593.83378016087</v>
      </c>
      <c r="C79" s="56"/>
      <c r="D79" s="77" t="s">
        <v>64</v>
      </c>
      <c r="E79" s="72">
        <f>E77-E78</f>
        <v>79343.827273633477</v>
      </c>
      <c r="F79" s="62"/>
      <c r="G79" s="56"/>
      <c r="H79" s="59" t="s">
        <v>64</v>
      </c>
      <c r="I79" s="80">
        <f>I77-I78</f>
        <v>187575.06702412869</v>
      </c>
      <c r="J79" s="21"/>
      <c r="K79" s="56"/>
      <c r="L79" s="77" t="s">
        <v>64</v>
      </c>
      <c r="M79" s="80">
        <f>M77-M78</f>
        <v>20859.383378016086</v>
      </c>
      <c r="N79" s="56"/>
    </row>
    <row r="80" spans="1:14" x14ac:dyDescent="0.25">
      <c r="A80" s="67" t="s">
        <v>67</v>
      </c>
      <c r="B80" s="72">
        <f>_xlfn.VAR.S(B61:B72)</f>
        <v>3129569561.7887959</v>
      </c>
      <c r="C80" s="56"/>
      <c r="D80" s="77" t="s">
        <v>67</v>
      </c>
      <c r="E80" s="70">
        <f>_xlfn.VAR.S(E61:E72)</f>
        <v>587100966.26494801</v>
      </c>
      <c r="F80" s="62"/>
      <c r="G80" s="56"/>
      <c r="H80" s="59" t="s">
        <v>67</v>
      </c>
      <c r="I80" s="80">
        <f>_xlfn.VAR.S(I61:I72)</f>
        <v>3095232946.4652987</v>
      </c>
      <c r="J80" s="21"/>
      <c r="K80" s="56"/>
      <c r="L80" s="77" t="s">
        <v>67</v>
      </c>
      <c r="M80" s="80">
        <f>_xlfn.VAR.S(M61:M72)</f>
        <v>31295695.617888018</v>
      </c>
      <c r="N80" s="56"/>
    </row>
    <row r="81" spans="1:14" x14ac:dyDescent="0.25">
      <c r="A81" s="67" t="s">
        <v>69</v>
      </c>
      <c r="B81" s="73">
        <f>B76/B74*100%</f>
        <v>0.12652417031279653</v>
      </c>
      <c r="C81" s="56"/>
      <c r="D81" s="77" t="s">
        <v>69</v>
      </c>
      <c r="E81" s="73">
        <f>E76/E74*100%</f>
        <v>0.12863028541954452</v>
      </c>
      <c r="F81" s="62"/>
      <c r="G81" s="56"/>
      <c r="H81" s="59" t="s">
        <v>69</v>
      </c>
      <c r="I81" s="97">
        <f>I76/I74*100%</f>
        <v>0.21922585328613123</v>
      </c>
      <c r="J81" s="21"/>
      <c r="K81" s="56"/>
      <c r="L81" s="77" t="s">
        <v>69</v>
      </c>
      <c r="M81" s="97">
        <f>M76/M74*100%</f>
        <v>0.12652417031279667</v>
      </c>
      <c r="N81" s="56"/>
    </row>
    <row r="82" spans="1:14" x14ac:dyDescent="0.25">
      <c r="A82" s="67" t="s">
        <v>70</v>
      </c>
      <c r="B82" s="74">
        <f>_xlfn.QUARTILE.EXC(B61:B72,1)</f>
        <v>410317.99734637426</v>
      </c>
      <c r="C82" s="56"/>
      <c r="D82" s="77" t="s">
        <v>70</v>
      </c>
      <c r="E82" s="74">
        <f>_xlfn.QUARTILE.EXC(E61:E72,1)</f>
        <v>166827.16668974111</v>
      </c>
      <c r="F82" s="62"/>
      <c r="G82" s="56"/>
      <c r="H82" s="59" t="s">
        <v>70</v>
      </c>
      <c r="I82" s="80">
        <f>_xlfn.QUARTILE.EXC(I61:I72,1)</f>
        <v>211192.96559018065</v>
      </c>
      <c r="J82" s="21"/>
      <c r="K82" s="56"/>
      <c r="L82" s="77" t="s">
        <v>70</v>
      </c>
      <c r="M82" s="80">
        <f>_xlfn.QUARTILE.EXC(M61:M72,1)</f>
        <v>41031.799734637425</v>
      </c>
      <c r="N82" s="56"/>
    </row>
    <row r="83" spans="1:14" x14ac:dyDescent="0.25">
      <c r="A83" s="67" t="s">
        <v>71</v>
      </c>
      <c r="B83" s="74">
        <f>_xlfn.QUARTILE.EXC(B61:B72,2)</f>
        <v>421694.2863900527</v>
      </c>
      <c r="C83" s="56"/>
      <c r="D83" s="77" t="s">
        <v>71</v>
      </c>
      <c r="E83" s="74">
        <f>_xlfn.QUARTILE.EXC(E61:E72,2)</f>
        <v>190157.09322006314</v>
      </c>
      <c r="F83" s="62"/>
      <c r="G83" s="56"/>
      <c r="H83" s="59" t="s">
        <v>71</v>
      </c>
      <c r="I83" s="80">
        <f>_xlfn.QUARTILE.EXC($I61:$I72,2)</f>
        <v>245403.70281159674</v>
      </c>
      <c r="J83" s="21"/>
      <c r="K83" s="56"/>
      <c r="L83" s="77" t="s">
        <v>71</v>
      </c>
      <c r="M83" s="80">
        <f>_xlfn.QUARTILE.EXC(M61:M72,2)</f>
        <v>42169.428639005273</v>
      </c>
      <c r="N83" s="56"/>
    </row>
    <row r="84" spans="1:14" x14ac:dyDescent="0.25">
      <c r="A84" s="67" t="s">
        <v>72</v>
      </c>
      <c r="B84" s="74">
        <f>_xlfn.QUARTILE.EXC(B61:B72,3)</f>
        <v>468701.87325887161</v>
      </c>
      <c r="C84" s="56"/>
      <c r="D84" s="77" t="s">
        <v>72</v>
      </c>
      <c r="E84" s="74">
        <f>_xlfn.QUARTILE.EXC(E61:E72,3)</f>
        <v>198973.38945520858</v>
      </c>
      <c r="F84" s="62"/>
      <c r="G84" s="56"/>
      <c r="H84" s="59" t="s">
        <v>72</v>
      </c>
      <c r="I84" s="80">
        <f>_xlfn.QUARTILE.EXC($I61:$I72,3)</f>
        <v>300233.47756911541</v>
      </c>
      <c r="J84" s="21"/>
      <c r="K84" s="56"/>
      <c r="L84" s="77" t="s">
        <v>72</v>
      </c>
      <c r="M84" s="80">
        <f>_xlfn.QUARTILE.EXC(M61:M72,3)</f>
        <v>46870.187325887164</v>
      </c>
      <c r="N84" s="56"/>
    </row>
    <row r="85" spans="1:14" x14ac:dyDescent="0.25">
      <c r="A85" s="86" t="s">
        <v>73</v>
      </c>
      <c r="B85" s="82">
        <f>B84-B82</f>
        <v>58383.875912497344</v>
      </c>
      <c r="C85" s="63"/>
      <c r="D85" s="57" t="s">
        <v>73</v>
      </c>
      <c r="E85" s="82">
        <f>E84-E82</f>
        <v>32146.222765467479</v>
      </c>
      <c r="F85" s="87"/>
      <c r="G85" s="21"/>
      <c r="H85" s="88" t="s">
        <v>73</v>
      </c>
      <c r="I85" s="83">
        <f>I84-I82</f>
        <v>89040.511978934752</v>
      </c>
      <c r="J85" s="54"/>
      <c r="K85" s="55"/>
      <c r="L85" s="57" t="s">
        <v>73</v>
      </c>
      <c r="M85" s="83">
        <f>M84-M82</f>
        <v>5838.3875912497388</v>
      </c>
      <c r="N85" s="63"/>
    </row>
    <row r="86" spans="1:14" x14ac:dyDescent="0.25">
      <c r="A86" s="55"/>
      <c r="I86" s="14"/>
      <c r="K86" s="55"/>
      <c r="L86" s="55"/>
      <c r="M86" s="56"/>
      <c r="N86" s="56"/>
    </row>
  </sheetData>
  <conditionalFormatting sqref="A16">
    <cfRule type="colorScale" priority="13">
      <colorScale>
        <cfvo type="min"/>
        <cfvo type="percentile" val="50"/>
        <cfvo type="max"/>
        <color rgb="FFF8696B"/>
        <color rgb="FFFFEB84"/>
        <color rgb="FF63BE7B"/>
      </colorScale>
    </cfRule>
  </conditionalFormatting>
  <conditionalFormatting sqref="B16:M16">
    <cfRule type="colorScale" priority="12">
      <colorScale>
        <cfvo type="min"/>
        <cfvo type="percentile" val="50"/>
        <cfvo type="max"/>
        <color rgb="FFF8696B"/>
        <color rgb="FFFFEB84"/>
        <color rgb="FF63BE7B"/>
      </colorScale>
    </cfRule>
  </conditionalFormatting>
  <conditionalFormatting sqref="R13:R17">
    <cfRule type="dataBar" priority="11">
      <dataBar>
        <cfvo type="min"/>
        <cfvo type="max"/>
        <color rgb="FFFFB628"/>
      </dataBar>
      <extLst>
        <ext xmlns:x14="http://schemas.microsoft.com/office/spreadsheetml/2009/9/main" uri="{B025F937-C7B1-47D3-B67F-A62EFF666E3E}">
          <x14:id>{4E22BEBD-7495-4A62-B435-1207BD2DB8AF}</x14:id>
        </ext>
      </extLst>
    </cfRule>
  </conditionalFormatting>
  <conditionalFormatting sqref="B7:M7">
    <cfRule type="colorScale" priority="10">
      <colorScale>
        <cfvo type="min"/>
        <cfvo type="percentile" val="50"/>
        <cfvo type="max"/>
        <color rgb="FFF8696B"/>
        <color rgb="FFFFEB84"/>
        <color rgb="FF63BE7B"/>
      </colorScale>
    </cfRule>
  </conditionalFormatting>
  <conditionalFormatting sqref="N4:N9">
    <cfRule type="dataBar" priority="9">
      <dataBar>
        <cfvo type="min"/>
        <cfvo type="max"/>
        <color rgb="FF638EC6"/>
      </dataBar>
      <extLst>
        <ext xmlns:x14="http://schemas.microsoft.com/office/spreadsheetml/2009/9/main" uri="{B025F937-C7B1-47D3-B67F-A62EFF666E3E}">
          <x14:id>{1D359048-D494-4729-A94A-1EA639D2925C}</x14:id>
        </ext>
      </extLst>
    </cfRule>
  </conditionalFormatting>
  <conditionalFormatting sqref="N12:N17">
    <cfRule type="dataBar" priority="8">
      <dataBar>
        <cfvo type="min"/>
        <cfvo type="max"/>
        <color rgb="FF638EC6"/>
      </dataBar>
      <extLst>
        <ext xmlns:x14="http://schemas.microsoft.com/office/spreadsheetml/2009/9/main" uri="{B025F937-C7B1-47D3-B67F-A62EFF666E3E}">
          <x14:id>{5674B9F0-FF3E-4866-818D-285AC47FDE85}</x14:id>
        </ext>
      </extLst>
    </cfRule>
  </conditionalFormatting>
  <conditionalFormatting sqref="O12:O17">
    <cfRule type="dataBar" priority="7">
      <dataBar>
        <cfvo type="min"/>
        <cfvo type="max"/>
        <color rgb="FF63C384"/>
      </dataBar>
      <extLst>
        <ext xmlns:x14="http://schemas.microsoft.com/office/spreadsheetml/2009/9/main" uri="{B025F937-C7B1-47D3-B67F-A62EFF666E3E}">
          <x14:id>{C7A39F03-C79D-4AAC-B481-A9580B8185ED}</x14:id>
        </ext>
      </extLst>
    </cfRule>
  </conditionalFormatting>
  <conditionalFormatting sqref="O4:O9">
    <cfRule type="dataBar" priority="6">
      <dataBar>
        <cfvo type="min"/>
        <cfvo type="max"/>
        <color rgb="FF63C384"/>
      </dataBar>
      <extLst>
        <ext xmlns:x14="http://schemas.microsoft.com/office/spreadsheetml/2009/9/main" uri="{B025F937-C7B1-47D3-B67F-A62EFF666E3E}">
          <x14:id>{387783DB-81C0-461B-BB84-14CDC29DB889}</x14:id>
        </ext>
      </extLst>
    </cfRule>
  </conditionalFormatting>
  <conditionalFormatting sqref="P4:P10">
    <cfRule type="dataBar" priority="5">
      <dataBar>
        <cfvo type="min"/>
        <cfvo type="max"/>
        <color rgb="FFD6007B"/>
      </dataBar>
      <extLst>
        <ext xmlns:x14="http://schemas.microsoft.com/office/spreadsheetml/2009/9/main" uri="{B025F937-C7B1-47D3-B67F-A62EFF666E3E}">
          <x14:id>{12FFE969-FA83-4290-A3B6-E7E4209D99EB}</x14:id>
        </ext>
      </extLst>
    </cfRule>
  </conditionalFormatting>
  <conditionalFormatting sqref="P12:P17">
    <cfRule type="dataBar" priority="4">
      <dataBar>
        <cfvo type="min"/>
        <cfvo type="max"/>
        <color rgb="FFD6007B"/>
      </dataBar>
      <extLst>
        <ext xmlns:x14="http://schemas.microsoft.com/office/spreadsheetml/2009/9/main" uri="{B025F937-C7B1-47D3-B67F-A62EFF666E3E}">
          <x14:id>{F84E7AD0-1DFB-44A2-9D27-6FBFE4B942E5}</x14:id>
        </ext>
      </extLst>
    </cfRule>
  </conditionalFormatting>
  <conditionalFormatting sqref="R4:R9 Q9">
    <cfRule type="dataBar" priority="3">
      <dataBar>
        <cfvo type="min"/>
        <cfvo type="max"/>
        <color rgb="FFFFB628"/>
      </dataBar>
      <extLst>
        <ext xmlns:x14="http://schemas.microsoft.com/office/spreadsheetml/2009/9/main" uri="{B025F937-C7B1-47D3-B67F-A62EFF666E3E}">
          <x14:id>{6522A9C8-3473-42E6-997C-1F88C0CA0F66}</x14:id>
        </ext>
      </extLst>
    </cfRule>
  </conditionalFormatting>
  <conditionalFormatting sqref="B17:M17">
    <cfRule type="colorScale" priority="2">
      <colorScale>
        <cfvo type="min"/>
        <cfvo type="percentile" val="50"/>
        <cfvo type="max"/>
        <color rgb="FFF8696B"/>
        <color rgb="FFFFEB84"/>
        <color rgb="FF63BE7B"/>
      </colorScale>
    </cfRule>
  </conditionalFormatting>
  <conditionalFormatting sqref="A23:M23">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dataBar" id="{4E22BEBD-7495-4A62-B435-1207BD2DB8AF}">
            <x14:dataBar minLength="0" maxLength="100" border="1" negativeBarBorderColorSameAsPositive="0">
              <x14:cfvo type="autoMin"/>
              <x14:cfvo type="autoMax"/>
              <x14:borderColor rgb="FFFFB628"/>
              <x14:negativeFillColor rgb="FFFF0000"/>
              <x14:negativeBorderColor rgb="FFFF0000"/>
              <x14:axisColor rgb="FF000000"/>
            </x14:dataBar>
          </x14:cfRule>
          <xm:sqref>R13:R17</xm:sqref>
        </x14:conditionalFormatting>
        <x14:conditionalFormatting xmlns:xm="http://schemas.microsoft.com/office/excel/2006/main">
          <x14:cfRule type="dataBar" id="{1D359048-D494-4729-A94A-1EA639D2925C}">
            <x14:dataBar minLength="0" maxLength="100" border="1" negativeBarBorderColorSameAsPositive="0">
              <x14:cfvo type="autoMin"/>
              <x14:cfvo type="autoMax"/>
              <x14:borderColor rgb="FF638EC6"/>
              <x14:negativeFillColor rgb="FFFF0000"/>
              <x14:negativeBorderColor rgb="FFFF0000"/>
              <x14:axisColor rgb="FF000000"/>
            </x14:dataBar>
          </x14:cfRule>
          <xm:sqref>N4:N9</xm:sqref>
        </x14:conditionalFormatting>
        <x14:conditionalFormatting xmlns:xm="http://schemas.microsoft.com/office/excel/2006/main">
          <x14:cfRule type="dataBar" id="{5674B9F0-FF3E-4866-818D-285AC47FDE85}">
            <x14:dataBar minLength="0" maxLength="100" border="1" negativeBarBorderColorSameAsPositive="0">
              <x14:cfvo type="autoMin"/>
              <x14:cfvo type="autoMax"/>
              <x14:borderColor rgb="FF638EC6"/>
              <x14:negativeFillColor rgb="FFFF0000"/>
              <x14:negativeBorderColor rgb="FFFF0000"/>
              <x14:axisColor rgb="FF000000"/>
            </x14:dataBar>
          </x14:cfRule>
          <xm:sqref>N12:N17</xm:sqref>
        </x14:conditionalFormatting>
        <x14:conditionalFormatting xmlns:xm="http://schemas.microsoft.com/office/excel/2006/main">
          <x14:cfRule type="dataBar" id="{C7A39F03-C79D-4AAC-B481-A9580B8185ED}">
            <x14:dataBar minLength="0" maxLength="100" border="1" negativeBarBorderColorSameAsPositive="0">
              <x14:cfvo type="autoMin"/>
              <x14:cfvo type="autoMax"/>
              <x14:borderColor rgb="FF63C384"/>
              <x14:negativeFillColor rgb="FFFF0000"/>
              <x14:negativeBorderColor rgb="FFFF0000"/>
              <x14:axisColor rgb="FF000000"/>
            </x14:dataBar>
          </x14:cfRule>
          <xm:sqref>O12:O17</xm:sqref>
        </x14:conditionalFormatting>
        <x14:conditionalFormatting xmlns:xm="http://schemas.microsoft.com/office/excel/2006/main">
          <x14:cfRule type="dataBar" id="{387783DB-81C0-461B-BB84-14CDC29DB889}">
            <x14:dataBar minLength="0" maxLength="100" border="1" negativeBarBorderColorSameAsPositive="0">
              <x14:cfvo type="autoMin"/>
              <x14:cfvo type="autoMax"/>
              <x14:borderColor rgb="FF63C384"/>
              <x14:negativeFillColor rgb="FFFF0000"/>
              <x14:negativeBorderColor rgb="FFFF0000"/>
              <x14:axisColor rgb="FF000000"/>
            </x14:dataBar>
          </x14:cfRule>
          <xm:sqref>O4:O9</xm:sqref>
        </x14:conditionalFormatting>
        <x14:conditionalFormatting xmlns:xm="http://schemas.microsoft.com/office/excel/2006/main">
          <x14:cfRule type="dataBar" id="{12FFE969-FA83-4290-A3B6-E7E4209D99EB}">
            <x14:dataBar minLength="0" maxLength="100" border="1" negativeBarBorderColorSameAsPositive="0">
              <x14:cfvo type="autoMin"/>
              <x14:cfvo type="autoMax"/>
              <x14:borderColor rgb="FFD6007B"/>
              <x14:negativeFillColor rgb="FFFF0000"/>
              <x14:negativeBorderColor rgb="FFFF0000"/>
              <x14:axisColor rgb="FF000000"/>
            </x14:dataBar>
          </x14:cfRule>
          <xm:sqref>P4:P10</xm:sqref>
        </x14:conditionalFormatting>
        <x14:conditionalFormatting xmlns:xm="http://schemas.microsoft.com/office/excel/2006/main">
          <x14:cfRule type="dataBar" id="{F84E7AD0-1DFB-44A2-9D27-6FBFE4B942E5}">
            <x14:dataBar minLength="0" maxLength="100" border="1" negativeBarBorderColorSameAsPositive="0">
              <x14:cfvo type="autoMin"/>
              <x14:cfvo type="autoMax"/>
              <x14:borderColor rgb="FFD6007B"/>
              <x14:negativeFillColor rgb="FFFF0000"/>
              <x14:negativeBorderColor rgb="FFFF0000"/>
              <x14:axisColor rgb="FF000000"/>
            </x14:dataBar>
          </x14:cfRule>
          <xm:sqref>P12:P17</xm:sqref>
        </x14:conditionalFormatting>
        <x14:conditionalFormatting xmlns:xm="http://schemas.microsoft.com/office/excel/2006/main">
          <x14:cfRule type="dataBar" id="{6522A9C8-3473-42E6-997C-1F88C0CA0F66}">
            <x14:dataBar minLength="0" maxLength="100" border="1" negativeBarBorderColorSameAsPositive="0">
              <x14:cfvo type="autoMin"/>
              <x14:cfvo type="autoMax"/>
              <x14:borderColor rgb="FFFFB628"/>
              <x14:negativeFillColor rgb="FFFF0000"/>
              <x14:negativeBorderColor rgb="FFFF0000"/>
              <x14:axisColor rgb="FF000000"/>
            </x14:dataBar>
          </x14:cfRule>
          <xm:sqref>R4:R9 Q9</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high="1" low="1" xr2:uid="{199EEDB6-BF92-4735-869B-EC504BA9E67D}">
          <x14:colorSeries rgb="FF376092"/>
          <x14:colorNegative rgb="FFD00000"/>
          <x14:colorAxis rgb="FF000000"/>
          <x14:colorMarkers rgb="FFD00000"/>
          <x14:colorFirst rgb="FFD00000"/>
          <x14:colorLast rgb="FFD00000"/>
          <x14:colorHigh rgb="FFD00000"/>
          <x14:colorLow rgb="FFD00000"/>
          <x14:sparklines>
            <x14:sparkline>
              <xm:f>'Positive Report'!B13:M13</xm:f>
              <xm:sqref>S13</xm:sqref>
            </x14:sparkline>
            <x14:sparkline>
              <xm:f>'Positive Report'!B14:M14</xm:f>
              <xm:sqref>S14</xm:sqref>
            </x14:sparkline>
            <x14:sparkline>
              <xm:f>'Positive Report'!B15:M15</xm:f>
              <xm:sqref>S15</xm:sqref>
            </x14:sparkline>
            <x14:sparkline>
              <xm:f>'Positive Report'!B16:M16</xm:f>
              <xm:sqref>S16</xm:sqref>
            </x14:sparkline>
            <x14:sparkline>
              <xm:f>'Positive Report'!B17:M17</xm:f>
              <xm:sqref>S17</xm:sqref>
            </x14:sparkline>
          </x14:sparklines>
        </x14:sparklineGroup>
        <x14:sparklineGroup manualMax="0" manualMin="0" displayEmptyCellsAs="gap" high="1" low="1" negative="1" xr2:uid="{4C009868-2B89-4B9D-88FC-554808789CF0}">
          <x14:colorSeries rgb="FF376092"/>
          <x14:colorNegative rgb="FFD00000"/>
          <x14:colorAxis rgb="FF000000"/>
          <x14:colorMarkers rgb="FFD00000"/>
          <x14:colorFirst rgb="FFD00000"/>
          <x14:colorLast rgb="FFD00000"/>
          <x14:colorHigh rgb="FFD00000"/>
          <x14:colorLow rgb="FFD00000"/>
          <x14:sparklines>
            <x14:sparkline>
              <xm:f>'Positive Report'!R4:R8</xm:f>
              <xm:sqref>R9</xm:sqref>
            </x14:sparkline>
          </x14:sparklines>
        </x14:sparklineGroup>
        <x14:sparklineGroup manualMax="0" manualMin="0" displayEmptyCellsAs="gap" high="1" low="1" negative="1" xr2:uid="{D59193CC-8801-4539-AEA4-535E47EFA04B}">
          <x14:colorSeries rgb="FF376092"/>
          <x14:colorNegative rgb="FFD00000"/>
          <x14:colorAxis rgb="FF000000"/>
          <x14:colorMarkers rgb="FFD00000"/>
          <x14:colorFirst rgb="FFD00000"/>
          <x14:colorLast rgb="FFD00000"/>
          <x14:colorHigh rgb="FFD00000"/>
          <x14:colorLow rgb="FFD00000"/>
          <x14:sparklines>
            <x14:sparkline>
              <xm:f>'Positive Report'!Q4:Q8</xm:f>
              <xm:sqref>Q9</xm:sqref>
            </x14:sparkline>
          </x14:sparklines>
        </x14:sparklineGroup>
        <x14:sparklineGroup manualMax="0" manualMin="0" displayEmptyCellsAs="gap" high="1" low="1" negative="1" xr2:uid="{5A7D7D8A-0257-4AAB-84A6-057BE509CF48}">
          <x14:colorSeries rgb="FF376092"/>
          <x14:colorNegative rgb="FFD00000"/>
          <x14:colorAxis rgb="FF000000"/>
          <x14:colorMarkers rgb="FFD00000"/>
          <x14:colorFirst rgb="FFD00000"/>
          <x14:colorLast rgb="FFD00000"/>
          <x14:colorHigh rgb="FFD00000"/>
          <x14:colorLow rgb="FFD00000"/>
          <x14:sparklines>
            <x14:sparkline>
              <xm:f>'Positive Report'!R13:R17</xm:f>
              <xm:sqref>R18</xm:sqref>
            </x14:sparkline>
          </x14:sparklines>
        </x14:sparklineGroup>
        <x14:sparklineGroup manualMax="0" manualMin="0" displayEmptyCellsAs="gap" high="1" low="1" negative="1" xr2:uid="{84515097-70E1-48A9-97F2-E4F7F71638DF}">
          <x14:colorSeries rgb="FF376092"/>
          <x14:colorNegative rgb="FFD00000"/>
          <x14:colorAxis rgb="FF000000"/>
          <x14:colorMarkers rgb="FFD00000"/>
          <x14:colorFirst rgb="FFD00000"/>
          <x14:colorLast rgb="FFD00000"/>
          <x14:colorHigh rgb="FFD00000"/>
          <x14:colorLow rgb="FFD00000"/>
          <x14:sparklines>
            <x14:sparkline>
              <xm:f>'Positive Report'!Q13:Q17</xm:f>
              <xm:sqref>Q18</xm:sqref>
            </x14:sparkline>
          </x14:sparklines>
        </x14:sparklineGroup>
        <x14:sparklineGroup displayEmptyCellsAs="gap" high="1" low="1" negative="1" xr2:uid="{EA09D5C2-2579-4B21-9635-8B935BD90913}">
          <x14:colorSeries rgb="FF376092"/>
          <x14:colorNegative rgb="FFD00000"/>
          <x14:colorAxis rgb="FF000000"/>
          <x14:colorMarkers rgb="FFD00000"/>
          <x14:colorFirst rgb="FFD00000"/>
          <x14:colorLast rgb="FFD00000"/>
          <x14:colorHigh rgb="FFD00000"/>
          <x14:colorLow rgb="FFD00000"/>
          <x14:sparklines>
            <x14:sparkline>
              <xm:f>'Positive Report'!P4:P8</xm:f>
              <xm:sqref>P9</xm:sqref>
            </x14:sparkline>
          </x14:sparklines>
        </x14:sparklineGroup>
        <x14:sparklineGroup displayEmptyCellsAs="gap" high="1" low="1" negative="1" xr2:uid="{F43834DC-9EF4-4F6C-8405-BED35304D2CD}">
          <x14:colorSeries rgb="FF376092"/>
          <x14:colorNegative rgb="FFD00000"/>
          <x14:colorAxis rgb="FF000000"/>
          <x14:colorMarkers rgb="FFD00000"/>
          <x14:colorFirst rgb="FFD00000"/>
          <x14:colorLast rgb="FFD00000"/>
          <x14:colorHigh rgb="FFD00000"/>
          <x14:colorLow rgb="FFD00000"/>
          <x14:sparklines>
            <x14:sparkline>
              <xm:f>'Positive Report'!P13:P17</xm:f>
              <xm:sqref>P18</xm:sqref>
            </x14:sparkline>
          </x14:sparklines>
        </x14:sparklineGroup>
        <x14:sparklineGroup displayEmptyCellsAs="gap" high="1" low="1" negative="1" xr2:uid="{5F6FC2DD-44EB-49A4-81F1-C7D88CC0162E}">
          <x14:colorSeries rgb="FF376092"/>
          <x14:colorNegative rgb="FFD00000"/>
          <x14:colorAxis rgb="FF000000"/>
          <x14:colorMarkers rgb="FFD00000"/>
          <x14:colorFirst rgb="FFD00000"/>
          <x14:colorLast rgb="FFD00000"/>
          <x14:colorHigh rgb="FFD00000"/>
          <x14:colorLow rgb="FFD00000"/>
          <x14:sparklines>
            <x14:sparkline>
              <xm:f>'Positive Report'!O4:O8</xm:f>
              <xm:sqref>O9</xm:sqref>
            </x14:sparkline>
          </x14:sparklines>
        </x14:sparklineGroup>
        <x14:sparklineGroup displayEmptyCellsAs="gap" high="1" low="1" negative="1" xr2:uid="{F7E3A8DA-E76B-42E2-9FB2-0BF14F86B0DC}">
          <x14:colorSeries rgb="FF376092"/>
          <x14:colorNegative rgb="FFD00000"/>
          <x14:colorAxis rgb="FF000000"/>
          <x14:colorMarkers rgb="FFD00000"/>
          <x14:colorFirst rgb="FFD00000"/>
          <x14:colorLast rgb="FFD00000"/>
          <x14:colorHigh rgb="FFD00000"/>
          <x14:colorLow rgb="FFD00000"/>
          <x14:sparklines>
            <x14:sparkline>
              <xm:f>'Positive Report'!N4:N8</xm:f>
              <xm:sqref>N9</xm:sqref>
            </x14:sparkline>
          </x14:sparklines>
        </x14:sparklineGroup>
        <x14:sparklineGroup displayEmptyCellsAs="gap" high="1" low="1" negative="1" xr2:uid="{E56CDD9F-EAC4-45FA-8FDF-973C5D8F3188}">
          <x14:colorSeries rgb="FF376092"/>
          <x14:colorNegative rgb="FFD00000"/>
          <x14:colorAxis rgb="FF000000"/>
          <x14:colorMarkers rgb="FFD00000"/>
          <x14:colorFirst rgb="FFD00000"/>
          <x14:colorLast rgb="FFD00000"/>
          <x14:colorHigh rgb="FFD00000"/>
          <x14:colorLow rgb="FFD00000"/>
          <x14:sparklines>
            <x14:sparkline>
              <xm:f>'Positive Report'!O13:O17</xm:f>
              <xm:sqref>O18</xm:sqref>
            </x14:sparkline>
          </x14:sparklines>
        </x14:sparklineGroup>
        <x14:sparklineGroup displayEmptyCellsAs="gap" high="1" low="1" negative="1" xr2:uid="{6808C44E-5D6B-4EAE-9FCA-719E510AE822}">
          <x14:colorSeries rgb="FF376092"/>
          <x14:colorNegative rgb="FFD00000"/>
          <x14:colorAxis rgb="FF000000"/>
          <x14:colorMarkers rgb="FFD00000"/>
          <x14:colorFirst rgb="FFD00000"/>
          <x14:colorLast rgb="FFD00000"/>
          <x14:colorHigh rgb="FFD00000"/>
          <x14:colorLow rgb="FFD00000"/>
          <x14:sparklines>
            <x14:sparkline>
              <xm:f>'Positive Report'!N13:N17</xm:f>
              <xm:sqref>N18</xm:sqref>
            </x14:sparkline>
          </x14:sparklines>
        </x14:sparklineGroup>
        <x14:sparklineGroup displayEmptyCellsAs="gap" high="1" low="1" xr2:uid="{E19757E6-7207-4439-8598-6A3F7FE00D1A}">
          <x14:colorSeries rgb="FF376092"/>
          <x14:colorNegative rgb="FFD00000"/>
          <x14:colorAxis rgb="FF000000"/>
          <x14:colorMarkers rgb="FFD00000"/>
          <x14:colorFirst rgb="FFD00000"/>
          <x14:colorLast rgb="FFD00000"/>
          <x14:colorHigh rgb="FFD00000"/>
          <x14:colorLow rgb="FFD00000"/>
          <x14:sparklines>
            <x14:sparkline>
              <xm:f>'Positive Report'!B4:M4</xm:f>
              <xm:sqref>S4</xm:sqref>
            </x14:sparkline>
            <x14:sparkline>
              <xm:f>'Positive Report'!B5:M5</xm:f>
              <xm:sqref>S5</xm:sqref>
            </x14:sparkline>
            <x14:sparkline>
              <xm:f>'Positive Report'!B6:M6</xm:f>
              <xm:sqref>S6</xm:sqref>
            </x14:sparkline>
            <x14:sparkline>
              <xm:f>'Positive Report'!B7:M7</xm:f>
              <xm:sqref>S7</xm:sqref>
            </x14:sparkline>
            <x14:sparkline>
              <xm:f>'Positive Report'!B8:M8</xm:f>
              <xm:sqref>S8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5455E-5F60-5745-A982-DF4C43216C13}">
  <dimension ref="A1:T86"/>
  <sheetViews>
    <sheetView topLeftCell="I1" zoomScaleNormal="100" workbookViewId="0">
      <selection activeCell="T11" sqref="T11"/>
    </sheetView>
  </sheetViews>
  <sheetFormatPr defaultColWidth="8.875" defaultRowHeight="15.75" x14ac:dyDescent="0.25"/>
  <cols>
    <col min="1" max="1" width="43" customWidth="1"/>
    <col min="2" max="2" width="27.5" customWidth="1"/>
    <col min="3" max="3" width="14.125" bestFit="1" customWidth="1"/>
    <col min="4" max="4" width="23.875" customWidth="1"/>
    <col min="5" max="5" width="25.375" customWidth="1"/>
    <col min="6" max="7" width="14.125" bestFit="1" customWidth="1"/>
    <col min="8" max="8" width="24.125" customWidth="1"/>
    <col min="9" max="11" width="14.125" bestFit="1" customWidth="1"/>
    <col min="12" max="12" width="24.5" customWidth="1"/>
    <col min="13" max="13" width="14.125" bestFit="1" customWidth="1"/>
    <col min="14" max="14" width="19.625" customWidth="1"/>
    <col min="15" max="16" width="24.625" customWidth="1"/>
    <col min="17" max="17" width="14.5" customWidth="1"/>
    <col min="18" max="18" width="16.5" customWidth="1"/>
    <col min="19" max="19" width="22.125" customWidth="1"/>
  </cols>
  <sheetData>
    <row r="1" spans="1:20" x14ac:dyDescent="0.25">
      <c r="A1" s="19"/>
    </row>
    <row r="2" spans="1:20" ht="17.25" x14ac:dyDescent="0.3">
      <c r="A2" s="3"/>
      <c r="B2" s="3"/>
      <c r="C2" s="3"/>
      <c r="D2" s="3"/>
      <c r="E2" s="3"/>
      <c r="F2" s="3"/>
      <c r="G2" s="3"/>
      <c r="H2" s="3"/>
      <c r="I2" s="3"/>
      <c r="J2" s="3"/>
      <c r="K2" s="3"/>
      <c r="L2" s="3"/>
      <c r="N2" s="4"/>
      <c r="O2" s="4"/>
      <c r="P2" s="4"/>
      <c r="Q2" s="4"/>
      <c r="R2" s="4"/>
      <c r="S2" s="2"/>
      <c r="T2" s="2"/>
    </row>
    <row r="3" spans="1:20" ht="33" x14ac:dyDescent="0.3">
      <c r="A3" s="11" t="s">
        <v>80</v>
      </c>
      <c r="B3" s="58" t="s">
        <v>26</v>
      </c>
      <c r="C3" s="58" t="s">
        <v>38</v>
      </c>
      <c r="D3" s="58" t="s">
        <v>39</v>
      </c>
      <c r="E3" s="58" t="s">
        <v>40</v>
      </c>
      <c r="F3" s="58" t="s">
        <v>41</v>
      </c>
      <c r="G3" s="58" t="s">
        <v>42</v>
      </c>
      <c r="H3" s="58" t="s">
        <v>43</v>
      </c>
      <c r="I3" s="58" t="s">
        <v>44</v>
      </c>
      <c r="J3" s="58" t="s">
        <v>45</v>
      </c>
      <c r="K3" s="58" t="s">
        <v>46</v>
      </c>
      <c r="L3" s="58" t="s">
        <v>47</v>
      </c>
      <c r="M3" s="28" t="s">
        <v>48</v>
      </c>
      <c r="N3" s="37" t="s">
        <v>58</v>
      </c>
      <c r="O3" s="38" t="s">
        <v>59</v>
      </c>
      <c r="P3" s="38" t="s">
        <v>60</v>
      </c>
      <c r="Q3" s="38" t="s">
        <v>2</v>
      </c>
      <c r="R3" s="13" t="s">
        <v>53</v>
      </c>
      <c r="S3" s="2"/>
      <c r="T3" s="2"/>
    </row>
    <row r="4" spans="1:20" ht="17.25" x14ac:dyDescent="0.3">
      <c r="A4" s="8" t="s">
        <v>6</v>
      </c>
      <c r="B4" s="23">
        <v>316000</v>
      </c>
      <c r="C4" s="23">
        <v>333000</v>
      </c>
      <c r="D4" s="23">
        <v>340000</v>
      </c>
      <c r="E4" s="23">
        <v>361500</v>
      </c>
      <c r="F4" s="23">
        <v>362000</v>
      </c>
      <c r="G4" s="23">
        <v>340500</v>
      </c>
      <c r="H4" s="23">
        <v>375000</v>
      </c>
      <c r="I4" s="23">
        <v>412500</v>
      </c>
      <c r="J4" s="23">
        <v>439000</v>
      </c>
      <c r="K4" s="23">
        <v>480000</v>
      </c>
      <c r="L4" s="23">
        <v>510000</v>
      </c>
      <c r="M4" s="50">
        <v>585000</v>
      </c>
      <c r="N4" s="52">
        <f>(G4-B4)/B4*100</f>
        <v>7.7531645569620249</v>
      </c>
      <c r="O4" s="52">
        <f>(M4-H4)/H4*100</f>
        <v>56.000000000000007</v>
      </c>
      <c r="P4" s="52">
        <f>(M4-L4)/L4*100</f>
        <v>14.705882352941178</v>
      </c>
      <c r="Q4" s="53">
        <f>(1/12)*LN(M4/B4)</f>
        <v>5.1322469470412031E-2</v>
      </c>
      <c r="R4" s="39">
        <f>Q4*100</f>
        <v>5.1322469470412031</v>
      </c>
      <c r="S4" s="2"/>
      <c r="T4" s="2"/>
    </row>
    <row r="5" spans="1:20" ht="17.25" x14ac:dyDescent="0.3">
      <c r="A5" s="8" t="s">
        <v>7</v>
      </c>
      <c r="B5" s="23">
        <v>125000</v>
      </c>
      <c r="C5" s="23">
        <v>145000</v>
      </c>
      <c r="D5" s="23">
        <v>190000</v>
      </c>
      <c r="E5" s="23">
        <v>170000</v>
      </c>
      <c r="F5" s="23">
        <v>161000</v>
      </c>
      <c r="G5" s="23">
        <v>180000</v>
      </c>
      <c r="H5" s="23">
        <v>183500</v>
      </c>
      <c r="I5" s="23">
        <v>152000</v>
      </c>
      <c r="J5" s="23">
        <v>155000</v>
      </c>
      <c r="K5" s="23">
        <v>170000</v>
      </c>
      <c r="L5" s="23">
        <v>200000</v>
      </c>
      <c r="M5" s="51">
        <v>220000</v>
      </c>
      <c r="N5" s="52">
        <f>(G5-B5)/B5*100</f>
        <v>44</v>
      </c>
      <c r="O5" s="52">
        <f>(M5-H5)/H5*100</f>
        <v>19.891008174386922</v>
      </c>
      <c r="P5" s="52">
        <f>(M5-L5)/L5*100</f>
        <v>10</v>
      </c>
      <c r="Q5" s="53">
        <f>(1/12)*LN(M5/B5)</f>
        <v>4.7109484087505038E-2</v>
      </c>
      <c r="R5" s="39">
        <f>Q5*100</f>
        <v>4.7109484087505038</v>
      </c>
      <c r="S5" s="2"/>
      <c r="T5" s="2"/>
    </row>
    <row r="6" spans="1:20" ht="17.25" x14ac:dyDescent="0.3">
      <c r="A6" s="8" t="s">
        <v>11</v>
      </c>
      <c r="B6" s="30">
        <f t="shared" ref="B6:M6" si="0">B4-B5</f>
        <v>191000</v>
      </c>
      <c r="C6" s="30">
        <f t="shared" si="0"/>
        <v>188000</v>
      </c>
      <c r="D6" s="30">
        <f t="shared" si="0"/>
        <v>150000</v>
      </c>
      <c r="E6" s="30">
        <f t="shared" si="0"/>
        <v>191500</v>
      </c>
      <c r="F6" s="30">
        <f t="shared" si="0"/>
        <v>201000</v>
      </c>
      <c r="G6" s="30">
        <f t="shared" si="0"/>
        <v>160500</v>
      </c>
      <c r="H6" s="30">
        <f t="shared" si="0"/>
        <v>191500</v>
      </c>
      <c r="I6" s="30">
        <f t="shared" si="0"/>
        <v>260500</v>
      </c>
      <c r="J6" s="30">
        <f t="shared" si="0"/>
        <v>284000</v>
      </c>
      <c r="K6" s="30">
        <f t="shared" si="0"/>
        <v>310000</v>
      </c>
      <c r="L6" s="30">
        <f t="shared" si="0"/>
        <v>310000</v>
      </c>
      <c r="M6" s="30">
        <f t="shared" si="0"/>
        <v>365000</v>
      </c>
      <c r="N6" s="52">
        <f>(G6-B6)/B6*100</f>
        <v>-15.968586387434556</v>
      </c>
      <c r="O6" s="52">
        <f>(M6-H6)/H6*100</f>
        <v>90.600522193211489</v>
      </c>
      <c r="P6" s="52">
        <f>(M6-L6)/L6*100</f>
        <v>17.741935483870968</v>
      </c>
      <c r="Q6" s="53">
        <f>(1/12)*LN(M6/B6)</f>
        <v>5.3968660461321795E-2</v>
      </c>
      <c r="R6" s="39">
        <f>Q6*100</f>
        <v>5.3968660461321791</v>
      </c>
      <c r="S6" s="2"/>
      <c r="T6" s="2"/>
    </row>
    <row r="7" spans="1:20" ht="17.25" x14ac:dyDescent="0.3">
      <c r="A7" s="8" t="s">
        <v>52</v>
      </c>
      <c r="B7" s="30">
        <f>0.1*B4</f>
        <v>31600</v>
      </c>
      <c r="C7" s="30">
        <f t="shared" ref="C7:M7" si="1">0.1*C4</f>
        <v>33300</v>
      </c>
      <c r="D7" s="30">
        <f t="shared" si="1"/>
        <v>34000</v>
      </c>
      <c r="E7" s="30">
        <f t="shared" si="1"/>
        <v>36150</v>
      </c>
      <c r="F7" s="30">
        <f t="shared" si="1"/>
        <v>36200</v>
      </c>
      <c r="G7" s="30">
        <f t="shared" si="1"/>
        <v>34050</v>
      </c>
      <c r="H7" s="30">
        <f t="shared" si="1"/>
        <v>37500</v>
      </c>
      <c r="I7" s="30">
        <f t="shared" si="1"/>
        <v>41250</v>
      </c>
      <c r="J7" s="30">
        <f t="shared" si="1"/>
        <v>43900</v>
      </c>
      <c r="K7" s="30">
        <f t="shared" si="1"/>
        <v>48000</v>
      </c>
      <c r="L7" s="30">
        <f t="shared" si="1"/>
        <v>51000</v>
      </c>
      <c r="M7" s="30">
        <f t="shared" si="1"/>
        <v>58500</v>
      </c>
      <c r="N7" s="52">
        <f>(G7-B7)/B7*100</f>
        <v>7.7531645569620249</v>
      </c>
      <c r="O7" s="52">
        <f>(M7-H7)/H7*100</f>
        <v>56.000000000000007</v>
      </c>
      <c r="P7" s="52">
        <f>(M7-L7)/L7*100</f>
        <v>14.705882352941178</v>
      </c>
      <c r="Q7" s="53">
        <f>(1/12)*LN(M7/B7)</f>
        <v>5.1322469470412031E-2</v>
      </c>
      <c r="R7" s="39">
        <f>Q7*100</f>
        <v>5.1322469470412031</v>
      </c>
      <c r="S7" s="2"/>
      <c r="T7" s="2"/>
    </row>
    <row r="8" spans="1:20" ht="17.25" x14ac:dyDescent="0.3">
      <c r="A8" s="108" t="s">
        <v>23</v>
      </c>
      <c r="B8" s="109">
        <f>B4+B7</f>
        <v>347600</v>
      </c>
      <c r="C8" s="109">
        <f t="shared" ref="C8:M8" si="2">C4+C7</f>
        <v>366300</v>
      </c>
      <c r="D8" s="109">
        <f t="shared" si="2"/>
        <v>374000</v>
      </c>
      <c r="E8" s="109">
        <f t="shared" si="2"/>
        <v>397650</v>
      </c>
      <c r="F8" s="109">
        <f t="shared" si="2"/>
        <v>398200</v>
      </c>
      <c r="G8" s="109">
        <f t="shared" si="2"/>
        <v>374550</v>
      </c>
      <c r="H8" s="109">
        <f t="shared" si="2"/>
        <v>412500</v>
      </c>
      <c r="I8" s="109">
        <f t="shared" si="2"/>
        <v>453750</v>
      </c>
      <c r="J8" s="109">
        <f t="shared" si="2"/>
        <v>482900</v>
      </c>
      <c r="K8" s="109">
        <f t="shared" si="2"/>
        <v>528000</v>
      </c>
      <c r="L8" s="109">
        <f t="shared" si="2"/>
        <v>561000</v>
      </c>
      <c r="M8" s="109">
        <f t="shared" si="2"/>
        <v>643500</v>
      </c>
      <c r="N8" s="110">
        <f>(G8-B8)/B8*100</f>
        <v>7.7531645569620249</v>
      </c>
      <c r="O8" s="110">
        <f>(M8-H8)/H8*100</f>
        <v>56.000000000000007</v>
      </c>
      <c r="P8" s="110">
        <f>(M8-L8)/L8*100</f>
        <v>14.705882352941178</v>
      </c>
      <c r="Q8" s="111">
        <f>(1/12)*LN(M8/B8)</f>
        <v>5.1322469470412031E-2</v>
      </c>
      <c r="R8" s="112">
        <f>Q8*100</f>
        <v>5.1322469470412031</v>
      </c>
      <c r="S8" s="2"/>
      <c r="T8" s="2"/>
    </row>
    <row r="9" spans="1:20" ht="17.25" x14ac:dyDescent="0.3">
      <c r="A9" s="29"/>
      <c r="B9" s="30"/>
      <c r="C9" s="30"/>
      <c r="D9" s="30"/>
      <c r="E9" s="30"/>
      <c r="F9" s="30"/>
      <c r="G9" s="30"/>
      <c r="H9" s="30"/>
      <c r="I9" s="30"/>
      <c r="J9" s="30"/>
      <c r="K9" s="30"/>
      <c r="L9" s="30"/>
      <c r="M9" s="30"/>
      <c r="N9" s="31"/>
      <c r="O9" s="31"/>
      <c r="P9" s="31"/>
      <c r="Q9" s="99"/>
      <c r="R9" s="99"/>
      <c r="S9" s="2"/>
      <c r="T9" s="2"/>
    </row>
    <row r="10" spans="1:20" ht="17.25" x14ac:dyDescent="0.3">
      <c r="A10" s="29"/>
      <c r="B10" s="30"/>
      <c r="C10" s="30"/>
      <c r="D10" s="30"/>
      <c r="E10" s="30"/>
      <c r="F10" s="30"/>
      <c r="G10" s="30"/>
      <c r="H10" s="30"/>
      <c r="I10" s="30"/>
      <c r="J10" s="30"/>
      <c r="K10" s="30"/>
      <c r="L10" s="30"/>
      <c r="M10" s="30"/>
      <c r="N10" s="31"/>
      <c r="O10" s="32"/>
      <c r="P10" s="101" t="s">
        <v>78</v>
      </c>
      <c r="Q10" s="102">
        <f>GEOMEAN(Q4:Q8)</f>
        <v>5.0960599031463681E-2</v>
      </c>
      <c r="R10" s="103">
        <f>Q10*100</f>
        <v>5.0960599031463678</v>
      </c>
      <c r="S10" s="2"/>
      <c r="T10" s="2"/>
    </row>
    <row r="11" spans="1:20" ht="17.25" x14ac:dyDescent="0.3">
      <c r="A11" s="10"/>
      <c r="B11" s="9"/>
      <c r="C11" s="9"/>
      <c r="D11" s="9"/>
      <c r="E11" s="9"/>
      <c r="F11" s="9"/>
      <c r="G11" s="9"/>
      <c r="H11" s="9"/>
      <c r="I11" s="9"/>
      <c r="J11" s="9"/>
      <c r="K11" s="9"/>
      <c r="L11" s="9"/>
      <c r="M11" s="9"/>
      <c r="N11" s="5"/>
      <c r="O11" s="2"/>
      <c r="P11" s="2"/>
      <c r="Q11" s="2"/>
      <c r="R11" s="2"/>
      <c r="S11" s="2"/>
      <c r="T11" s="2"/>
    </row>
    <row r="12" spans="1:20" ht="17.25" x14ac:dyDescent="0.3">
      <c r="A12" s="12" t="s">
        <v>13</v>
      </c>
      <c r="B12" s="58" t="s">
        <v>25</v>
      </c>
      <c r="C12" s="58" t="s">
        <v>24</v>
      </c>
      <c r="D12" s="58" t="s">
        <v>27</v>
      </c>
      <c r="E12" s="58" t="s">
        <v>28</v>
      </c>
      <c r="F12" s="58" t="s">
        <v>29</v>
      </c>
      <c r="G12" s="58" t="s">
        <v>30</v>
      </c>
      <c r="H12" s="58" t="s">
        <v>31</v>
      </c>
      <c r="I12" s="58" t="s">
        <v>32</v>
      </c>
      <c r="J12" s="58" t="s">
        <v>33</v>
      </c>
      <c r="K12" s="58" t="s">
        <v>34</v>
      </c>
      <c r="L12" s="58" t="s">
        <v>35</v>
      </c>
      <c r="M12" s="28" t="s">
        <v>36</v>
      </c>
      <c r="N12" s="22" t="s">
        <v>54</v>
      </c>
      <c r="O12" s="11" t="s">
        <v>55</v>
      </c>
      <c r="P12" s="47" t="s">
        <v>57</v>
      </c>
      <c r="Q12" s="11" t="s">
        <v>2</v>
      </c>
      <c r="R12" s="6" t="s">
        <v>53</v>
      </c>
      <c r="S12" s="2"/>
      <c r="T12" s="2"/>
    </row>
    <row r="13" spans="1:20" ht="17.25" x14ac:dyDescent="0.3">
      <c r="A13" s="33" t="s">
        <v>8</v>
      </c>
      <c r="B13" s="26">
        <f t="shared" ref="B13:M13" si="3">$M23*B4/B23</f>
        <v>419412.01716738194</v>
      </c>
      <c r="C13" s="26">
        <f t="shared" si="3"/>
        <v>420327.55102040817</v>
      </c>
      <c r="D13" s="26">
        <f t="shared" si="3"/>
        <v>418904.38247011951</v>
      </c>
      <c r="E13" s="26">
        <f t="shared" si="3"/>
        <v>423061.02175969724</v>
      </c>
      <c r="F13" s="26">
        <f t="shared" si="3"/>
        <v>407455.86897179252</v>
      </c>
      <c r="G13" s="26">
        <f t="shared" si="3"/>
        <v>376406.16621983913</v>
      </c>
      <c r="H13" s="26">
        <f t="shared" si="3"/>
        <v>405131.00436681224</v>
      </c>
      <c r="I13" s="26">
        <f t="shared" si="3"/>
        <v>429875.73715248524</v>
      </c>
      <c r="J13" s="26">
        <f t="shared" si="3"/>
        <v>438291.36400322837</v>
      </c>
      <c r="K13" s="26">
        <f t="shared" si="3"/>
        <v>478838.70967741933</v>
      </c>
      <c r="L13" s="26">
        <f t="shared" si="3"/>
        <v>503086.12440191384</v>
      </c>
      <c r="M13" s="27">
        <f t="shared" si="3"/>
        <v>585000</v>
      </c>
      <c r="N13" s="48">
        <f>(G13-B13)/B13*100</f>
        <v>-10.253843282315806</v>
      </c>
      <c r="O13" s="49">
        <f>(M13-H13)/H13*100</f>
        <v>44.39773645917542</v>
      </c>
      <c r="P13" s="48">
        <f>(M13-L13)/L13*100</f>
        <v>16.282276855770611</v>
      </c>
      <c r="Q13" s="43">
        <f>(1/12)*LN(M13/B13)</f>
        <v>2.7729839661503983E-2</v>
      </c>
      <c r="R13" s="44">
        <f>Q13*100</f>
        <v>2.7729839661503983</v>
      </c>
    </row>
    <row r="14" spans="1:20" ht="17.25" x14ac:dyDescent="0.3">
      <c r="A14" s="8" t="s">
        <v>10</v>
      </c>
      <c r="B14" s="26">
        <f t="shared" ref="B14:M14" si="4">$M23*B5/B23</f>
        <v>165906.65236051503</v>
      </c>
      <c r="C14" s="26">
        <f t="shared" si="4"/>
        <v>183025.51020408163</v>
      </c>
      <c r="D14" s="26">
        <f t="shared" si="4"/>
        <v>234093.62549800795</v>
      </c>
      <c r="E14" s="26">
        <f t="shared" si="4"/>
        <v>198949.85808893092</v>
      </c>
      <c r="F14" s="26">
        <f t="shared" si="4"/>
        <v>181216.56050955414</v>
      </c>
      <c r="G14" s="26">
        <f t="shared" si="4"/>
        <v>198981.23324396781</v>
      </c>
      <c r="H14" s="26">
        <f t="shared" si="4"/>
        <v>198244.10480349345</v>
      </c>
      <c r="I14" s="26">
        <f t="shared" si="4"/>
        <v>158402.69587194608</v>
      </c>
      <c r="J14" s="26">
        <f t="shared" si="4"/>
        <v>154749.79822437448</v>
      </c>
      <c r="K14" s="26">
        <f t="shared" si="4"/>
        <v>169588.70967741936</v>
      </c>
      <c r="L14" s="26">
        <f t="shared" si="4"/>
        <v>197288.67623604464</v>
      </c>
      <c r="M14" s="27">
        <f t="shared" si="4"/>
        <v>220000</v>
      </c>
      <c r="N14" s="48">
        <f>(G14-B14)/B14*100</f>
        <v>19.935656836461114</v>
      </c>
      <c r="O14" s="49">
        <f>(M14-H14)/H14*100</f>
        <v>10.974296167884418</v>
      </c>
      <c r="P14" s="48">
        <f>(M14-L14)/L14*100</f>
        <v>11.511721907841558</v>
      </c>
      <c r="Q14" s="43">
        <f>(1/12)*LN(M14/B14)</f>
        <v>2.3516854278596976E-2</v>
      </c>
      <c r="R14" s="40">
        <f>Q14*100</f>
        <v>2.3516854278596977</v>
      </c>
    </row>
    <row r="15" spans="1:20" ht="17.25" x14ac:dyDescent="0.3">
      <c r="A15" s="8" t="s">
        <v>11</v>
      </c>
      <c r="B15" s="26">
        <f>B13-B14</f>
        <v>253505.36480686691</v>
      </c>
      <c r="C15" s="26">
        <f>C13-C14</f>
        <v>237302.04081632654</v>
      </c>
      <c r="D15" s="26">
        <f t="shared" ref="D15:M15" si="5">D13-D14</f>
        <v>184810.75697211156</v>
      </c>
      <c r="E15" s="26">
        <f t="shared" si="5"/>
        <v>224111.16367076631</v>
      </c>
      <c r="F15" s="26">
        <f t="shared" si="5"/>
        <v>226239.30846223838</v>
      </c>
      <c r="G15" s="26">
        <f t="shared" si="5"/>
        <v>177424.93297587131</v>
      </c>
      <c r="H15" s="26">
        <f t="shared" si="5"/>
        <v>206886.89956331879</v>
      </c>
      <c r="I15" s="26">
        <f t="shared" si="5"/>
        <v>271473.04128053912</v>
      </c>
      <c r="J15" s="26">
        <f t="shared" si="5"/>
        <v>283541.5657788539</v>
      </c>
      <c r="K15" s="26">
        <f t="shared" si="5"/>
        <v>309250</v>
      </c>
      <c r="L15" s="26">
        <f t="shared" si="5"/>
        <v>305797.44816586922</v>
      </c>
      <c r="M15" s="27">
        <f t="shared" si="5"/>
        <v>365000</v>
      </c>
      <c r="N15" s="48">
        <f>(G15-B15)/B15*100</f>
        <v>-30.011369538059867</v>
      </c>
      <c r="O15" s="49">
        <f>(M15-H15)/H15*100</f>
        <v>76.424897260490823</v>
      </c>
      <c r="P15" s="48">
        <f>(M15-L15)/L15*100</f>
        <v>19.360054241531277</v>
      </c>
      <c r="Q15" s="45">
        <f>(1/12)*LN(M15/B15)</f>
        <v>3.037603065241376E-2</v>
      </c>
      <c r="R15" s="40">
        <f>Q15*100</f>
        <v>3.0376030652413761</v>
      </c>
    </row>
    <row r="16" spans="1:20" ht="17.25" x14ac:dyDescent="0.3">
      <c r="A16" s="34" t="s">
        <v>56</v>
      </c>
      <c r="B16" s="36">
        <f>0.1*B13</f>
        <v>41941.2017167382</v>
      </c>
      <c r="C16" s="36">
        <f>0.1*C13</f>
        <v>42032.755102040821</v>
      </c>
      <c r="D16" s="36">
        <f t="shared" ref="D16:M16" si="6">0.1*D13</f>
        <v>41890.438247011953</v>
      </c>
      <c r="E16" s="36">
        <f t="shared" si="6"/>
        <v>42306.102175969725</v>
      </c>
      <c r="F16" s="36">
        <f t="shared" si="6"/>
        <v>40745.586897179252</v>
      </c>
      <c r="G16" s="36">
        <f t="shared" si="6"/>
        <v>37640.616621983914</v>
      </c>
      <c r="H16" s="36">
        <f t="shared" si="6"/>
        <v>40513.100436681227</v>
      </c>
      <c r="I16" s="36">
        <f t="shared" si="6"/>
        <v>42987.573715248524</v>
      </c>
      <c r="J16" s="36">
        <f t="shared" si="6"/>
        <v>43829.136400322837</v>
      </c>
      <c r="K16" s="36">
        <f t="shared" si="6"/>
        <v>47883.870967741939</v>
      </c>
      <c r="L16" s="36">
        <f t="shared" si="6"/>
        <v>50308.612440191384</v>
      </c>
      <c r="M16" s="36">
        <f t="shared" si="6"/>
        <v>58500</v>
      </c>
      <c r="N16" s="48">
        <f>(G16-B16)/B16*100</f>
        <v>-10.253843282315817</v>
      </c>
      <c r="O16" s="49">
        <f>(M16-H16)/H16*100</f>
        <v>44.397736459175405</v>
      </c>
      <c r="P16" s="48">
        <f>(M16-L16)/L16*100</f>
        <v>16.282276855770611</v>
      </c>
      <c r="Q16" s="45">
        <f>(1/12)*LN(M16/B16)</f>
        <v>2.7729839661503969E-2</v>
      </c>
      <c r="R16" s="40">
        <f>Q16*100</f>
        <v>2.772983966150397</v>
      </c>
    </row>
    <row r="17" spans="1:18" ht="17.25" x14ac:dyDescent="0.3">
      <c r="A17" s="121" t="s">
        <v>23</v>
      </c>
      <c r="B17" s="122">
        <f>B13+B16</f>
        <v>461353.21888412011</v>
      </c>
      <c r="C17" s="122">
        <f>C13+C16</f>
        <v>462360.30612244899</v>
      </c>
      <c r="D17" s="122">
        <f t="shared" ref="D17:M17" si="7">D13+D16</f>
        <v>460794.82071713149</v>
      </c>
      <c r="E17" s="122">
        <f t="shared" si="7"/>
        <v>465367.12393566698</v>
      </c>
      <c r="F17" s="122">
        <f t="shared" si="7"/>
        <v>448201.45586897177</v>
      </c>
      <c r="G17" s="122">
        <f t="shared" si="7"/>
        <v>414046.78284182306</v>
      </c>
      <c r="H17" s="122">
        <f t="shared" si="7"/>
        <v>445644.10480349348</v>
      </c>
      <c r="I17" s="122">
        <f t="shared" si="7"/>
        <v>472863.31086773379</v>
      </c>
      <c r="J17" s="122">
        <f t="shared" si="7"/>
        <v>482120.50040355121</v>
      </c>
      <c r="K17" s="122">
        <f t="shared" si="7"/>
        <v>526722.58064516122</v>
      </c>
      <c r="L17" s="122">
        <f t="shared" si="7"/>
        <v>553394.73684210517</v>
      </c>
      <c r="M17" s="122">
        <f t="shared" si="7"/>
        <v>643500</v>
      </c>
      <c r="N17" s="139">
        <f>(G17-B17)/B17*100</f>
        <v>-10.253843282315799</v>
      </c>
      <c r="O17" s="140">
        <f>(M17-H17)/H17*100</f>
        <v>44.397736459175412</v>
      </c>
      <c r="P17" s="139">
        <f>(M17-L17)/L17*100</f>
        <v>16.282276855770622</v>
      </c>
      <c r="Q17" s="141">
        <f>(1/12)*LN(M17/B17)</f>
        <v>2.7729839661503983E-2</v>
      </c>
      <c r="R17" s="123">
        <f>Q17*100</f>
        <v>2.7729839661503983</v>
      </c>
    </row>
    <row r="18" spans="1:18" x14ac:dyDescent="0.25">
      <c r="B18" s="46"/>
    </row>
    <row r="19" spans="1:18" ht="17.25" x14ac:dyDescent="0.25">
      <c r="O19" s="18"/>
      <c r="P19" s="100" t="s">
        <v>79</v>
      </c>
      <c r="Q19" s="104">
        <f>GEOMEAN(Q13:Q17)</f>
        <v>2.7324389356371725E-2</v>
      </c>
      <c r="R19" s="105">
        <f>Q19*100</f>
        <v>2.7324389356371723</v>
      </c>
    </row>
    <row r="23" spans="1:18" ht="17.25" x14ac:dyDescent="0.3">
      <c r="A23" s="6" t="s">
        <v>9</v>
      </c>
      <c r="B23" s="7">
        <v>93.2</v>
      </c>
      <c r="C23" s="7">
        <v>98</v>
      </c>
      <c r="D23" s="7">
        <v>100.4</v>
      </c>
      <c r="E23" s="7">
        <v>105.7</v>
      </c>
      <c r="F23" s="7">
        <v>109.9</v>
      </c>
      <c r="G23" s="7">
        <v>111.9</v>
      </c>
      <c r="H23" s="7">
        <v>114.5</v>
      </c>
      <c r="I23" s="7">
        <v>118.7</v>
      </c>
      <c r="J23" s="7">
        <v>123.9</v>
      </c>
      <c r="K23" s="7">
        <v>124</v>
      </c>
      <c r="L23" s="7">
        <v>125.4</v>
      </c>
      <c r="M23" s="7">
        <v>123.7</v>
      </c>
    </row>
    <row r="60" spans="1:14" x14ac:dyDescent="0.25">
      <c r="A60" s="12" t="s">
        <v>74</v>
      </c>
      <c r="B60" s="98" t="s">
        <v>61</v>
      </c>
      <c r="C60" s="12" t="s">
        <v>75</v>
      </c>
      <c r="D60" s="64" t="s">
        <v>77</v>
      </c>
      <c r="E60" s="85" t="s">
        <v>7</v>
      </c>
      <c r="F60" s="85" t="s">
        <v>75</v>
      </c>
      <c r="G60" s="21"/>
      <c r="H60" s="89" t="s">
        <v>76</v>
      </c>
      <c r="I60" s="81"/>
      <c r="J60" s="7" t="s">
        <v>75</v>
      </c>
      <c r="K60" s="55"/>
      <c r="L60" s="7" t="s">
        <v>77</v>
      </c>
      <c r="M60" s="12" t="s">
        <v>21</v>
      </c>
      <c r="N60" s="12" t="s">
        <v>75</v>
      </c>
    </row>
    <row r="61" spans="1:14" ht="18.75" x14ac:dyDescent="0.3">
      <c r="A61" s="65">
        <v>1</v>
      </c>
      <c r="B61" s="68">
        <f>B13</f>
        <v>419412.01716738194</v>
      </c>
      <c r="C61" s="106">
        <f>STANDARDIZE(B61,442149.16,55942.56)</f>
        <v>-0.4064372962663495</v>
      </c>
      <c r="D61" s="75">
        <v>1</v>
      </c>
      <c r="E61" s="68">
        <f>B14</f>
        <v>165906.65236051503</v>
      </c>
      <c r="F61" s="106">
        <f>STANDARDIZE(E61,188370.62,24230.17)</f>
        <v>-0.92710730628323978</v>
      </c>
      <c r="G61" s="56"/>
      <c r="H61" s="60">
        <v>1</v>
      </c>
      <c r="I61" s="78">
        <f>B15</f>
        <v>253505.36480686691</v>
      </c>
      <c r="J61" s="107">
        <f>STANDARDIZE(I61,253778.54,55634.82)</f>
        <v>-4.9101478738152581E-3</v>
      </c>
      <c r="K61" s="56"/>
      <c r="L61" s="76">
        <v>1</v>
      </c>
      <c r="M61" s="79">
        <f>B16</f>
        <v>41941.2017167382</v>
      </c>
      <c r="N61" s="106">
        <f>STANDARDIZE(M61,44214.92,5594.26)</f>
        <v>-0.406437720674727</v>
      </c>
    </row>
    <row r="62" spans="1:14" ht="18.75" x14ac:dyDescent="0.3">
      <c r="A62" s="66">
        <v>2</v>
      </c>
      <c r="B62" s="69">
        <f>C13</f>
        <v>420327.55102040817</v>
      </c>
      <c r="C62" s="106">
        <f>STANDARDIZE(B62,442149.16,55942.56)</f>
        <v>-0.39007169102722167</v>
      </c>
      <c r="D62" s="76">
        <v>2</v>
      </c>
      <c r="E62" s="69">
        <f>C14</f>
        <v>183025.51020408163</v>
      </c>
      <c r="F62" s="106">
        <f t="shared" ref="F62:F72" si="8">STANDARDIZE(E62,188370.62,24230.17)</f>
        <v>-0.22059728825337868</v>
      </c>
      <c r="G62" s="61"/>
      <c r="H62" s="60">
        <v>2</v>
      </c>
      <c r="I62" s="79">
        <f>C15</f>
        <v>237302.04081632654</v>
      </c>
      <c r="J62" s="74">
        <f t="shared" ref="J62:J72" si="9">STANDARDIZE(I62,253778.54,55634.82)</f>
        <v>-0.296154443991613</v>
      </c>
      <c r="K62" s="61"/>
      <c r="L62" s="76">
        <v>2</v>
      </c>
      <c r="M62" s="79">
        <f>C16</f>
        <v>42032.755102040821</v>
      </c>
      <c r="N62" s="106">
        <f t="shared" ref="N62:N72" si="10">STANDARDIZE(M62,44214.92,5594.26)</f>
        <v>-0.39007212713731165</v>
      </c>
    </row>
    <row r="63" spans="1:14" ht="18.75" x14ac:dyDescent="0.3">
      <c r="A63" s="66">
        <v>3</v>
      </c>
      <c r="B63" s="69">
        <f>D13</f>
        <v>418904.38247011951</v>
      </c>
      <c r="C63" s="106">
        <f t="shared" ref="C63:C72" si="11">STANDARDIZE(B63,442149.16,55942.56)</f>
        <v>-0.4155115091243673</v>
      </c>
      <c r="D63" s="76">
        <v>3</v>
      </c>
      <c r="E63" s="69">
        <f>D14</f>
        <v>234093.62549800795</v>
      </c>
      <c r="F63" s="106">
        <f t="shared" si="8"/>
        <v>1.8870278457810226</v>
      </c>
      <c r="G63" s="61"/>
      <c r="H63" s="60">
        <v>3</v>
      </c>
      <c r="I63" s="79">
        <f>D15</f>
        <v>184810.75697211156</v>
      </c>
      <c r="J63" s="74">
        <f t="shared" si="9"/>
        <v>-1.2396514094570352</v>
      </c>
      <c r="K63" s="61"/>
      <c r="L63" s="76">
        <v>3</v>
      </c>
      <c r="M63" s="79">
        <f>D16</f>
        <v>41890.438247011953</v>
      </c>
      <c r="N63" s="106">
        <f t="shared" si="10"/>
        <v>-0.41551192704451445</v>
      </c>
    </row>
    <row r="64" spans="1:14" ht="18.75" x14ac:dyDescent="0.3">
      <c r="A64" s="66">
        <v>4</v>
      </c>
      <c r="B64" s="69">
        <f>E13</f>
        <v>423061.02175969724</v>
      </c>
      <c r="C64" s="106">
        <f t="shared" si="11"/>
        <v>-0.34120959498998149</v>
      </c>
      <c r="D64" s="76">
        <v>4</v>
      </c>
      <c r="E64" s="69">
        <f>E14</f>
        <v>198949.85808893092</v>
      </c>
      <c r="F64" s="106">
        <f t="shared" si="8"/>
        <v>0.4366142742263438</v>
      </c>
      <c r="G64" s="61"/>
      <c r="H64" s="60">
        <v>4</v>
      </c>
      <c r="I64" s="79">
        <f>E15</f>
        <v>224111.16367076631</v>
      </c>
      <c r="J64" s="74">
        <f t="shared" si="9"/>
        <v>-0.53325195137206693</v>
      </c>
      <c r="K64" s="61"/>
      <c r="L64" s="76">
        <v>4</v>
      </c>
      <c r="M64" s="79">
        <f>E16</f>
        <v>42306.102175969725</v>
      </c>
      <c r="N64" s="106">
        <f t="shared" si="10"/>
        <v>-0.34121006603737997</v>
      </c>
    </row>
    <row r="65" spans="1:14" ht="18.75" x14ac:dyDescent="0.3">
      <c r="A65" s="66">
        <v>5</v>
      </c>
      <c r="B65" s="69">
        <f>F13</f>
        <v>407455.86897179252</v>
      </c>
      <c r="C65" s="106">
        <f t="shared" si="11"/>
        <v>-0.62015916018515171</v>
      </c>
      <c r="D65" s="76">
        <v>5</v>
      </c>
      <c r="E65" s="69">
        <f>F14</f>
        <v>181216.56050955414</v>
      </c>
      <c r="F65" s="106">
        <f t="shared" si="8"/>
        <v>-0.29525420128896562</v>
      </c>
      <c r="G65" s="61"/>
      <c r="H65" s="60">
        <v>5</v>
      </c>
      <c r="I65" s="79">
        <f>F15</f>
        <v>226239.30846223838</v>
      </c>
      <c r="J65" s="74">
        <f t="shared" si="9"/>
        <v>-0.49499992159157941</v>
      </c>
      <c r="K65" s="61"/>
      <c r="L65" s="76">
        <v>5</v>
      </c>
      <c r="M65" s="79">
        <f>F16</f>
        <v>40745.586897179252</v>
      </c>
      <c r="N65" s="106">
        <f t="shared" si="10"/>
        <v>-0.62015943177842048</v>
      </c>
    </row>
    <row r="66" spans="1:14" ht="18.75" x14ac:dyDescent="0.3">
      <c r="A66" s="66">
        <v>6</v>
      </c>
      <c r="B66" s="69">
        <f>G13</f>
        <v>376406.16621983913</v>
      </c>
      <c r="C66" s="106">
        <f t="shared" si="11"/>
        <v>-1.1751874383324763</v>
      </c>
      <c r="D66" s="76">
        <v>6</v>
      </c>
      <c r="E66" s="69">
        <f>G14</f>
        <v>198981.23324396781</v>
      </c>
      <c r="F66" s="106">
        <f t="shared" si="8"/>
        <v>0.43790915391711321</v>
      </c>
      <c r="G66" s="61"/>
      <c r="H66" s="60">
        <v>6</v>
      </c>
      <c r="I66" s="79">
        <f>G15</f>
        <v>177424.93297587131</v>
      </c>
      <c r="J66" s="74">
        <f t="shared" si="9"/>
        <v>-1.3724068312637427</v>
      </c>
      <c r="K66" s="61"/>
      <c r="L66" s="76">
        <v>6</v>
      </c>
      <c r="M66" s="79">
        <f>G16</f>
        <v>37640.616621983914</v>
      </c>
      <c r="N66" s="106">
        <f t="shared" si="10"/>
        <v>-1.1751873130701975</v>
      </c>
    </row>
    <row r="67" spans="1:14" ht="18.75" x14ac:dyDescent="0.3">
      <c r="A67" s="66">
        <v>7</v>
      </c>
      <c r="B67" s="69">
        <f>H13</f>
        <v>405131.00436681224</v>
      </c>
      <c r="C67" s="106">
        <f t="shared" si="11"/>
        <v>-0.66171722626186102</v>
      </c>
      <c r="D67" s="76">
        <v>7</v>
      </c>
      <c r="E67" s="69">
        <f>H14</f>
        <v>198244.10480349345</v>
      </c>
      <c r="F67" s="106">
        <f t="shared" si="8"/>
        <v>0.40748722784418995</v>
      </c>
      <c r="G67" s="61"/>
      <c r="H67" s="60">
        <v>7</v>
      </c>
      <c r="I67" s="79">
        <f>H15</f>
        <v>206886.89956331879</v>
      </c>
      <c r="J67" s="74">
        <f t="shared" si="9"/>
        <v>-0.84284698749238729</v>
      </c>
      <c r="K67" s="61"/>
      <c r="L67" s="76">
        <v>7</v>
      </c>
      <c r="M67" s="79">
        <f>H16</f>
        <v>40513.100436681227</v>
      </c>
      <c r="N67" s="106">
        <f t="shared" si="10"/>
        <v>-0.66171746814033872</v>
      </c>
    </row>
    <row r="68" spans="1:14" ht="18.75" x14ac:dyDescent="0.3">
      <c r="A68" s="66">
        <v>8</v>
      </c>
      <c r="B68" s="69">
        <f>I13</f>
        <v>429875.73715248524</v>
      </c>
      <c r="C68" s="106">
        <f t="shared" si="11"/>
        <v>-0.21939329997616733</v>
      </c>
      <c r="D68" s="76">
        <v>8</v>
      </c>
      <c r="E68" s="69">
        <f>I14</f>
        <v>158402.69587194608</v>
      </c>
      <c r="F68" s="106">
        <f t="shared" si="8"/>
        <v>-1.23680205826265</v>
      </c>
      <c r="G68" s="61"/>
      <c r="H68" s="60">
        <v>8</v>
      </c>
      <c r="I68" s="79">
        <f>I15</f>
        <v>271473.04128053912</v>
      </c>
      <c r="J68" s="74">
        <f t="shared" si="9"/>
        <v>0.31804724596105671</v>
      </c>
      <c r="K68" s="61"/>
      <c r="L68" s="76">
        <v>8</v>
      </c>
      <c r="M68" s="79">
        <f>I16</f>
        <v>42987.573715248524</v>
      </c>
      <c r="N68" s="106">
        <f t="shared" si="10"/>
        <v>-0.21939385812448378</v>
      </c>
    </row>
    <row r="69" spans="1:14" ht="18.75" x14ac:dyDescent="0.3">
      <c r="A69" s="66">
        <v>9</v>
      </c>
      <c r="B69" s="69">
        <f>J13</f>
        <v>438291.36400322837</v>
      </c>
      <c r="C69" s="106">
        <f t="shared" si="11"/>
        <v>-6.8959947431286694E-2</v>
      </c>
      <c r="D69" s="76">
        <v>9</v>
      </c>
      <c r="E69" s="69">
        <f>J14</f>
        <v>154749.79822437448</v>
      </c>
      <c r="F69" s="106">
        <f t="shared" si="8"/>
        <v>-1.3875602926279724</v>
      </c>
      <c r="G69" s="61"/>
      <c r="H69" s="60">
        <v>9</v>
      </c>
      <c r="I69" s="79">
        <f>J15</f>
        <v>283541.5657788539</v>
      </c>
      <c r="J69" s="74">
        <f t="shared" si="9"/>
        <v>0.534971188526428</v>
      </c>
      <c r="K69" s="61"/>
      <c r="L69" s="76">
        <v>9</v>
      </c>
      <c r="M69" s="79">
        <f>J16</f>
        <v>43829.136400322837</v>
      </c>
      <c r="N69" s="106">
        <f t="shared" si="10"/>
        <v>-6.8960613142249549E-2</v>
      </c>
    </row>
    <row r="70" spans="1:14" ht="18.75" x14ac:dyDescent="0.3">
      <c r="A70" s="66">
        <v>10</v>
      </c>
      <c r="B70" s="69">
        <f>K13</f>
        <v>478838.70967741933</v>
      </c>
      <c r="C70" s="106">
        <f t="shared" si="11"/>
        <v>0.655843237732048</v>
      </c>
      <c r="D70" s="76">
        <v>10</v>
      </c>
      <c r="E70" s="69">
        <f>K14</f>
        <v>169588.70967741936</v>
      </c>
      <c r="F70" s="106">
        <f t="shared" si="8"/>
        <v>-0.77514562723169644</v>
      </c>
      <c r="G70" s="61"/>
      <c r="H70" s="60">
        <v>10</v>
      </c>
      <c r="I70" s="79">
        <f>K15</f>
        <v>309250</v>
      </c>
      <c r="J70" s="74">
        <f t="shared" si="9"/>
        <v>0.99706370938200195</v>
      </c>
      <c r="K70" s="61"/>
      <c r="L70" s="76">
        <v>10</v>
      </c>
      <c r="M70" s="79">
        <f>K16</f>
        <v>47883.870967741939</v>
      </c>
      <c r="N70" s="106">
        <f t="shared" si="10"/>
        <v>0.65584205377332139</v>
      </c>
    </row>
    <row r="71" spans="1:14" ht="18.75" x14ac:dyDescent="0.3">
      <c r="A71" s="66">
        <v>11</v>
      </c>
      <c r="B71" s="69">
        <f>L13</f>
        <v>503086.12440191384</v>
      </c>
      <c r="C71" s="106">
        <f t="shared" si="11"/>
        <v>1.0892773659609762</v>
      </c>
      <c r="D71" s="76">
        <v>11</v>
      </c>
      <c r="E71" s="69">
        <f>L14</f>
        <v>197288.67623604464</v>
      </c>
      <c r="F71" s="106">
        <f t="shared" si="8"/>
        <v>0.36805586737710261</v>
      </c>
      <c r="G71" s="61"/>
      <c r="H71" s="60">
        <v>11</v>
      </c>
      <c r="I71" s="79">
        <f>L15</f>
        <v>305797.44816586922</v>
      </c>
      <c r="J71" s="74">
        <f t="shared" si="9"/>
        <v>0.9350063173722718</v>
      </c>
      <c r="K71" s="61"/>
      <c r="L71" s="76">
        <v>11</v>
      </c>
      <c r="M71" s="79">
        <f>L16</f>
        <v>50308.612440191384</v>
      </c>
      <c r="N71" s="106">
        <f t="shared" si="10"/>
        <v>1.0892758720887812</v>
      </c>
    </row>
    <row r="72" spans="1:14" ht="18.75" x14ac:dyDescent="0.3">
      <c r="A72" s="66">
        <v>12</v>
      </c>
      <c r="B72" s="69">
        <f>M13</f>
        <v>585000</v>
      </c>
      <c r="C72" s="106">
        <f t="shared" si="11"/>
        <v>2.5535270463132189</v>
      </c>
      <c r="D72" s="76">
        <v>12</v>
      </c>
      <c r="E72" s="69">
        <f>M14</f>
        <v>220000</v>
      </c>
      <c r="F72" s="106">
        <f t="shared" si="8"/>
        <v>1.305371774114668</v>
      </c>
      <c r="G72" s="61"/>
      <c r="H72" s="60">
        <v>12</v>
      </c>
      <c r="I72" s="79">
        <f>M15</f>
        <v>365000</v>
      </c>
      <c r="J72" s="74">
        <f t="shared" si="9"/>
        <v>1.9991339955804655</v>
      </c>
      <c r="K72" s="61"/>
      <c r="L72" s="76">
        <v>12</v>
      </c>
      <c r="M72" s="79">
        <f>M16</f>
        <v>58500</v>
      </c>
      <c r="N72" s="106">
        <f t="shared" si="10"/>
        <v>2.5535245054752553</v>
      </c>
    </row>
    <row r="73" spans="1:14" x14ac:dyDescent="0.25">
      <c r="A73" s="56"/>
      <c r="B73" s="70"/>
      <c r="C73" s="56"/>
      <c r="D73" s="21"/>
      <c r="E73" s="70"/>
      <c r="F73" s="106"/>
      <c r="G73" s="56"/>
      <c r="I73" s="62"/>
      <c r="J73" s="21"/>
      <c r="K73" s="56"/>
      <c r="L73" s="21"/>
      <c r="M73" s="56"/>
      <c r="N73" s="56"/>
    </row>
    <row r="74" spans="1:14" x14ac:dyDescent="0.25">
      <c r="A74" s="90" t="s">
        <v>62</v>
      </c>
      <c r="B74" s="91">
        <f>AVERAGE(B61:B72)</f>
        <v>442149.16226759151</v>
      </c>
      <c r="C74" s="84"/>
      <c r="D74" s="92" t="s">
        <v>62</v>
      </c>
      <c r="E74" s="93">
        <f>AVERAGE(E61:E72)</f>
        <v>188370.61872652793</v>
      </c>
      <c r="F74" s="94"/>
      <c r="G74" s="56"/>
      <c r="H74" s="95" t="s">
        <v>62</v>
      </c>
      <c r="I74" s="96">
        <f>AVERAGE(I61:I72)</f>
        <v>253778.54354106353</v>
      </c>
      <c r="J74" s="20"/>
      <c r="K74" s="56"/>
      <c r="L74" s="92" t="s">
        <v>62</v>
      </c>
      <c r="M74" s="96">
        <f>AVERAGE(M61:M72)</f>
        <v>44214.916226759146</v>
      </c>
      <c r="N74" s="84"/>
    </row>
    <row r="75" spans="1:14" x14ac:dyDescent="0.25">
      <c r="A75" s="67" t="s">
        <v>63</v>
      </c>
      <c r="B75" s="71">
        <f>MEDIAN(B61:B72)</f>
        <v>421694.2863900527</v>
      </c>
      <c r="C75" s="56"/>
      <c r="D75" s="77" t="s">
        <v>63</v>
      </c>
      <c r="E75" s="72">
        <f>MEDIAN(E61:E72)</f>
        <v>190157.09322006314</v>
      </c>
      <c r="F75" s="62"/>
      <c r="G75" s="56"/>
      <c r="H75" s="59" t="s">
        <v>63</v>
      </c>
      <c r="I75" s="80">
        <f>MEDIAN(I61:I72)</f>
        <v>245403.70281159674</v>
      </c>
      <c r="J75" s="21"/>
      <c r="K75" s="56"/>
      <c r="L75" s="77" t="s">
        <v>63</v>
      </c>
      <c r="M75" s="80">
        <f>MEDIAN(M61:M72)</f>
        <v>42169.428639005273</v>
      </c>
      <c r="N75" s="56"/>
    </row>
    <row r="76" spans="1:14" x14ac:dyDescent="0.25">
      <c r="A76" s="67" t="s">
        <v>68</v>
      </c>
      <c r="B76" s="71">
        <f>_xlfn.STDEV.S(B61:B72)</f>
        <v>55942.555910405055</v>
      </c>
      <c r="C76" s="56"/>
      <c r="D76" s="77" t="s">
        <v>68</v>
      </c>
      <c r="E76" s="72">
        <f>_xlfn.STDEV.S(E61:E72)</f>
        <v>24230.166451449484</v>
      </c>
      <c r="F76" s="62"/>
      <c r="G76" s="56"/>
      <c r="H76" s="59" t="s">
        <v>68</v>
      </c>
      <c r="I76" s="80">
        <f>_xlfn.STDEV.S(I61:I72)</f>
        <v>55634.817753501258</v>
      </c>
      <c r="J76" s="21"/>
      <c r="K76" s="56"/>
      <c r="L76" s="77" t="s">
        <v>68</v>
      </c>
      <c r="M76" s="80">
        <f>_xlfn.STDEV.S(M61:M72)</f>
        <v>5594.2555910405108</v>
      </c>
      <c r="N76" s="56"/>
    </row>
    <row r="77" spans="1:14" x14ac:dyDescent="0.25">
      <c r="A77" s="67" t="s">
        <v>65</v>
      </c>
      <c r="B77" s="71">
        <f>MAX(B61:B72)</f>
        <v>585000</v>
      </c>
      <c r="C77" s="56"/>
      <c r="D77" s="77" t="s">
        <v>65</v>
      </c>
      <c r="E77" s="72">
        <f>MAX(E61:E72)</f>
        <v>234093.62549800795</v>
      </c>
      <c r="F77" s="62"/>
      <c r="G77" s="56"/>
      <c r="H77" s="59" t="s">
        <v>65</v>
      </c>
      <c r="I77" s="80">
        <f>MAX(I61:I72)</f>
        <v>365000</v>
      </c>
      <c r="J77" s="21"/>
      <c r="K77" s="56"/>
      <c r="L77" s="77" t="s">
        <v>65</v>
      </c>
      <c r="M77" s="80">
        <f>MAX(M61:M72)</f>
        <v>58500</v>
      </c>
      <c r="N77" s="56"/>
    </row>
    <row r="78" spans="1:14" x14ac:dyDescent="0.25">
      <c r="A78" s="67" t="s">
        <v>66</v>
      </c>
      <c r="B78" s="71">
        <f>MIN(B61:B72)</f>
        <v>376406.16621983913</v>
      </c>
      <c r="C78" s="56"/>
      <c r="D78" s="77" t="s">
        <v>66</v>
      </c>
      <c r="E78" s="72">
        <f>MIN(E61:E72)</f>
        <v>154749.79822437448</v>
      </c>
      <c r="F78" s="62"/>
      <c r="G78" s="56"/>
      <c r="H78" s="59" t="s">
        <v>66</v>
      </c>
      <c r="I78" s="80">
        <f>MIN(I61:I72)</f>
        <v>177424.93297587131</v>
      </c>
      <c r="J78" s="21"/>
      <c r="K78" s="56"/>
      <c r="L78" s="77" t="s">
        <v>66</v>
      </c>
      <c r="M78" s="80">
        <f>MIN(M61:M72)</f>
        <v>37640.616621983914</v>
      </c>
      <c r="N78" s="56"/>
    </row>
    <row r="79" spans="1:14" x14ac:dyDescent="0.25">
      <c r="A79" s="67" t="s">
        <v>64</v>
      </c>
      <c r="B79" s="71">
        <f>B77-B78</f>
        <v>208593.83378016087</v>
      </c>
      <c r="C79" s="56"/>
      <c r="D79" s="77" t="s">
        <v>64</v>
      </c>
      <c r="E79" s="72">
        <f>E77-E78</f>
        <v>79343.827273633477</v>
      </c>
      <c r="F79" s="62"/>
      <c r="G79" s="56"/>
      <c r="H79" s="59" t="s">
        <v>64</v>
      </c>
      <c r="I79" s="80">
        <f>I77-I78</f>
        <v>187575.06702412869</v>
      </c>
      <c r="J79" s="21"/>
      <c r="K79" s="56"/>
      <c r="L79" s="77" t="s">
        <v>64</v>
      </c>
      <c r="M79" s="80">
        <f>M77-M78</f>
        <v>20859.383378016086</v>
      </c>
      <c r="N79" s="56"/>
    </row>
    <row r="80" spans="1:14" x14ac:dyDescent="0.25">
      <c r="A80" s="67" t="s">
        <v>67</v>
      </c>
      <c r="B80" s="72">
        <f>_xlfn.VAR.S(B61:B72)</f>
        <v>3129569561.7887959</v>
      </c>
      <c r="C80" s="56"/>
      <c r="D80" s="77" t="s">
        <v>67</v>
      </c>
      <c r="E80" s="70">
        <f>_xlfn.VAR.S(E61:E72)</f>
        <v>587100966.26494801</v>
      </c>
      <c r="F80" s="62"/>
      <c r="G80" s="56"/>
      <c r="H80" s="59" t="s">
        <v>67</v>
      </c>
      <c r="I80" s="80">
        <f>_xlfn.VAR.S(I61:I72)</f>
        <v>3095232946.4652987</v>
      </c>
      <c r="J80" s="21"/>
      <c r="K80" s="56"/>
      <c r="L80" s="77" t="s">
        <v>67</v>
      </c>
      <c r="M80" s="80">
        <f>_xlfn.VAR.S(M61:M72)</f>
        <v>31295695.617888018</v>
      </c>
      <c r="N80" s="56"/>
    </row>
    <row r="81" spans="1:14" x14ac:dyDescent="0.25">
      <c r="A81" s="67" t="s">
        <v>69</v>
      </c>
      <c r="B81" s="73">
        <f>B76/B74*100%</f>
        <v>0.12652417031279653</v>
      </c>
      <c r="C81" s="56"/>
      <c r="D81" s="77" t="s">
        <v>69</v>
      </c>
      <c r="E81" s="73">
        <f>E76/E74*100%</f>
        <v>0.12863028541954452</v>
      </c>
      <c r="F81" s="62"/>
      <c r="G81" s="56"/>
      <c r="H81" s="59" t="s">
        <v>69</v>
      </c>
      <c r="I81" s="97">
        <f>I76/I74*100%</f>
        <v>0.21922585328613123</v>
      </c>
      <c r="J81" s="21"/>
      <c r="K81" s="56"/>
      <c r="L81" s="77" t="s">
        <v>69</v>
      </c>
      <c r="M81" s="97">
        <f>M76/M74*100%</f>
        <v>0.12652417031279667</v>
      </c>
      <c r="N81" s="56"/>
    </row>
    <row r="82" spans="1:14" x14ac:dyDescent="0.25">
      <c r="A82" s="67" t="s">
        <v>70</v>
      </c>
      <c r="B82" s="74">
        <f>_xlfn.QUARTILE.EXC(B61:B72,1)</f>
        <v>410317.99734637426</v>
      </c>
      <c r="C82" s="56"/>
      <c r="D82" s="77" t="s">
        <v>70</v>
      </c>
      <c r="E82" s="74">
        <f>_xlfn.QUARTILE.EXC(E61:E72,1)</f>
        <v>166827.16668974111</v>
      </c>
      <c r="F82" s="62"/>
      <c r="G82" s="56"/>
      <c r="H82" s="59" t="s">
        <v>70</v>
      </c>
      <c r="I82" s="80">
        <f>_xlfn.QUARTILE.EXC(I61:I72,1)</f>
        <v>211192.96559018065</v>
      </c>
      <c r="J82" s="21"/>
      <c r="K82" s="56"/>
      <c r="L82" s="77" t="s">
        <v>70</v>
      </c>
      <c r="M82" s="80">
        <f>_xlfn.QUARTILE.EXC(M61:M72,1)</f>
        <v>41031.799734637425</v>
      </c>
      <c r="N82" s="56"/>
    </row>
    <row r="83" spans="1:14" x14ac:dyDescent="0.25">
      <c r="A83" s="67" t="s">
        <v>71</v>
      </c>
      <c r="B83" s="74">
        <f>_xlfn.QUARTILE.EXC(B61:B72,2)</f>
        <v>421694.2863900527</v>
      </c>
      <c r="C83" s="56"/>
      <c r="D83" s="77" t="s">
        <v>71</v>
      </c>
      <c r="E83" s="74">
        <f>_xlfn.QUARTILE.EXC(E61:E72,2)</f>
        <v>190157.09322006314</v>
      </c>
      <c r="F83" s="62"/>
      <c r="G83" s="56"/>
      <c r="H83" s="59" t="s">
        <v>71</v>
      </c>
      <c r="I83" s="80">
        <f>_xlfn.QUARTILE.EXC($I61:$I72,2)</f>
        <v>245403.70281159674</v>
      </c>
      <c r="J83" s="21"/>
      <c r="K83" s="56"/>
      <c r="L83" s="77" t="s">
        <v>71</v>
      </c>
      <c r="M83" s="80">
        <f>_xlfn.QUARTILE.EXC(M61:M72,2)</f>
        <v>42169.428639005273</v>
      </c>
      <c r="N83" s="56"/>
    </row>
    <row r="84" spans="1:14" x14ac:dyDescent="0.25">
      <c r="A84" s="67" t="s">
        <v>72</v>
      </c>
      <c r="B84" s="74">
        <f>_xlfn.QUARTILE.EXC(B61:B72,3)</f>
        <v>468701.87325887161</v>
      </c>
      <c r="C84" s="56"/>
      <c r="D84" s="77" t="s">
        <v>72</v>
      </c>
      <c r="E84" s="74">
        <f>_xlfn.QUARTILE.EXC(E61:E72,3)</f>
        <v>198973.38945520858</v>
      </c>
      <c r="F84" s="62"/>
      <c r="G84" s="56"/>
      <c r="H84" s="59" t="s">
        <v>72</v>
      </c>
      <c r="I84" s="80">
        <f>_xlfn.QUARTILE.EXC($I61:$I72,3)</f>
        <v>300233.47756911541</v>
      </c>
      <c r="J84" s="21"/>
      <c r="K84" s="56"/>
      <c r="L84" s="77" t="s">
        <v>72</v>
      </c>
      <c r="M84" s="80">
        <f>_xlfn.QUARTILE.EXC(M61:M72,3)</f>
        <v>46870.187325887164</v>
      </c>
      <c r="N84" s="56"/>
    </row>
    <row r="85" spans="1:14" x14ac:dyDescent="0.25">
      <c r="A85" s="86" t="s">
        <v>73</v>
      </c>
      <c r="B85" s="82">
        <f>B84-B82</f>
        <v>58383.875912497344</v>
      </c>
      <c r="C85" s="63"/>
      <c r="D85" s="57" t="s">
        <v>73</v>
      </c>
      <c r="E85" s="82">
        <f>E84-E82</f>
        <v>32146.222765467479</v>
      </c>
      <c r="F85" s="87"/>
      <c r="G85" s="21"/>
      <c r="H85" s="88" t="s">
        <v>73</v>
      </c>
      <c r="I85" s="83">
        <f>I84-I82</f>
        <v>89040.511978934752</v>
      </c>
      <c r="J85" s="54"/>
      <c r="K85" s="55"/>
      <c r="L85" s="57" t="s">
        <v>73</v>
      </c>
      <c r="M85" s="83">
        <f>M84-M82</f>
        <v>5838.3875912497388</v>
      </c>
      <c r="N85" s="63"/>
    </row>
    <row r="86" spans="1:14" x14ac:dyDescent="0.25">
      <c r="A86" s="55"/>
      <c r="I86" s="14"/>
      <c r="K86" s="55"/>
      <c r="L86" s="55"/>
      <c r="M86" s="56"/>
      <c r="N86" s="56"/>
    </row>
  </sheetData>
  <conditionalFormatting sqref="A16">
    <cfRule type="colorScale" priority="13">
      <colorScale>
        <cfvo type="min"/>
        <cfvo type="percentile" val="50"/>
        <cfvo type="max"/>
        <color rgb="FFF8696B"/>
        <color rgb="FFFFEB84"/>
        <color rgb="FF63BE7B"/>
      </colorScale>
    </cfRule>
  </conditionalFormatting>
  <conditionalFormatting sqref="B16:M16">
    <cfRule type="colorScale" priority="12">
      <colorScale>
        <cfvo type="min"/>
        <cfvo type="percentile" val="50"/>
        <cfvo type="max"/>
        <color rgb="FFF8696B"/>
        <color rgb="FFFFEB84"/>
        <color rgb="FF63BE7B"/>
      </colorScale>
    </cfRule>
  </conditionalFormatting>
  <conditionalFormatting sqref="R13:R17">
    <cfRule type="dataBar" priority="11">
      <dataBar>
        <cfvo type="min"/>
        <cfvo type="max"/>
        <color rgb="FFFFB628"/>
      </dataBar>
      <extLst>
        <ext xmlns:x14="http://schemas.microsoft.com/office/spreadsheetml/2009/9/main" uri="{B025F937-C7B1-47D3-B67F-A62EFF666E3E}">
          <x14:id>{882DA9B1-A2D5-D942-9472-46DAE8ED5A48}</x14:id>
        </ext>
      </extLst>
    </cfRule>
  </conditionalFormatting>
  <conditionalFormatting sqref="B7:M7">
    <cfRule type="colorScale" priority="10">
      <colorScale>
        <cfvo type="min"/>
        <cfvo type="percentile" val="50"/>
        <cfvo type="max"/>
        <color rgb="FFF8696B"/>
        <color rgb="FFFFEB84"/>
        <color rgb="FF63BE7B"/>
      </colorScale>
    </cfRule>
  </conditionalFormatting>
  <conditionalFormatting sqref="N4:N9">
    <cfRule type="dataBar" priority="9">
      <dataBar>
        <cfvo type="min"/>
        <cfvo type="max"/>
        <color rgb="FF638EC6"/>
      </dataBar>
      <extLst>
        <ext xmlns:x14="http://schemas.microsoft.com/office/spreadsheetml/2009/9/main" uri="{B025F937-C7B1-47D3-B67F-A62EFF666E3E}">
          <x14:id>{2776EE78-798D-BA46-9842-B97295005E6E}</x14:id>
        </ext>
      </extLst>
    </cfRule>
  </conditionalFormatting>
  <conditionalFormatting sqref="N12:N17">
    <cfRule type="dataBar" priority="8">
      <dataBar>
        <cfvo type="min"/>
        <cfvo type="max"/>
        <color rgb="FF638EC6"/>
      </dataBar>
      <extLst>
        <ext xmlns:x14="http://schemas.microsoft.com/office/spreadsheetml/2009/9/main" uri="{B025F937-C7B1-47D3-B67F-A62EFF666E3E}">
          <x14:id>{467D2B44-242E-3745-8532-B86FC4E926E8}</x14:id>
        </ext>
      </extLst>
    </cfRule>
  </conditionalFormatting>
  <conditionalFormatting sqref="O12:O17">
    <cfRule type="dataBar" priority="7">
      <dataBar>
        <cfvo type="min"/>
        <cfvo type="max"/>
        <color rgb="FF63C384"/>
      </dataBar>
      <extLst>
        <ext xmlns:x14="http://schemas.microsoft.com/office/spreadsheetml/2009/9/main" uri="{B025F937-C7B1-47D3-B67F-A62EFF666E3E}">
          <x14:id>{79298893-0048-7846-B4B0-15E40160911E}</x14:id>
        </ext>
      </extLst>
    </cfRule>
  </conditionalFormatting>
  <conditionalFormatting sqref="O4:O9">
    <cfRule type="dataBar" priority="6">
      <dataBar>
        <cfvo type="min"/>
        <cfvo type="max"/>
        <color rgb="FF63C384"/>
      </dataBar>
      <extLst>
        <ext xmlns:x14="http://schemas.microsoft.com/office/spreadsheetml/2009/9/main" uri="{B025F937-C7B1-47D3-B67F-A62EFF666E3E}">
          <x14:id>{3622591A-5647-C049-BE4D-BF7EDD0544DC}</x14:id>
        </ext>
      </extLst>
    </cfRule>
  </conditionalFormatting>
  <conditionalFormatting sqref="P4:P10">
    <cfRule type="dataBar" priority="5">
      <dataBar>
        <cfvo type="min"/>
        <cfvo type="max"/>
        <color rgb="FFD6007B"/>
      </dataBar>
      <extLst>
        <ext xmlns:x14="http://schemas.microsoft.com/office/spreadsheetml/2009/9/main" uri="{B025F937-C7B1-47D3-B67F-A62EFF666E3E}">
          <x14:id>{805F2BF4-781C-9D46-AAD3-190270474D70}</x14:id>
        </ext>
      </extLst>
    </cfRule>
  </conditionalFormatting>
  <conditionalFormatting sqref="P12:P17">
    <cfRule type="dataBar" priority="4">
      <dataBar>
        <cfvo type="min"/>
        <cfvo type="max"/>
        <color rgb="FFD6007B"/>
      </dataBar>
      <extLst>
        <ext xmlns:x14="http://schemas.microsoft.com/office/spreadsheetml/2009/9/main" uri="{B025F937-C7B1-47D3-B67F-A62EFF666E3E}">
          <x14:id>{CF4316AB-118F-3643-AC99-04590019C608}</x14:id>
        </ext>
      </extLst>
    </cfRule>
  </conditionalFormatting>
  <conditionalFormatting sqref="R4:R9 Q9">
    <cfRule type="dataBar" priority="3">
      <dataBar>
        <cfvo type="min"/>
        <cfvo type="max"/>
        <color rgb="FFFFB628"/>
      </dataBar>
      <extLst>
        <ext xmlns:x14="http://schemas.microsoft.com/office/spreadsheetml/2009/9/main" uri="{B025F937-C7B1-47D3-B67F-A62EFF666E3E}">
          <x14:id>{5A6AE35A-E4AC-9F41-B036-9CC11BF7ADAD}</x14:id>
        </ext>
      </extLst>
    </cfRule>
  </conditionalFormatting>
  <conditionalFormatting sqref="B17:M17">
    <cfRule type="colorScale" priority="2">
      <colorScale>
        <cfvo type="min"/>
        <cfvo type="percentile" val="50"/>
        <cfvo type="max"/>
        <color rgb="FFF8696B"/>
        <color rgb="FFFFEB84"/>
        <color rgb="FF63BE7B"/>
      </colorScale>
    </cfRule>
  </conditionalFormatting>
  <conditionalFormatting sqref="A23:M23">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dataBar" id="{882DA9B1-A2D5-D942-9472-46DAE8ED5A48}">
            <x14:dataBar minLength="0" maxLength="100" border="1" negativeBarBorderColorSameAsPositive="0">
              <x14:cfvo type="autoMin"/>
              <x14:cfvo type="autoMax"/>
              <x14:borderColor rgb="FFFFB628"/>
              <x14:negativeFillColor rgb="FFFF0000"/>
              <x14:negativeBorderColor rgb="FFFF0000"/>
              <x14:axisColor rgb="FF000000"/>
            </x14:dataBar>
          </x14:cfRule>
          <xm:sqref>R13:R17</xm:sqref>
        </x14:conditionalFormatting>
        <x14:conditionalFormatting xmlns:xm="http://schemas.microsoft.com/office/excel/2006/main">
          <x14:cfRule type="dataBar" id="{2776EE78-798D-BA46-9842-B97295005E6E}">
            <x14:dataBar minLength="0" maxLength="100" border="1" negativeBarBorderColorSameAsPositive="0">
              <x14:cfvo type="autoMin"/>
              <x14:cfvo type="autoMax"/>
              <x14:borderColor rgb="FF638EC6"/>
              <x14:negativeFillColor rgb="FFFF0000"/>
              <x14:negativeBorderColor rgb="FFFF0000"/>
              <x14:axisColor rgb="FF000000"/>
            </x14:dataBar>
          </x14:cfRule>
          <xm:sqref>N4:N9</xm:sqref>
        </x14:conditionalFormatting>
        <x14:conditionalFormatting xmlns:xm="http://schemas.microsoft.com/office/excel/2006/main">
          <x14:cfRule type="dataBar" id="{467D2B44-242E-3745-8532-B86FC4E926E8}">
            <x14:dataBar minLength="0" maxLength="100" border="1" negativeBarBorderColorSameAsPositive="0">
              <x14:cfvo type="autoMin"/>
              <x14:cfvo type="autoMax"/>
              <x14:borderColor rgb="FF638EC6"/>
              <x14:negativeFillColor rgb="FFFF0000"/>
              <x14:negativeBorderColor rgb="FFFF0000"/>
              <x14:axisColor rgb="FF000000"/>
            </x14:dataBar>
          </x14:cfRule>
          <xm:sqref>N12:N17</xm:sqref>
        </x14:conditionalFormatting>
        <x14:conditionalFormatting xmlns:xm="http://schemas.microsoft.com/office/excel/2006/main">
          <x14:cfRule type="dataBar" id="{79298893-0048-7846-B4B0-15E40160911E}">
            <x14:dataBar minLength="0" maxLength="100" border="1" negativeBarBorderColorSameAsPositive="0">
              <x14:cfvo type="autoMin"/>
              <x14:cfvo type="autoMax"/>
              <x14:borderColor rgb="FF63C384"/>
              <x14:negativeFillColor rgb="FFFF0000"/>
              <x14:negativeBorderColor rgb="FFFF0000"/>
              <x14:axisColor rgb="FF000000"/>
            </x14:dataBar>
          </x14:cfRule>
          <xm:sqref>O12:O17</xm:sqref>
        </x14:conditionalFormatting>
        <x14:conditionalFormatting xmlns:xm="http://schemas.microsoft.com/office/excel/2006/main">
          <x14:cfRule type="dataBar" id="{3622591A-5647-C049-BE4D-BF7EDD0544DC}">
            <x14:dataBar minLength="0" maxLength="100" border="1" negativeBarBorderColorSameAsPositive="0">
              <x14:cfvo type="autoMin"/>
              <x14:cfvo type="autoMax"/>
              <x14:borderColor rgb="FF63C384"/>
              <x14:negativeFillColor rgb="FFFF0000"/>
              <x14:negativeBorderColor rgb="FFFF0000"/>
              <x14:axisColor rgb="FF000000"/>
            </x14:dataBar>
          </x14:cfRule>
          <xm:sqref>O4:O9</xm:sqref>
        </x14:conditionalFormatting>
        <x14:conditionalFormatting xmlns:xm="http://schemas.microsoft.com/office/excel/2006/main">
          <x14:cfRule type="dataBar" id="{805F2BF4-781C-9D46-AAD3-190270474D70}">
            <x14:dataBar minLength="0" maxLength="100" border="1" negativeBarBorderColorSameAsPositive="0">
              <x14:cfvo type="autoMin"/>
              <x14:cfvo type="autoMax"/>
              <x14:borderColor rgb="FFD6007B"/>
              <x14:negativeFillColor rgb="FFFF0000"/>
              <x14:negativeBorderColor rgb="FFFF0000"/>
              <x14:axisColor rgb="FF000000"/>
            </x14:dataBar>
          </x14:cfRule>
          <xm:sqref>P4:P10</xm:sqref>
        </x14:conditionalFormatting>
        <x14:conditionalFormatting xmlns:xm="http://schemas.microsoft.com/office/excel/2006/main">
          <x14:cfRule type="dataBar" id="{CF4316AB-118F-3643-AC99-04590019C608}">
            <x14:dataBar minLength="0" maxLength="100" border="1" negativeBarBorderColorSameAsPositive="0">
              <x14:cfvo type="autoMin"/>
              <x14:cfvo type="autoMax"/>
              <x14:borderColor rgb="FFD6007B"/>
              <x14:negativeFillColor rgb="FFFF0000"/>
              <x14:negativeBorderColor rgb="FFFF0000"/>
              <x14:axisColor rgb="FF000000"/>
            </x14:dataBar>
          </x14:cfRule>
          <xm:sqref>P12:P17</xm:sqref>
        </x14:conditionalFormatting>
        <x14:conditionalFormatting xmlns:xm="http://schemas.microsoft.com/office/excel/2006/main">
          <x14:cfRule type="dataBar" id="{5A6AE35A-E4AC-9F41-B036-9CC11BF7ADAD}">
            <x14:dataBar minLength="0" maxLength="100" border="1" negativeBarBorderColorSameAsPositive="0">
              <x14:cfvo type="autoMin"/>
              <x14:cfvo type="autoMax"/>
              <x14:borderColor rgb="FFFFB628"/>
              <x14:negativeFillColor rgb="FFFF0000"/>
              <x14:negativeBorderColor rgb="FFFF0000"/>
              <x14:axisColor rgb="FF000000"/>
            </x14:dataBar>
          </x14:cfRule>
          <xm:sqref>R4:R9 Q9</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negative="1" xr2:uid="{F58BDD7E-D29C-4CB8-9C1C-1D66021AEE09}">
          <x14:colorSeries rgb="FF376092"/>
          <x14:colorNegative rgb="FFD00000"/>
          <x14:colorAxis rgb="FF000000"/>
          <x14:colorMarkers rgb="FFD00000"/>
          <x14:colorFirst rgb="FFD00000"/>
          <x14:colorLast rgb="FFD00000"/>
          <x14:colorHigh rgb="FFD00000"/>
          <x14:colorLow rgb="FFD00000"/>
          <x14:sparklines>
            <x14:sparkline>
              <xm:f>'Negative Report'!N13:N17</xm:f>
              <xm:sqref>N18</xm:sqref>
            </x14:sparkline>
          </x14:sparklines>
        </x14:sparklineGroup>
        <x14:sparklineGroup displayEmptyCellsAs="gap" high="1" low="1" negative="1" xr2:uid="{FDD9226E-D676-4A0A-830C-89998674257B}">
          <x14:colorSeries rgb="FF376092"/>
          <x14:colorNegative rgb="FFD00000"/>
          <x14:colorAxis rgb="FF000000"/>
          <x14:colorMarkers rgb="FFD00000"/>
          <x14:colorFirst rgb="FFD00000"/>
          <x14:colorLast rgb="FFD00000"/>
          <x14:colorHigh rgb="FFD00000"/>
          <x14:colorLow rgb="FFD00000"/>
          <x14:sparklines>
            <x14:sparkline>
              <xm:f>'Negative Report'!O13:O17</xm:f>
              <xm:sqref>O18</xm:sqref>
            </x14:sparkline>
          </x14:sparklines>
        </x14:sparklineGroup>
        <x14:sparklineGroup displayEmptyCellsAs="gap" high="1" low="1" negative="1" xr2:uid="{681153A6-069A-4165-93BB-31D979949D80}">
          <x14:colorSeries rgb="FF376092"/>
          <x14:colorNegative rgb="FFD00000"/>
          <x14:colorAxis rgb="FF000000"/>
          <x14:colorMarkers rgb="FFD00000"/>
          <x14:colorFirst rgb="FFD00000"/>
          <x14:colorLast rgb="FFD00000"/>
          <x14:colorHigh rgb="FFD00000"/>
          <x14:colorLow rgb="FFD00000"/>
          <x14:sparklines>
            <x14:sparkline>
              <xm:f>'Negative Report'!N4:N8</xm:f>
              <xm:sqref>N9</xm:sqref>
            </x14:sparkline>
          </x14:sparklines>
        </x14:sparklineGroup>
        <x14:sparklineGroup displayEmptyCellsAs="gap" high="1" low="1" negative="1" xr2:uid="{6FAD83B4-1E8A-4177-93F1-8B18AA840804}">
          <x14:colorSeries rgb="FF376092"/>
          <x14:colorNegative rgb="FFD00000"/>
          <x14:colorAxis rgb="FF000000"/>
          <x14:colorMarkers rgb="FFD00000"/>
          <x14:colorFirst rgb="FFD00000"/>
          <x14:colorLast rgb="FFD00000"/>
          <x14:colorHigh rgb="FFD00000"/>
          <x14:colorLow rgb="FFD00000"/>
          <x14:sparklines>
            <x14:sparkline>
              <xm:f>'Negative Report'!O4:O8</xm:f>
              <xm:sqref>O9</xm:sqref>
            </x14:sparkline>
          </x14:sparklines>
        </x14:sparklineGroup>
        <x14:sparklineGroup displayEmptyCellsAs="gap" high="1" low="1" negative="1" xr2:uid="{97B9524A-54C8-436A-973C-44D808F12EB8}">
          <x14:colorSeries rgb="FF376092"/>
          <x14:colorNegative rgb="FFD00000"/>
          <x14:colorAxis rgb="FF000000"/>
          <x14:colorMarkers rgb="FFD00000"/>
          <x14:colorFirst rgb="FFD00000"/>
          <x14:colorLast rgb="FFD00000"/>
          <x14:colorHigh rgb="FFD00000"/>
          <x14:colorLow rgb="FFD00000"/>
          <x14:sparklines>
            <x14:sparkline>
              <xm:f>'Negative Report'!P13:P17</xm:f>
              <xm:sqref>P18</xm:sqref>
            </x14:sparkline>
          </x14:sparklines>
        </x14:sparklineGroup>
        <x14:sparklineGroup displayEmptyCellsAs="gap" high="1" low="1" negative="1" xr2:uid="{5132497E-0D6D-432D-8C19-540881FDECC0}">
          <x14:colorSeries rgb="FF376092"/>
          <x14:colorNegative rgb="FFD00000"/>
          <x14:colorAxis rgb="FF000000"/>
          <x14:colorMarkers rgb="FFD00000"/>
          <x14:colorFirst rgb="FFD00000"/>
          <x14:colorLast rgb="FFD00000"/>
          <x14:colorHigh rgb="FFD00000"/>
          <x14:colorLow rgb="FFD00000"/>
          <x14:sparklines>
            <x14:sparkline>
              <xm:f>'Negative Report'!P4:P8</xm:f>
              <xm:sqref>P9</xm:sqref>
            </x14:sparkline>
          </x14:sparklines>
        </x14:sparklineGroup>
        <x14:sparklineGroup manualMax="0" manualMin="0" displayEmptyCellsAs="gap" high="1" low="1" negative="1" xr2:uid="{1F30E853-BDCD-054B-9343-342BF6C3D69E}">
          <x14:colorSeries rgb="FF376092"/>
          <x14:colorNegative rgb="FFD00000"/>
          <x14:colorAxis rgb="FF000000"/>
          <x14:colorMarkers rgb="FFD00000"/>
          <x14:colorFirst rgb="FFD00000"/>
          <x14:colorLast rgb="FFD00000"/>
          <x14:colorHigh rgb="FFD00000"/>
          <x14:colorLow rgb="FFD00000"/>
          <x14:sparklines>
            <x14:sparkline>
              <xm:f>'Negative Report'!Q13:Q17</xm:f>
              <xm:sqref>Q18</xm:sqref>
            </x14:sparkline>
          </x14:sparklines>
        </x14:sparklineGroup>
        <x14:sparklineGroup manualMax="0" manualMin="0" displayEmptyCellsAs="gap" high="1" low="1" negative="1" xr2:uid="{7BF368CA-EBE9-4C41-AF50-880863A8AC97}">
          <x14:colorSeries rgb="FF376092"/>
          <x14:colorNegative rgb="FFD00000"/>
          <x14:colorAxis rgb="FF000000"/>
          <x14:colorMarkers rgb="FFD00000"/>
          <x14:colorFirst rgb="FFD00000"/>
          <x14:colorLast rgb="FFD00000"/>
          <x14:colorHigh rgb="FFD00000"/>
          <x14:colorLow rgb="FFD00000"/>
          <x14:sparklines>
            <x14:sparkline>
              <xm:f>'Negative Report'!R13:R17</xm:f>
              <xm:sqref>R18</xm:sqref>
            </x14:sparkline>
          </x14:sparklines>
        </x14:sparklineGroup>
        <x14:sparklineGroup manualMax="0" manualMin="0" displayEmptyCellsAs="gap" high="1" low="1" negative="1" xr2:uid="{7964C990-8F7F-F041-BEA4-F88F3FF3B9CB}">
          <x14:colorSeries rgb="FF376092"/>
          <x14:colorNegative rgb="FFD00000"/>
          <x14:colorAxis rgb="FF000000"/>
          <x14:colorMarkers rgb="FFD00000"/>
          <x14:colorFirst rgb="FFD00000"/>
          <x14:colorLast rgb="FFD00000"/>
          <x14:colorHigh rgb="FFD00000"/>
          <x14:colorLow rgb="FFD00000"/>
          <x14:sparklines>
            <x14:sparkline>
              <xm:f>'Negative Report'!Q4:Q8</xm:f>
              <xm:sqref>Q9</xm:sqref>
            </x14:sparkline>
          </x14:sparklines>
        </x14:sparklineGroup>
        <x14:sparklineGroup manualMax="0" manualMin="0" displayEmptyCellsAs="gap" high="1" low="1" negative="1" xr2:uid="{D8518ACE-B8E6-1748-BC8E-8EB85E0B927B}">
          <x14:colorSeries rgb="FF376092"/>
          <x14:colorNegative rgb="FFD00000"/>
          <x14:colorAxis rgb="FF000000"/>
          <x14:colorMarkers rgb="FFD00000"/>
          <x14:colorFirst rgb="FFD00000"/>
          <x14:colorLast rgb="FFD00000"/>
          <x14:colorHigh rgb="FFD00000"/>
          <x14:colorLow rgb="FFD00000"/>
          <x14:sparklines>
            <x14:sparkline>
              <xm:f>'Negative Report'!R4:R8</xm:f>
              <xm:sqref>R9</xm:sqref>
            </x14:sparkline>
          </x14:sparklines>
        </x14:sparklineGroup>
        <x14:sparklineGroup manualMax="0" manualMin="0" displayEmptyCellsAs="gap" high="1" low="1" xr2:uid="{756E7EDC-3BDE-944B-B514-FE5A2AF872CC}">
          <x14:colorSeries rgb="FF376092"/>
          <x14:colorNegative rgb="FFD00000"/>
          <x14:colorAxis rgb="FF000000"/>
          <x14:colorMarkers rgb="FFD00000"/>
          <x14:colorFirst rgb="FFD00000"/>
          <x14:colorLast rgb="FFD00000"/>
          <x14:colorHigh rgb="FFD00000"/>
          <x14:colorLow rgb="FFD00000"/>
          <x14:sparklines>
            <x14:sparkline>
              <xm:f>'Negative Report'!B4:M4</xm:f>
              <xm:sqref>S4</xm:sqref>
            </x14:sparkline>
            <x14:sparkline>
              <xm:f>'Negative Report'!B5:M5</xm:f>
              <xm:sqref>S5</xm:sqref>
            </x14:sparkline>
            <x14:sparkline>
              <xm:f>'Negative Report'!B6:M6</xm:f>
              <xm:sqref>S6</xm:sqref>
            </x14:sparkline>
            <x14:sparkline>
              <xm:f>'Negative Report'!B7:M7</xm:f>
              <xm:sqref>S7</xm:sqref>
            </x14:sparkline>
            <x14:sparkline>
              <xm:f>'Negative Report'!B8:M8</xm:f>
              <xm:sqref>S8</xm:sqref>
            </x14:sparkline>
          </x14:sparklines>
        </x14:sparklineGroup>
        <x14:sparklineGroup manualMax="0" manualMin="0" displayEmptyCellsAs="gap" high="1" low="1" xr2:uid="{36A2F5A8-3845-0D47-B902-86D8D38955DB}">
          <x14:colorSeries rgb="FF376092"/>
          <x14:colorNegative rgb="FFD00000"/>
          <x14:colorAxis rgb="FF000000"/>
          <x14:colorMarkers rgb="FFD00000"/>
          <x14:colorFirst rgb="FFD00000"/>
          <x14:colorLast rgb="FFD00000"/>
          <x14:colorHigh rgb="FFD00000"/>
          <x14:colorLow rgb="FFD00000"/>
          <x14:sparklines>
            <x14:sparkline>
              <xm:f>'Negative Report'!B13:M13</xm:f>
              <xm:sqref>S13</xm:sqref>
            </x14:sparkline>
            <x14:sparkline>
              <xm:f>'Negative Report'!B14:M14</xm:f>
              <xm:sqref>S14</xm:sqref>
            </x14:sparkline>
            <x14:sparkline>
              <xm:f>'Negative Report'!B15:M15</xm:f>
              <xm:sqref>S15</xm:sqref>
            </x14:sparkline>
            <x14:sparkline>
              <xm:f>'Negative Report'!B16:M16</xm:f>
              <xm:sqref>S16</xm:sqref>
            </x14:sparkline>
            <x14:sparkline>
              <xm:f>'Negative Report'!B17:M17</xm:f>
              <xm:sqref>S17</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41227-D3C1-4DEB-B9E4-37650DC4A77E}">
  <dimension ref="A1:T96"/>
  <sheetViews>
    <sheetView zoomScaleNormal="100" workbookViewId="0">
      <selection activeCell="B68" sqref="B68"/>
    </sheetView>
  </sheetViews>
  <sheetFormatPr defaultColWidth="8.875" defaultRowHeight="15.75" x14ac:dyDescent="0.25"/>
  <cols>
    <col min="1" max="1" width="43" customWidth="1"/>
    <col min="2" max="2" width="27.5" customWidth="1"/>
    <col min="3" max="3" width="14.125" bestFit="1" customWidth="1"/>
    <col min="4" max="4" width="23.875" customWidth="1"/>
    <col min="5" max="5" width="25.375" customWidth="1"/>
    <col min="6" max="7" width="14.125" bestFit="1" customWidth="1"/>
    <col min="8" max="8" width="24.125" customWidth="1"/>
    <col min="9" max="11" width="14.125" bestFit="1" customWidth="1"/>
    <col min="12" max="12" width="24.5" customWidth="1"/>
    <col min="13" max="13" width="14.125" bestFit="1" customWidth="1"/>
    <col min="14" max="14" width="19.625" customWidth="1"/>
    <col min="15" max="16" width="24.625" customWidth="1"/>
    <col min="17" max="17" width="14.5" customWidth="1"/>
    <col min="18" max="18" width="16.5" customWidth="1"/>
    <col min="19" max="19" width="22.125" customWidth="1"/>
  </cols>
  <sheetData>
    <row r="1" spans="1:20" x14ac:dyDescent="0.25">
      <c r="A1" s="19"/>
    </row>
    <row r="2" spans="1:20" ht="17.25" x14ac:dyDescent="0.3">
      <c r="A2" s="12" t="s">
        <v>13</v>
      </c>
      <c r="B2" s="58" t="s">
        <v>25</v>
      </c>
      <c r="C2" s="58" t="s">
        <v>24</v>
      </c>
      <c r="D2" s="58" t="s">
        <v>27</v>
      </c>
      <c r="E2" s="58" t="s">
        <v>28</v>
      </c>
      <c r="F2" s="58" t="s">
        <v>29</v>
      </c>
      <c r="G2" s="58" t="s">
        <v>30</v>
      </c>
      <c r="H2" s="58" t="s">
        <v>31</v>
      </c>
      <c r="I2" s="58" t="s">
        <v>32</v>
      </c>
      <c r="J2" s="58" t="s">
        <v>33</v>
      </c>
      <c r="K2" s="58" t="s">
        <v>34</v>
      </c>
      <c r="L2" s="58" t="s">
        <v>35</v>
      </c>
      <c r="M2" s="28" t="s">
        <v>36</v>
      </c>
      <c r="N2" s="22" t="s">
        <v>54</v>
      </c>
      <c r="O2" s="11" t="s">
        <v>55</v>
      </c>
      <c r="P2" s="47" t="s">
        <v>57</v>
      </c>
      <c r="Q2" s="11" t="s">
        <v>2</v>
      </c>
      <c r="R2" s="6" t="s">
        <v>53</v>
      </c>
      <c r="S2" s="2"/>
      <c r="T2" s="2"/>
    </row>
    <row r="3" spans="1:20" ht="17.25" x14ac:dyDescent="0.3">
      <c r="A3" s="33" t="s">
        <v>8</v>
      </c>
      <c r="B3" s="26">
        <f t="shared" ref="B3:M3" si="0">$M66*B59/B66</f>
        <v>419412.01716738194</v>
      </c>
      <c r="C3" s="26">
        <f t="shared" si="0"/>
        <v>420327.55102040817</v>
      </c>
      <c r="D3" s="26">
        <f t="shared" si="0"/>
        <v>418904.38247011951</v>
      </c>
      <c r="E3" s="26">
        <f t="shared" si="0"/>
        <v>423061.02175969724</v>
      </c>
      <c r="F3" s="26">
        <f t="shared" si="0"/>
        <v>407455.86897179252</v>
      </c>
      <c r="G3" s="26">
        <f t="shared" si="0"/>
        <v>376406.16621983913</v>
      </c>
      <c r="H3" s="26">
        <f t="shared" si="0"/>
        <v>405131.00436681224</v>
      </c>
      <c r="I3" s="26">
        <f t="shared" si="0"/>
        <v>429875.73715248524</v>
      </c>
      <c r="J3" s="26">
        <f t="shared" si="0"/>
        <v>438291.36400322837</v>
      </c>
      <c r="K3" s="26">
        <f t="shared" si="0"/>
        <v>478838.70967741933</v>
      </c>
      <c r="L3" s="26">
        <f t="shared" si="0"/>
        <v>503086.12440191384</v>
      </c>
      <c r="M3" s="27">
        <f t="shared" si="0"/>
        <v>585000</v>
      </c>
      <c r="N3" s="48">
        <f>(G3-B3)/B3*100</f>
        <v>-10.253843282315806</v>
      </c>
      <c r="O3" s="49">
        <f>(M3-H3)/H3*100</f>
        <v>44.39773645917542</v>
      </c>
      <c r="P3" s="48">
        <f>(M3-L3)/L3*100</f>
        <v>16.282276855770611</v>
      </c>
      <c r="Q3" s="43">
        <f>(1/12)*LN(M3/B3)</f>
        <v>2.7729839661503983E-2</v>
      </c>
      <c r="R3" s="44">
        <f>Q3*100</f>
        <v>2.7729839661503983</v>
      </c>
    </row>
    <row r="4" spans="1:20" ht="17.25" x14ac:dyDescent="0.3">
      <c r="A4" s="8" t="s">
        <v>10</v>
      </c>
      <c r="B4" s="26">
        <f t="shared" ref="B4:M4" si="1">$M66*B60/B66</f>
        <v>165906.65236051503</v>
      </c>
      <c r="C4" s="26">
        <f t="shared" si="1"/>
        <v>183025.51020408163</v>
      </c>
      <c r="D4" s="26">
        <f t="shared" si="1"/>
        <v>234093.62549800795</v>
      </c>
      <c r="E4" s="26">
        <f t="shared" si="1"/>
        <v>198949.85808893092</v>
      </c>
      <c r="F4" s="26">
        <f t="shared" si="1"/>
        <v>181216.56050955414</v>
      </c>
      <c r="G4" s="26">
        <f t="shared" si="1"/>
        <v>198981.23324396781</v>
      </c>
      <c r="H4" s="26">
        <f t="shared" si="1"/>
        <v>198244.10480349345</v>
      </c>
      <c r="I4" s="26">
        <f t="shared" si="1"/>
        <v>158402.69587194608</v>
      </c>
      <c r="J4" s="26">
        <f t="shared" si="1"/>
        <v>154749.79822437448</v>
      </c>
      <c r="K4" s="26">
        <f t="shared" si="1"/>
        <v>169588.70967741936</v>
      </c>
      <c r="L4" s="26">
        <f t="shared" si="1"/>
        <v>197288.67623604464</v>
      </c>
      <c r="M4" s="27">
        <f t="shared" si="1"/>
        <v>220000</v>
      </c>
      <c r="N4" s="48">
        <f>(G4-B4)/B4*100</f>
        <v>19.935656836461114</v>
      </c>
      <c r="O4" s="49">
        <f>(M4-H4)/H4*100</f>
        <v>10.974296167884418</v>
      </c>
      <c r="P4" s="48">
        <f>(M4-L4)/L4*100</f>
        <v>11.511721907841558</v>
      </c>
      <c r="Q4" s="43">
        <f>(1/12)*LN(M4/B4)</f>
        <v>2.3516854278596976E-2</v>
      </c>
      <c r="R4" s="40">
        <f>Q4*100</f>
        <v>2.3516854278596977</v>
      </c>
    </row>
    <row r="5" spans="1:20" ht="17.25" x14ac:dyDescent="0.3">
      <c r="A5" s="8" t="s">
        <v>11</v>
      </c>
      <c r="B5" s="26">
        <f>B3-B4</f>
        <v>253505.36480686691</v>
      </c>
      <c r="C5" s="26">
        <f>C3-C4</f>
        <v>237302.04081632654</v>
      </c>
      <c r="D5" s="26">
        <f t="shared" ref="D5:M5" si="2">D3-D4</f>
        <v>184810.75697211156</v>
      </c>
      <c r="E5" s="26">
        <f t="shared" si="2"/>
        <v>224111.16367076631</v>
      </c>
      <c r="F5" s="26">
        <f t="shared" si="2"/>
        <v>226239.30846223838</v>
      </c>
      <c r="G5" s="26">
        <f t="shared" si="2"/>
        <v>177424.93297587131</v>
      </c>
      <c r="H5" s="26">
        <f t="shared" si="2"/>
        <v>206886.89956331879</v>
      </c>
      <c r="I5" s="26">
        <f t="shared" si="2"/>
        <v>271473.04128053912</v>
      </c>
      <c r="J5" s="26">
        <f t="shared" si="2"/>
        <v>283541.5657788539</v>
      </c>
      <c r="K5" s="26">
        <f t="shared" si="2"/>
        <v>309250</v>
      </c>
      <c r="L5" s="26">
        <f t="shared" si="2"/>
        <v>305797.44816586922</v>
      </c>
      <c r="M5" s="27">
        <f t="shared" si="2"/>
        <v>365000</v>
      </c>
      <c r="N5" s="48">
        <f>(G5-B5)/B5*100</f>
        <v>-30.011369538059867</v>
      </c>
      <c r="O5" s="49">
        <f>(M5-H5)/H5*100</f>
        <v>76.424897260490823</v>
      </c>
      <c r="P5" s="48">
        <f>(M5-L5)/L5*100</f>
        <v>19.360054241531277</v>
      </c>
      <c r="Q5" s="45">
        <f>(1/12)*LN(M5/B5)</f>
        <v>3.037603065241376E-2</v>
      </c>
      <c r="R5" s="40">
        <f>Q5*100</f>
        <v>3.0376030652413761</v>
      </c>
    </row>
    <row r="6" spans="1:20" ht="17.25" x14ac:dyDescent="0.3">
      <c r="A6" s="34" t="s">
        <v>56</v>
      </c>
      <c r="B6" s="36">
        <f>0.1*B3</f>
        <v>41941.2017167382</v>
      </c>
      <c r="C6" s="36">
        <f>0.1*C3</f>
        <v>42032.755102040821</v>
      </c>
      <c r="D6" s="36">
        <f t="shared" ref="D6:M6" si="3">0.1*D3</f>
        <v>41890.438247011953</v>
      </c>
      <c r="E6" s="36">
        <f t="shared" si="3"/>
        <v>42306.102175969725</v>
      </c>
      <c r="F6" s="36">
        <f t="shared" si="3"/>
        <v>40745.586897179252</v>
      </c>
      <c r="G6" s="36">
        <f t="shared" si="3"/>
        <v>37640.616621983914</v>
      </c>
      <c r="H6" s="36">
        <f t="shared" si="3"/>
        <v>40513.100436681227</v>
      </c>
      <c r="I6" s="36">
        <f t="shared" si="3"/>
        <v>42987.573715248524</v>
      </c>
      <c r="J6" s="36">
        <f t="shared" si="3"/>
        <v>43829.136400322837</v>
      </c>
      <c r="K6" s="36">
        <f t="shared" si="3"/>
        <v>47883.870967741939</v>
      </c>
      <c r="L6" s="36">
        <f t="shared" si="3"/>
        <v>50308.612440191384</v>
      </c>
      <c r="M6" s="36">
        <f t="shared" si="3"/>
        <v>58500</v>
      </c>
      <c r="N6" s="48">
        <f>(G6-B6)/B6*100</f>
        <v>-10.253843282315817</v>
      </c>
      <c r="O6" s="49">
        <f>(M6-H6)/H6*100</f>
        <v>44.397736459175405</v>
      </c>
      <c r="P6" s="48">
        <f>(M6-L6)/L6*100</f>
        <v>16.282276855770611</v>
      </c>
      <c r="Q6" s="45">
        <f>(1/12)*LN(M6/B6)</f>
        <v>2.7729839661503969E-2</v>
      </c>
      <c r="R6" s="40">
        <f>Q6*100</f>
        <v>2.772983966150397</v>
      </c>
    </row>
    <row r="7" spans="1:20" ht="17.25" x14ac:dyDescent="0.3">
      <c r="A7" s="121" t="s">
        <v>23</v>
      </c>
      <c r="B7" s="122">
        <f>B3+B6</f>
        <v>461353.21888412011</v>
      </c>
      <c r="C7" s="122">
        <f>C3+C6</f>
        <v>462360.30612244899</v>
      </c>
      <c r="D7" s="122">
        <f t="shared" ref="D7:M7" si="4">D3+D6</f>
        <v>460794.82071713149</v>
      </c>
      <c r="E7" s="122">
        <f t="shared" si="4"/>
        <v>465367.12393566698</v>
      </c>
      <c r="F7" s="122">
        <f t="shared" si="4"/>
        <v>448201.45586897177</v>
      </c>
      <c r="G7" s="122">
        <f t="shared" si="4"/>
        <v>414046.78284182306</v>
      </c>
      <c r="H7" s="122">
        <f t="shared" si="4"/>
        <v>445644.10480349348</v>
      </c>
      <c r="I7" s="122">
        <f t="shared" si="4"/>
        <v>472863.31086773379</v>
      </c>
      <c r="J7" s="122">
        <f t="shared" si="4"/>
        <v>482120.50040355121</v>
      </c>
      <c r="K7" s="122">
        <f t="shared" si="4"/>
        <v>526722.58064516122</v>
      </c>
      <c r="L7" s="122">
        <f t="shared" si="4"/>
        <v>553394.73684210517</v>
      </c>
      <c r="M7" s="122">
        <f t="shared" si="4"/>
        <v>643500</v>
      </c>
      <c r="N7" s="139">
        <f>(G7-B7)/B7*100</f>
        <v>-10.253843282315799</v>
      </c>
      <c r="O7" s="140">
        <f>(M7-H7)/H7*100</f>
        <v>44.397736459175412</v>
      </c>
      <c r="P7" s="139">
        <f>(M7-L7)/L7*100</f>
        <v>16.282276855770622</v>
      </c>
      <c r="Q7" s="141">
        <f>(1/12)*LN(M7/B7)</f>
        <v>2.7729839661503983E-2</v>
      </c>
      <c r="R7" s="123">
        <f>Q7*100</f>
        <v>2.7729839661503983</v>
      </c>
    </row>
    <row r="8" spans="1:20" x14ac:dyDescent="0.25">
      <c r="B8" s="46"/>
    </row>
    <row r="9" spans="1:20" ht="17.25" x14ac:dyDescent="0.25">
      <c r="O9" s="18"/>
      <c r="P9" s="100" t="s">
        <v>79</v>
      </c>
      <c r="Q9" s="104">
        <f>GEOMEAN(Q3:Q7)</f>
        <v>2.7324389356371725E-2</v>
      </c>
      <c r="R9" s="105">
        <f>Q9*100</f>
        <v>2.7324389356371723</v>
      </c>
    </row>
    <row r="57" spans="1:19" ht="17.25" x14ac:dyDescent="0.3">
      <c r="A57" s="3"/>
      <c r="B57" s="3"/>
      <c r="C57" s="3"/>
      <c r="D57" s="3"/>
      <c r="E57" s="3"/>
      <c r="F57" s="3"/>
      <c r="G57" s="3"/>
      <c r="H57" s="3"/>
      <c r="I57" s="3"/>
      <c r="J57" s="3"/>
      <c r="K57" s="3"/>
      <c r="L57" s="3"/>
      <c r="N57" s="4"/>
      <c r="O57" s="4"/>
      <c r="P57" s="4"/>
      <c r="Q57" s="4"/>
      <c r="R57" s="4"/>
      <c r="S57" s="2"/>
    </row>
    <row r="58" spans="1:19" ht="33" x14ac:dyDescent="0.3">
      <c r="A58" s="6" t="s">
        <v>80</v>
      </c>
      <c r="B58" s="146" t="s">
        <v>26</v>
      </c>
      <c r="C58" s="146" t="s">
        <v>38</v>
      </c>
      <c r="D58" s="146" t="s">
        <v>39</v>
      </c>
      <c r="E58" s="146" t="s">
        <v>40</v>
      </c>
      <c r="F58" s="146" t="s">
        <v>41</v>
      </c>
      <c r="G58" s="146" t="s">
        <v>42</v>
      </c>
      <c r="H58" s="146" t="s">
        <v>43</v>
      </c>
      <c r="I58" s="146" t="s">
        <v>44</v>
      </c>
      <c r="J58" s="146" t="s">
        <v>45</v>
      </c>
      <c r="K58" s="146" t="s">
        <v>46</v>
      </c>
      <c r="L58" s="146" t="s">
        <v>47</v>
      </c>
      <c r="M58" s="37" t="s">
        <v>48</v>
      </c>
      <c r="N58" s="37" t="s">
        <v>58</v>
      </c>
      <c r="O58" s="38" t="s">
        <v>59</v>
      </c>
      <c r="P58" s="38" t="s">
        <v>60</v>
      </c>
      <c r="Q58" s="38" t="s">
        <v>2</v>
      </c>
      <c r="R58" s="13" t="s">
        <v>53</v>
      </c>
      <c r="S58" s="2"/>
    </row>
    <row r="59" spans="1:19" ht="17.25" x14ac:dyDescent="0.3">
      <c r="A59" s="8" t="s">
        <v>6</v>
      </c>
      <c r="B59" s="23">
        <v>316000</v>
      </c>
      <c r="C59" s="23">
        <v>333000</v>
      </c>
      <c r="D59" s="23">
        <v>340000</v>
      </c>
      <c r="E59" s="23">
        <v>361500</v>
      </c>
      <c r="F59" s="23">
        <v>362000</v>
      </c>
      <c r="G59" s="23">
        <v>340500</v>
      </c>
      <c r="H59" s="23">
        <v>375000</v>
      </c>
      <c r="I59" s="23">
        <v>412500</v>
      </c>
      <c r="J59" s="23">
        <v>439000</v>
      </c>
      <c r="K59" s="23">
        <v>480000</v>
      </c>
      <c r="L59" s="23">
        <v>510000</v>
      </c>
      <c r="M59" s="50">
        <v>585000</v>
      </c>
      <c r="N59" s="52">
        <f>(G59-B59)/B59*100</f>
        <v>7.7531645569620249</v>
      </c>
      <c r="O59" s="52">
        <f>(M59-H59)/H59*100</f>
        <v>56.000000000000007</v>
      </c>
      <c r="P59" s="52">
        <f>(M59-L59)/L59*100</f>
        <v>14.705882352941178</v>
      </c>
      <c r="Q59" s="53">
        <f>(1/12)*LN(M59/B59)</f>
        <v>5.1322469470412031E-2</v>
      </c>
      <c r="R59" s="39">
        <f>Q59*100</f>
        <v>5.1322469470412031</v>
      </c>
      <c r="S59" s="2"/>
    </row>
    <row r="60" spans="1:19" ht="17.25" x14ac:dyDescent="0.3">
      <c r="A60" s="8" t="s">
        <v>7</v>
      </c>
      <c r="B60" s="23">
        <v>125000</v>
      </c>
      <c r="C60" s="23">
        <v>145000</v>
      </c>
      <c r="D60" s="23">
        <v>190000</v>
      </c>
      <c r="E60" s="23">
        <v>170000</v>
      </c>
      <c r="F60" s="23">
        <v>161000</v>
      </c>
      <c r="G60" s="23">
        <v>180000</v>
      </c>
      <c r="H60" s="23">
        <v>183500</v>
      </c>
      <c r="I60" s="23">
        <v>152000</v>
      </c>
      <c r="J60" s="23">
        <v>155000</v>
      </c>
      <c r="K60" s="23">
        <v>170000</v>
      </c>
      <c r="L60" s="23">
        <v>200000</v>
      </c>
      <c r="M60" s="51">
        <v>220000</v>
      </c>
      <c r="N60" s="52">
        <f>(G60-B60)/B60*100</f>
        <v>44</v>
      </c>
      <c r="O60" s="52">
        <f>(M60-H60)/H60*100</f>
        <v>19.891008174386922</v>
      </c>
      <c r="P60" s="52">
        <f>(M60-L60)/L60*100</f>
        <v>10</v>
      </c>
      <c r="Q60" s="53">
        <f>(1/12)*LN(M60/B60)</f>
        <v>4.7109484087505038E-2</v>
      </c>
      <c r="R60" s="39">
        <f>Q60*100</f>
        <v>4.7109484087505038</v>
      </c>
      <c r="S60" s="2"/>
    </row>
    <row r="61" spans="1:19" ht="17.25" x14ac:dyDescent="0.3">
      <c r="A61" s="8" t="s">
        <v>11</v>
      </c>
      <c r="B61" s="30">
        <f t="shared" ref="B61:M61" si="5">B59-B60</f>
        <v>191000</v>
      </c>
      <c r="C61" s="30">
        <f t="shared" si="5"/>
        <v>188000</v>
      </c>
      <c r="D61" s="30">
        <f t="shared" si="5"/>
        <v>150000</v>
      </c>
      <c r="E61" s="30">
        <f t="shared" si="5"/>
        <v>191500</v>
      </c>
      <c r="F61" s="30">
        <f t="shared" si="5"/>
        <v>201000</v>
      </c>
      <c r="G61" s="30">
        <f t="shared" si="5"/>
        <v>160500</v>
      </c>
      <c r="H61" s="30">
        <f t="shared" si="5"/>
        <v>191500</v>
      </c>
      <c r="I61" s="30">
        <f t="shared" si="5"/>
        <v>260500</v>
      </c>
      <c r="J61" s="30">
        <f t="shared" si="5"/>
        <v>284000</v>
      </c>
      <c r="K61" s="30">
        <f t="shared" si="5"/>
        <v>310000</v>
      </c>
      <c r="L61" s="30">
        <f t="shared" si="5"/>
        <v>310000</v>
      </c>
      <c r="M61" s="30">
        <f t="shared" si="5"/>
        <v>365000</v>
      </c>
      <c r="N61" s="52">
        <f>(G61-B61)/B61*100</f>
        <v>-15.968586387434556</v>
      </c>
      <c r="O61" s="52">
        <f>(M61-H61)/H61*100</f>
        <v>90.600522193211489</v>
      </c>
      <c r="P61" s="52">
        <f>(M61-L61)/L61*100</f>
        <v>17.741935483870968</v>
      </c>
      <c r="Q61" s="53">
        <f>(1/12)*LN(M61/B61)</f>
        <v>5.3968660461321795E-2</v>
      </c>
      <c r="R61" s="39">
        <f>Q61*100</f>
        <v>5.3968660461321791</v>
      </c>
      <c r="S61" s="2"/>
    </row>
    <row r="62" spans="1:19" ht="17.25" x14ac:dyDescent="0.3">
      <c r="A62" s="8" t="s">
        <v>52</v>
      </c>
      <c r="B62" s="30">
        <f>0.1*B59</f>
        <v>31600</v>
      </c>
      <c r="C62" s="30">
        <f t="shared" ref="C62:M62" si="6">0.1*C59</f>
        <v>33300</v>
      </c>
      <c r="D62" s="30">
        <f t="shared" si="6"/>
        <v>34000</v>
      </c>
      <c r="E62" s="30">
        <f t="shared" si="6"/>
        <v>36150</v>
      </c>
      <c r="F62" s="30">
        <f t="shared" si="6"/>
        <v>36200</v>
      </c>
      <c r="G62" s="30">
        <f t="shared" si="6"/>
        <v>34050</v>
      </c>
      <c r="H62" s="30">
        <f t="shared" si="6"/>
        <v>37500</v>
      </c>
      <c r="I62" s="30">
        <f t="shared" si="6"/>
        <v>41250</v>
      </c>
      <c r="J62" s="30">
        <f t="shared" si="6"/>
        <v>43900</v>
      </c>
      <c r="K62" s="30">
        <f t="shared" si="6"/>
        <v>48000</v>
      </c>
      <c r="L62" s="30">
        <f t="shared" si="6"/>
        <v>51000</v>
      </c>
      <c r="M62" s="30">
        <f t="shared" si="6"/>
        <v>58500</v>
      </c>
      <c r="N62" s="52">
        <f>(G62-B62)/B62*100</f>
        <v>7.7531645569620249</v>
      </c>
      <c r="O62" s="52">
        <f>(M62-H62)/H62*100</f>
        <v>56.000000000000007</v>
      </c>
      <c r="P62" s="52">
        <f>(M62-L62)/L62*100</f>
        <v>14.705882352941178</v>
      </c>
      <c r="Q62" s="53">
        <f>(1/12)*LN(M62/B62)</f>
        <v>5.1322469470412031E-2</v>
      </c>
      <c r="R62" s="39">
        <f>Q62*100</f>
        <v>5.1322469470412031</v>
      </c>
      <c r="S62" s="2"/>
    </row>
    <row r="63" spans="1:19" ht="17.25" x14ac:dyDescent="0.3">
      <c r="A63" s="108" t="s">
        <v>23</v>
      </c>
      <c r="B63" s="109">
        <f>B59+B62</f>
        <v>347600</v>
      </c>
      <c r="C63" s="109">
        <f t="shared" ref="C63:M63" si="7">C59+C62</f>
        <v>366300</v>
      </c>
      <c r="D63" s="109">
        <f t="shared" si="7"/>
        <v>374000</v>
      </c>
      <c r="E63" s="109">
        <f t="shared" si="7"/>
        <v>397650</v>
      </c>
      <c r="F63" s="109">
        <f t="shared" si="7"/>
        <v>398200</v>
      </c>
      <c r="G63" s="109">
        <f t="shared" si="7"/>
        <v>374550</v>
      </c>
      <c r="H63" s="109">
        <f t="shared" si="7"/>
        <v>412500</v>
      </c>
      <c r="I63" s="109">
        <f t="shared" si="7"/>
        <v>453750</v>
      </c>
      <c r="J63" s="109">
        <f t="shared" si="7"/>
        <v>482900</v>
      </c>
      <c r="K63" s="109">
        <f t="shared" si="7"/>
        <v>528000</v>
      </c>
      <c r="L63" s="109">
        <f t="shared" si="7"/>
        <v>561000</v>
      </c>
      <c r="M63" s="109">
        <f t="shared" si="7"/>
        <v>643500</v>
      </c>
      <c r="N63" s="110">
        <f>(G63-B63)/B63*100</f>
        <v>7.7531645569620249</v>
      </c>
      <c r="O63" s="110">
        <f>(M63-H63)/H63*100</f>
        <v>56.000000000000007</v>
      </c>
      <c r="P63" s="110">
        <f>(M63-L63)/L63*100</f>
        <v>14.705882352941178</v>
      </c>
      <c r="Q63" s="111">
        <f>(1/12)*LN(M63/B63)</f>
        <v>5.1322469470412031E-2</v>
      </c>
      <c r="R63" s="112">
        <f>Q63*100</f>
        <v>5.1322469470412031</v>
      </c>
      <c r="S63" s="2"/>
    </row>
    <row r="64" spans="1:19" ht="17.25" x14ac:dyDescent="0.3">
      <c r="A64" s="29"/>
      <c r="B64" s="30"/>
      <c r="C64" s="30"/>
      <c r="D64" s="30"/>
      <c r="E64" s="30"/>
      <c r="F64" s="30"/>
      <c r="G64" s="30"/>
      <c r="H64" s="30"/>
      <c r="I64" s="30"/>
      <c r="J64" s="30"/>
      <c r="K64" s="30"/>
      <c r="L64" s="30"/>
      <c r="M64" s="30"/>
      <c r="N64" s="31"/>
      <c r="O64" s="31"/>
      <c r="P64" s="31"/>
      <c r="Q64" s="99"/>
      <c r="R64" s="99"/>
      <c r="S64" s="2"/>
    </row>
    <row r="65" spans="1:19" ht="17.25" x14ac:dyDescent="0.3">
      <c r="A65" s="29"/>
      <c r="B65" s="30"/>
      <c r="C65" s="30"/>
      <c r="D65" s="30"/>
      <c r="E65" s="30"/>
      <c r="F65" s="30"/>
      <c r="G65" s="30"/>
      <c r="H65" s="30"/>
      <c r="I65" s="30"/>
      <c r="J65" s="30"/>
      <c r="K65" s="30"/>
      <c r="L65" s="30"/>
      <c r="M65" s="30"/>
      <c r="N65" s="31"/>
      <c r="O65" s="32"/>
      <c r="P65" s="101" t="s">
        <v>78</v>
      </c>
      <c r="Q65" s="102">
        <f>GEOMEAN(Q59:Q63)</f>
        <v>5.0960599031463681E-2</v>
      </c>
      <c r="R65" s="103">
        <f>Q65*100</f>
        <v>5.0960599031463678</v>
      </c>
      <c r="S65" s="2"/>
    </row>
    <row r="66" spans="1:19" ht="17.25" x14ac:dyDescent="0.3">
      <c r="A66" s="6" t="s">
        <v>9</v>
      </c>
      <c r="B66" s="7">
        <v>93.2</v>
      </c>
      <c r="C66" s="7">
        <v>98</v>
      </c>
      <c r="D66" s="7">
        <v>100.4</v>
      </c>
      <c r="E66" s="7">
        <v>105.7</v>
      </c>
      <c r="F66" s="7">
        <v>109.9</v>
      </c>
      <c r="G66" s="7">
        <v>111.9</v>
      </c>
      <c r="H66" s="7">
        <v>114.5</v>
      </c>
      <c r="I66" s="7">
        <v>118.7</v>
      </c>
      <c r="J66" s="7">
        <v>123.9</v>
      </c>
      <c r="K66" s="7">
        <v>124</v>
      </c>
      <c r="L66" s="7">
        <v>125.4</v>
      </c>
      <c r="M66" s="7">
        <v>123.7</v>
      </c>
    </row>
    <row r="71" spans="1:19" x14ac:dyDescent="0.25">
      <c r="A71" s="12" t="s">
        <v>74</v>
      </c>
      <c r="B71" s="98" t="s">
        <v>61</v>
      </c>
      <c r="C71" s="12" t="s">
        <v>75</v>
      </c>
      <c r="D71" s="64" t="s">
        <v>77</v>
      </c>
      <c r="E71" s="85" t="s">
        <v>7</v>
      </c>
      <c r="F71" s="85" t="s">
        <v>75</v>
      </c>
      <c r="G71" s="21"/>
      <c r="H71" s="89" t="s">
        <v>76</v>
      </c>
      <c r="I71" s="81"/>
      <c r="J71" s="7" t="s">
        <v>75</v>
      </c>
      <c r="K71" s="55"/>
      <c r="L71" s="7" t="s">
        <v>77</v>
      </c>
      <c r="M71" s="12" t="s">
        <v>21</v>
      </c>
      <c r="N71" s="12" t="s">
        <v>75</v>
      </c>
    </row>
    <row r="72" spans="1:19" ht="18.75" x14ac:dyDescent="0.3">
      <c r="A72" s="65">
        <v>1</v>
      </c>
      <c r="B72" s="68">
        <f>B3</f>
        <v>419412.01716738194</v>
      </c>
      <c r="C72" s="106">
        <f>STANDARDIZE(B72,442149.16,55942.56)</f>
        <v>-0.4064372962663495</v>
      </c>
      <c r="D72" s="75">
        <v>1</v>
      </c>
      <c r="E72" s="68">
        <f>B4</f>
        <v>165906.65236051503</v>
      </c>
      <c r="F72" s="106">
        <f>STANDARDIZE(E72,188370.62,24230.17)</f>
        <v>-0.92710730628323978</v>
      </c>
      <c r="G72" s="56"/>
      <c r="H72" s="60">
        <v>1</v>
      </c>
      <c r="I72" s="78">
        <f>B5</f>
        <v>253505.36480686691</v>
      </c>
      <c r="J72" s="107">
        <f>STANDARDIZE(I72,253778.54,55634.82)</f>
        <v>-4.9101478738152581E-3</v>
      </c>
      <c r="K72" s="56"/>
      <c r="L72" s="76">
        <v>1</v>
      </c>
      <c r="M72" s="79">
        <f>B6</f>
        <v>41941.2017167382</v>
      </c>
      <c r="N72" s="106">
        <f>STANDARDIZE(M72,44214.92,5594.26)</f>
        <v>-0.406437720674727</v>
      </c>
    </row>
    <row r="73" spans="1:19" ht="18.75" x14ac:dyDescent="0.3">
      <c r="A73" s="66">
        <v>2</v>
      </c>
      <c r="B73" s="69">
        <f>C3</f>
        <v>420327.55102040817</v>
      </c>
      <c r="C73" s="106">
        <f>STANDARDIZE(B73,442149.16,55942.56)</f>
        <v>-0.39007169102722167</v>
      </c>
      <c r="D73" s="76">
        <v>2</v>
      </c>
      <c r="E73" s="69">
        <f>C4</f>
        <v>183025.51020408163</v>
      </c>
      <c r="F73" s="106">
        <f t="shared" ref="F73:F83" si="8">STANDARDIZE(E73,188370.62,24230.17)</f>
        <v>-0.22059728825337868</v>
      </c>
      <c r="G73" s="61"/>
      <c r="H73" s="60">
        <v>2</v>
      </c>
      <c r="I73" s="79">
        <f>C5</f>
        <v>237302.04081632654</v>
      </c>
      <c r="J73" s="74">
        <f t="shared" ref="J73:J83" si="9">STANDARDIZE(I73,253778.54,55634.82)</f>
        <v>-0.296154443991613</v>
      </c>
      <c r="K73" s="61"/>
      <c r="L73" s="76">
        <v>2</v>
      </c>
      <c r="M73" s="79">
        <f>C6</f>
        <v>42032.755102040821</v>
      </c>
      <c r="N73" s="106">
        <f t="shared" ref="N73:N83" si="10">STANDARDIZE(M73,44214.92,5594.26)</f>
        <v>-0.39007212713731165</v>
      </c>
    </row>
    <row r="74" spans="1:19" ht="18.75" x14ac:dyDescent="0.3">
      <c r="A74" s="66">
        <v>3</v>
      </c>
      <c r="B74" s="69">
        <f>D3</f>
        <v>418904.38247011951</v>
      </c>
      <c r="C74" s="106">
        <f t="shared" ref="C74:C83" si="11">STANDARDIZE(B74,442149.16,55942.56)</f>
        <v>-0.4155115091243673</v>
      </c>
      <c r="D74" s="76">
        <v>3</v>
      </c>
      <c r="E74" s="69">
        <f>D4</f>
        <v>234093.62549800795</v>
      </c>
      <c r="F74" s="106">
        <f t="shared" si="8"/>
        <v>1.8870278457810226</v>
      </c>
      <c r="G74" s="61"/>
      <c r="H74" s="60">
        <v>3</v>
      </c>
      <c r="I74" s="79">
        <f>D5</f>
        <v>184810.75697211156</v>
      </c>
      <c r="J74" s="74">
        <f t="shared" si="9"/>
        <v>-1.2396514094570352</v>
      </c>
      <c r="K74" s="61"/>
      <c r="L74" s="76">
        <v>3</v>
      </c>
      <c r="M74" s="79">
        <f>D6</f>
        <v>41890.438247011953</v>
      </c>
      <c r="N74" s="106">
        <f t="shared" si="10"/>
        <v>-0.41551192704451445</v>
      </c>
    </row>
    <row r="75" spans="1:19" ht="18.75" x14ac:dyDescent="0.3">
      <c r="A75" s="66">
        <v>4</v>
      </c>
      <c r="B75" s="69">
        <f>E3</f>
        <v>423061.02175969724</v>
      </c>
      <c r="C75" s="106">
        <f t="shared" si="11"/>
        <v>-0.34120959498998149</v>
      </c>
      <c r="D75" s="76">
        <v>4</v>
      </c>
      <c r="E75" s="69">
        <f>E4</f>
        <v>198949.85808893092</v>
      </c>
      <c r="F75" s="106">
        <f t="shared" si="8"/>
        <v>0.4366142742263438</v>
      </c>
      <c r="G75" s="61"/>
      <c r="H75" s="60">
        <v>4</v>
      </c>
      <c r="I75" s="79">
        <f>E5</f>
        <v>224111.16367076631</v>
      </c>
      <c r="J75" s="74">
        <f t="shared" si="9"/>
        <v>-0.53325195137206693</v>
      </c>
      <c r="K75" s="61"/>
      <c r="L75" s="76">
        <v>4</v>
      </c>
      <c r="M75" s="79">
        <f>E6</f>
        <v>42306.102175969725</v>
      </c>
      <c r="N75" s="106">
        <f t="shared" si="10"/>
        <v>-0.34121006603737997</v>
      </c>
    </row>
    <row r="76" spans="1:19" ht="18.75" x14ac:dyDescent="0.3">
      <c r="A76" s="66">
        <v>5</v>
      </c>
      <c r="B76" s="69">
        <f>F3</f>
        <v>407455.86897179252</v>
      </c>
      <c r="C76" s="106">
        <f t="shared" si="11"/>
        <v>-0.62015916018515171</v>
      </c>
      <c r="D76" s="76">
        <v>5</v>
      </c>
      <c r="E76" s="69">
        <f>F4</f>
        <v>181216.56050955414</v>
      </c>
      <c r="F76" s="106">
        <f t="shared" si="8"/>
        <v>-0.29525420128896562</v>
      </c>
      <c r="G76" s="61"/>
      <c r="H76" s="60">
        <v>5</v>
      </c>
      <c r="I76" s="79">
        <f>F5</f>
        <v>226239.30846223838</v>
      </c>
      <c r="J76" s="74">
        <f t="shared" si="9"/>
        <v>-0.49499992159157941</v>
      </c>
      <c r="K76" s="61"/>
      <c r="L76" s="76">
        <v>5</v>
      </c>
      <c r="M76" s="79">
        <f>F6</f>
        <v>40745.586897179252</v>
      </c>
      <c r="N76" s="106">
        <f t="shared" si="10"/>
        <v>-0.62015943177842048</v>
      </c>
    </row>
    <row r="77" spans="1:19" ht="18.75" x14ac:dyDescent="0.3">
      <c r="A77" s="66">
        <v>6</v>
      </c>
      <c r="B77" s="69">
        <f>G3</f>
        <v>376406.16621983913</v>
      </c>
      <c r="C77" s="106">
        <f t="shared" si="11"/>
        <v>-1.1751874383324763</v>
      </c>
      <c r="D77" s="76">
        <v>6</v>
      </c>
      <c r="E77" s="69">
        <f>G4</f>
        <v>198981.23324396781</v>
      </c>
      <c r="F77" s="106">
        <f t="shared" si="8"/>
        <v>0.43790915391711321</v>
      </c>
      <c r="G77" s="61"/>
      <c r="H77" s="60">
        <v>6</v>
      </c>
      <c r="I77" s="79">
        <f>G5</f>
        <v>177424.93297587131</v>
      </c>
      <c r="J77" s="74">
        <f t="shared" si="9"/>
        <v>-1.3724068312637427</v>
      </c>
      <c r="K77" s="61"/>
      <c r="L77" s="76">
        <v>6</v>
      </c>
      <c r="M77" s="79">
        <f>G6</f>
        <v>37640.616621983914</v>
      </c>
      <c r="N77" s="106">
        <f t="shared" si="10"/>
        <v>-1.1751873130701975</v>
      </c>
    </row>
    <row r="78" spans="1:19" ht="18.75" x14ac:dyDescent="0.3">
      <c r="A78" s="66">
        <v>7</v>
      </c>
      <c r="B78" s="69">
        <f>H3</f>
        <v>405131.00436681224</v>
      </c>
      <c r="C78" s="106">
        <f t="shared" si="11"/>
        <v>-0.66171722626186102</v>
      </c>
      <c r="D78" s="76">
        <v>7</v>
      </c>
      <c r="E78" s="69">
        <f>H4</f>
        <v>198244.10480349345</v>
      </c>
      <c r="F78" s="106">
        <f t="shared" si="8"/>
        <v>0.40748722784418995</v>
      </c>
      <c r="G78" s="61"/>
      <c r="H78" s="60">
        <v>7</v>
      </c>
      <c r="I78" s="79">
        <f>H5</f>
        <v>206886.89956331879</v>
      </c>
      <c r="J78" s="74">
        <f t="shared" si="9"/>
        <v>-0.84284698749238729</v>
      </c>
      <c r="K78" s="61"/>
      <c r="L78" s="76">
        <v>7</v>
      </c>
      <c r="M78" s="79">
        <f>H6</f>
        <v>40513.100436681227</v>
      </c>
      <c r="N78" s="106">
        <f t="shared" si="10"/>
        <v>-0.66171746814033872</v>
      </c>
    </row>
    <row r="79" spans="1:19" ht="18.75" x14ac:dyDescent="0.3">
      <c r="A79" s="66">
        <v>8</v>
      </c>
      <c r="B79" s="69">
        <f>I3</f>
        <v>429875.73715248524</v>
      </c>
      <c r="C79" s="106">
        <f t="shared" si="11"/>
        <v>-0.21939329997616733</v>
      </c>
      <c r="D79" s="76">
        <v>8</v>
      </c>
      <c r="E79" s="69">
        <f>I4</f>
        <v>158402.69587194608</v>
      </c>
      <c r="F79" s="106">
        <f t="shared" si="8"/>
        <v>-1.23680205826265</v>
      </c>
      <c r="G79" s="61"/>
      <c r="H79" s="60">
        <v>8</v>
      </c>
      <c r="I79" s="79">
        <f>I5</f>
        <v>271473.04128053912</v>
      </c>
      <c r="J79" s="74">
        <f t="shared" si="9"/>
        <v>0.31804724596105671</v>
      </c>
      <c r="K79" s="61"/>
      <c r="L79" s="76">
        <v>8</v>
      </c>
      <c r="M79" s="79">
        <f>I6</f>
        <v>42987.573715248524</v>
      </c>
      <c r="N79" s="106">
        <f t="shared" si="10"/>
        <v>-0.21939385812448378</v>
      </c>
    </row>
    <row r="80" spans="1:19" ht="18.75" x14ac:dyDescent="0.3">
      <c r="A80" s="66">
        <v>9</v>
      </c>
      <c r="B80" s="69">
        <f>J3</f>
        <v>438291.36400322837</v>
      </c>
      <c r="C80" s="106">
        <f t="shared" si="11"/>
        <v>-6.8959947431286694E-2</v>
      </c>
      <c r="D80" s="76">
        <v>9</v>
      </c>
      <c r="E80" s="69">
        <f>J4</f>
        <v>154749.79822437448</v>
      </c>
      <c r="F80" s="106">
        <f t="shared" si="8"/>
        <v>-1.3875602926279724</v>
      </c>
      <c r="G80" s="61"/>
      <c r="H80" s="60">
        <v>9</v>
      </c>
      <c r="I80" s="79">
        <f>J5</f>
        <v>283541.5657788539</v>
      </c>
      <c r="J80" s="74">
        <f t="shared" si="9"/>
        <v>0.534971188526428</v>
      </c>
      <c r="K80" s="61"/>
      <c r="L80" s="76">
        <v>9</v>
      </c>
      <c r="M80" s="79">
        <f>J6</f>
        <v>43829.136400322837</v>
      </c>
      <c r="N80" s="106">
        <f t="shared" si="10"/>
        <v>-6.8960613142249549E-2</v>
      </c>
    </row>
    <row r="81" spans="1:14" ht="18.75" x14ac:dyDescent="0.3">
      <c r="A81" s="66">
        <v>10</v>
      </c>
      <c r="B81" s="69">
        <f>K3</f>
        <v>478838.70967741933</v>
      </c>
      <c r="C81" s="106">
        <f t="shared" si="11"/>
        <v>0.655843237732048</v>
      </c>
      <c r="D81" s="76">
        <v>10</v>
      </c>
      <c r="E81" s="69">
        <f>K4</f>
        <v>169588.70967741936</v>
      </c>
      <c r="F81" s="106">
        <f t="shared" si="8"/>
        <v>-0.77514562723169644</v>
      </c>
      <c r="G81" s="61"/>
      <c r="H81" s="60">
        <v>10</v>
      </c>
      <c r="I81" s="79">
        <f>K5</f>
        <v>309250</v>
      </c>
      <c r="J81" s="74">
        <f t="shared" si="9"/>
        <v>0.99706370938200195</v>
      </c>
      <c r="K81" s="61"/>
      <c r="L81" s="76">
        <v>10</v>
      </c>
      <c r="M81" s="79">
        <f>K6</f>
        <v>47883.870967741939</v>
      </c>
      <c r="N81" s="106">
        <f t="shared" si="10"/>
        <v>0.65584205377332139</v>
      </c>
    </row>
    <row r="82" spans="1:14" ht="18.75" x14ac:dyDescent="0.3">
      <c r="A82" s="66">
        <v>11</v>
      </c>
      <c r="B82" s="69">
        <f>L3</f>
        <v>503086.12440191384</v>
      </c>
      <c r="C82" s="106">
        <f t="shared" si="11"/>
        <v>1.0892773659609762</v>
      </c>
      <c r="D82" s="76">
        <v>11</v>
      </c>
      <c r="E82" s="69">
        <f>L4</f>
        <v>197288.67623604464</v>
      </c>
      <c r="F82" s="106">
        <f t="shared" si="8"/>
        <v>0.36805586737710261</v>
      </c>
      <c r="G82" s="61"/>
      <c r="H82" s="60">
        <v>11</v>
      </c>
      <c r="I82" s="79">
        <f>L5</f>
        <v>305797.44816586922</v>
      </c>
      <c r="J82" s="74">
        <f t="shared" si="9"/>
        <v>0.9350063173722718</v>
      </c>
      <c r="K82" s="61"/>
      <c r="L82" s="76">
        <v>11</v>
      </c>
      <c r="M82" s="79">
        <f>L6</f>
        <v>50308.612440191384</v>
      </c>
      <c r="N82" s="106">
        <f t="shared" si="10"/>
        <v>1.0892758720887812</v>
      </c>
    </row>
    <row r="83" spans="1:14" ht="18.75" x14ac:dyDescent="0.3">
      <c r="A83" s="66">
        <v>12</v>
      </c>
      <c r="B83" s="69">
        <f>M3</f>
        <v>585000</v>
      </c>
      <c r="C83" s="106">
        <f t="shared" si="11"/>
        <v>2.5535270463132189</v>
      </c>
      <c r="D83" s="76">
        <v>12</v>
      </c>
      <c r="E83" s="69">
        <f>M4</f>
        <v>220000</v>
      </c>
      <c r="F83" s="106">
        <f t="shared" si="8"/>
        <v>1.305371774114668</v>
      </c>
      <c r="G83" s="61"/>
      <c r="H83" s="60">
        <v>12</v>
      </c>
      <c r="I83" s="79">
        <f>M5</f>
        <v>365000</v>
      </c>
      <c r="J83" s="74">
        <f t="shared" si="9"/>
        <v>1.9991339955804655</v>
      </c>
      <c r="K83" s="61"/>
      <c r="L83" s="76">
        <v>12</v>
      </c>
      <c r="M83" s="79">
        <f>M6</f>
        <v>58500</v>
      </c>
      <c r="N83" s="106">
        <f t="shared" si="10"/>
        <v>2.5535245054752553</v>
      </c>
    </row>
    <row r="84" spans="1:14" x14ac:dyDescent="0.25">
      <c r="A84" s="56"/>
      <c r="B84" s="70"/>
      <c r="C84" s="56"/>
      <c r="D84" s="21"/>
      <c r="E84" s="70"/>
      <c r="F84" s="106"/>
      <c r="G84" s="56"/>
      <c r="I84" s="62"/>
      <c r="J84" s="21"/>
      <c r="K84" s="56"/>
      <c r="L84" s="21"/>
      <c r="M84" s="56"/>
      <c r="N84" s="56"/>
    </row>
    <row r="85" spans="1:14" x14ac:dyDescent="0.25">
      <c r="A85" s="90" t="s">
        <v>62</v>
      </c>
      <c r="B85" s="91">
        <f>AVERAGE(B72:B83)</f>
        <v>442149.16226759151</v>
      </c>
      <c r="C85" s="84"/>
      <c r="D85" s="92" t="s">
        <v>62</v>
      </c>
      <c r="E85" s="93">
        <f>AVERAGE(E72:E83)</f>
        <v>188370.61872652793</v>
      </c>
      <c r="F85" s="94"/>
      <c r="G85" s="56"/>
      <c r="H85" s="95" t="s">
        <v>62</v>
      </c>
      <c r="I85" s="96">
        <f>AVERAGE(I72:I83)</f>
        <v>253778.54354106353</v>
      </c>
      <c r="J85" s="20"/>
      <c r="K85" s="56"/>
      <c r="L85" s="92" t="s">
        <v>62</v>
      </c>
      <c r="M85" s="96">
        <f>AVERAGE(M72:M83)</f>
        <v>44214.916226759146</v>
      </c>
      <c r="N85" s="84"/>
    </row>
    <row r="86" spans="1:14" x14ac:dyDescent="0.25">
      <c r="A86" s="67" t="s">
        <v>63</v>
      </c>
      <c r="B86" s="71">
        <f>MEDIAN(B72:B83)</f>
        <v>421694.2863900527</v>
      </c>
      <c r="C86" s="56"/>
      <c r="D86" s="77" t="s">
        <v>63</v>
      </c>
      <c r="E86" s="72">
        <f>MEDIAN(E72:E83)</f>
        <v>190157.09322006314</v>
      </c>
      <c r="F86" s="62"/>
      <c r="G86" s="56"/>
      <c r="H86" s="59" t="s">
        <v>63</v>
      </c>
      <c r="I86" s="80">
        <f>MEDIAN(I72:I83)</f>
        <v>245403.70281159674</v>
      </c>
      <c r="J86" s="21"/>
      <c r="K86" s="56"/>
      <c r="L86" s="77" t="s">
        <v>63</v>
      </c>
      <c r="M86" s="80">
        <f>MEDIAN(M72:M83)</f>
        <v>42169.428639005273</v>
      </c>
      <c r="N86" s="56"/>
    </row>
    <row r="87" spans="1:14" x14ac:dyDescent="0.25">
      <c r="A87" s="67" t="s">
        <v>68</v>
      </c>
      <c r="B87" s="71">
        <f>_xlfn.STDEV.S(B72:B83)</f>
        <v>55942.555910405055</v>
      </c>
      <c r="C87" s="56"/>
      <c r="D87" s="77" t="s">
        <v>68</v>
      </c>
      <c r="E87" s="72">
        <f>_xlfn.STDEV.S(E72:E83)</f>
        <v>24230.166451449484</v>
      </c>
      <c r="F87" s="62"/>
      <c r="G87" s="56"/>
      <c r="H87" s="59" t="s">
        <v>68</v>
      </c>
      <c r="I87" s="80">
        <f>_xlfn.STDEV.S(I72:I83)</f>
        <v>55634.817753501258</v>
      </c>
      <c r="J87" s="21"/>
      <c r="K87" s="56"/>
      <c r="L87" s="77" t="s">
        <v>68</v>
      </c>
      <c r="M87" s="80">
        <f>_xlfn.STDEV.S(M72:M83)</f>
        <v>5594.2555910405108</v>
      </c>
      <c r="N87" s="56"/>
    </row>
    <row r="88" spans="1:14" x14ac:dyDescent="0.25">
      <c r="A88" s="67" t="s">
        <v>65</v>
      </c>
      <c r="B88" s="71">
        <f>MAX(B72:B83)</f>
        <v>585000</v>
      </c>
      <c r="C88" s="56"/>
      <c r="D88" s="77" t="s">
        <v>65</v>
      </c>
      <c r="E88" s="72">
        <f>MAX(E72:E83)</f>
        <v>234093.62549800795</v>
      </c>
      <c r="F88" s="62"/>
      <c r="G88" s="56"/>
      <c r="H88" s="59" t="s">
        <v>65</v>
      </c>
      <c r="I88" s="80">
        <f>MAX(I72:I83)</f>
        <v>365000</v>
      </c>
      <c r="J88" s="21"/>
      <c r="K88" s="56"/>
      <c r="L88" s="77" t="s">
        <v>65</v>
      </c>
      <c r="M88" s="80">
        <f>MAX(M72:M83)</f>
        <v>58500</v>
      </c>
      <c r="N88" s="56"/>
    </row>
    <row r="89" spans="1:14" x14ac:dyDescent="0.25">
      <c r="A89" s="67" t="s">
        <v>66</v>
      </c>
      <c r="B89" s="71">
        <f>MIN(B72:B83)</f>
        <v>376406.16621983913</v>
      </c>
      <c r="C89" s="56"/>
      <c r="D89" s="77" t="s">
        <v>66</v>
      </c>
      <c r="E89" s="72">
        <f>MIN(E72:E83)</f>
        <v>154749.79822437448</v>
      </c>
      <c r="F89" s="62"/>
      <c r="G89" s="56"/>
      <c r="H89" s="59" t="s">
        <v>66</v>
      </c>
      <c r="I89" s="80">
        <f>MIN(I72:I83)</f>
        <v>177424.93297587131</v>
      </c>
      <c r="J89" s="21"/>
      <c r="K89" s="56"/>
      <c r="L89" s="77" t="s">
        <v>66</v>
      </c>
      <c r="M89" s="80">
        <f>MIN(M72:M83)</f>
        <v>37640.616621983914</v>
      </c>
      <c r="N89" s="56"/>
    </row>
    <row r="90" spans="1:14" x14ac:dyDescent="0.25">
      <c r="A90" s="67" t="s">
        <v>64</v>
      </c>
      <c r="B90" s="71">
        <f>B88-B89</f>
        <v>208593.83378016087</v>
      </c>
      <c r="C90" s="56"/>
      <c r="D90" s="77" t="s">
        <v>64</v>
      </c>
      <c r="E90" s="72">
        <f>E88-E89</f>
        <v>79343.827273633477</v>
      </c>
      <c r="F90" s="62"/>
      <c r="G90" s="56"/>
      <c r="H90" s="59" t="s">
        <v>64</v>
      </c>
      <c r="I90" s="80">
        <f>I88-I89</f>
        <v>187575.06702412869</v>
      </c>
      <c r="J90" s="21"/>
      <c r="K90" s="56"/>
      <c r="L90" s="77" t="s">
        <v>64</v>
      </c>
      <c r="M90" s="80">
        <f>M88-M89</f>
        <v>20859.383378016086</v>
      </c>
      <c r="N90" s="56"/>
    </row>
    <row r="91" spans="1:14" x14ac:dyDescent="0.25">
      <c r="A91" s="67" t="s">
        <v>67</v>
      </c>
      <c r="B91" s="72">
        <f>_xlfn.VAR.S(B72:B83)</f>
        <v>3129569561.7887959</v>
      </c>
      <c r="C91" s="56"/>
      <c r="D91" s="77" t="s">
        <v>67</v>
      </c>
      <c r="E91" s="70">
        <f>_xlfn.VAR.S(E72:E83)</f>
        <v>587100966.26494801</v>
      </c>
      <c r="F91" s="62"/>
      <c r="G91" s="56"/>
      <c r="H91" s="59" t="s">
        <v>67</v>
      </c>
      <c r="I91" s="80">
        <f>_xlfn.VAR.S(I72:I83)</f>
        <v>3095232946.4652987</v>
      </c>
      <c r="J91" s="21"/>
      <c r="K91" s="56"/>
      <c r="L91" s="77" t="s">
        <v>67</v>
      </c>
      <c r="M91" s="80">
        <f>_xlfn.VAR.S(M72:M83)</f>
        <v>31295695.617888018</v>
      </c>
      <c r="N91" s="56"/>
    </row>
    <row r="92" spans="1:14" x14ac:dyDescent="0.25">
      <c r="A92" s="67" t="s">
        <v>69</v>
      </c>
      <c r="B92" s="73">
        <f>B87/B85*100%</f>
        <v>0.12652417031279653</v>
      </c>
      <c r="C92" s="56"/>
      <c r="D92" s="77" t="s">
        <v>69</v>
      </c>
      <c r="E92" s="73">
        <f>E87/E85*100%</f>
        <v>0.12863028541954452</v>
      </c>
      <c r="F92" s="62"/>
      <c r="G92" s="56"/>
      <c r="H92" s="59" t="s">
        <v>69</v>
      </c>
      <c r="I92" s="97">
        <f>I87/I85*100%</f>
        <v>0.21922585328613123</v>
      </c>
      <c r="J92" s="21"/>
      <c r="K92" s="56"/>
      <c r="L92" s="77" t="s">
        <v>69</v>
      </c>
      <c r="M92" s="97">
        <f>M87/M85*100%</f>
        <v>0.12652417031279667</v>
      </c>
      <c r="N92" s="56"/>
    </row>
    <row r="93" spans="1:14" x14ac:dyDescent="0.25">
      <c r="A93" s="67" t="s">
        <v>70</v>
      </c>
      <c r="B93" s="74">
        <f>_xlfn.QUARTILE.EXC(B72:B83,1)</f>
        <v>410317.99734637426</v>
      </c>
      <c r="C93" s="56"/>
      <c r="D93" s="77" t="s">
        <v>70</v>
      </c>
      <c r="E93" s="74">
        <f>_xlfn.QUARTILE.EXC(E72:E83,1)</f>
        <v>166827.16668974111</v>
      </c>
      <c r="F93" s="62"/>
      <c r="G93" s="56"/>
      <c r="H93" s="59" t="s">
        <v>70</v>
      </c>
      <c r="I93" s="80">
        <f>_xlfn.QUARTILE.EXC(I72:I83,1)</f>
        <v>211192.96559018065</v>
      </c>
      <c r="J93" s="21"/>
      <c r="K93" s="56"/>
      <c r="L93" s="77" t="s">
        <v>70</v>
      </c>
      <c r="M93" s="80">
        <f>_xlfn.QUARTILE.EXC(M72:M83,1)</f>
        <v>41031.799734637425</v>
      </c>
      <c r="N93" s="56"/>
    </row>
    <row r="94" spans="1:14" x14ac:dyDescent="0.25">
      <c r="A94" s="67" t="s">
        <v>71</v>
      </c>
      <c r="B94" s="74">
        <f>_xlfn.QUARTILE.EXC(B72:B83,2)</f>
        <v>421694.2863900527</v>
      </c>
      <c r="C94" s="56"/>
      <c r="D94" s="77" t="s">
        <v>71</v>
      </c>
      <c r="E94" s="74">
        <f>_xlfn.QUARTILE.EXC(E72:E83,2)</f>
        <v>190157.09322006314</v>
      </c>
      <c r="F94" s="62"/>
      <c r="G94" s="56"/>
      <c r="H94" s="59" t="s">
        <v>71</v>
      </c>
      <c r="I94" s="80">
        <f>_xlfn.QUARTILE.EXC($I72:$I83,2)</f>
        <v>245403.70281159674</v>
      </c>
      <c r="J94" s="21"/>
      <c r="K94" s="56"/>
      <c r="L94" s="77" t="s">
        <v>71</v>
      </c>
      <c r="M94" s="80">
        <f>_xlfn.QUARTILE.EXC(M72:M83,2)</f>
        <v>42169.428639005273</v>
      </c>
      <c r="N94" s="56"/>
    </row>
    <row r="95" spans="1:14" x14ac:dyDescent="0.25">
      <c r="A95" s="67" t="s">
        <v>72</v>
      </c>
      <c r="B95" s="74">
        <f>_xlfn.QUARTILE.EXC(B72:B83,3)</f>
        <v>468701.87325887161</v>
      </c>
      <c r="C95" s="56"/>
      <c r="D95" s="77" t="s">
        <v>72</v>
      </c>
      <c r="E95" s="74">
        <f>_xlfn.QUARTILE.EXC(E72:E83,3)</f>
        <v>198973.38945520858</v>
      </c>
      <c r="F95" s="62"/>
      <c r="G95" s="56"/>
      <c r="H95" s="59" t="s">
        <v>72</v>
      </c>
      <c r="I95" s="80">
        <f>_xlfn.QUARTILE.EXC($I72:$I83,3)</f>
        <v>300233.47756911541</v>
      </c>
      <c r="J95" s="21"/>
      <c r="K95" s="56"/>
      <c r="L95" s="77" t="s">
        <v>72</v>
      </c>
      <c r="M95" s="80">
        <f>_xlfn.QUARTILE.EXC(M72:M83,3)</f>
        <v>46870.187325887164</v>
      </c>
      <c r="N95" s="56"/>
    </row>
    <row r="96" spans="1:14" x14ac:dyDescent="0.25">
      <c r="A96" s="86" t="s">
        <v>73</v>
      </c>
      <c r="B96" s="82">
        <f>B95-B93</f>
        <v>58383.875912497344</v>
      </c>
      <c r="C96" s="63"/>
      <c r="D96" s="57" t="s">
        <v>73</v>
      </c>
      <c r="E96" s="82">
        <f>E95-E93</f>
        <v>32146.222765467479</v>
      </c>
      <c r="F96" s="87"/>
      <c r="G96" s="21"/>
      <c r="H96" s="88" t="s">
        <v>73</v>
      </c>
      <c r="I96" s="83">
        <f>I95-I93</f>
        <v>89040.511978934752</v>
      </c>
      <c r="J96" s="54"/>
      <c r="K96" s="55"/>
      <c r="L96" s="57" t="s">
        <v>73</v>
      </c>
      <c r="M96" s="83">
        <f>M95-M93</f>
        <v>5838.3875912497388</v>
      </c>
      <c r="N96" s="63"/>
    </row>
  </sheetData>
  <conditionalFormatting sqref="A6">
    <cfRule type="colorScale" priority="13">
      <colorScale>
        <cfvo type="min"/>
        <cfvo type="percentile" val="50"/>
        <cfvo type="max"/>
        <color rgb="FFF8696B"/>
        <color rgb="FFFFEB84"/>
        <color rgb="FF63BE7B"/>
      </colorScale>
    </cfRule>
  </conditionalFormatting>
  <conditionalFormatting sqref="B6:M6">
    <cfRule type="colorScale" priority="12">
      <colorScale>
        <cfvo type="min"/>
        <cfvo type="percentile" val="50"/>
        <cfvo type="max"/>
        <color rgb="FFF8696B"/>
        <color rgb="FFFFEB84"/>
        <color rgb="FF63BE7B"/>
      </colorScale>
    </cfRule>
  </conditionalFormatting>
  <conditionalFormatting sqref="R3:R7">
    <cfRule type="dataBar" priority="11">
      <dataBar>
        <cfvo type="min"/>
        <cfvo type="max"/>
        <color rgb="FFFFB628"/>
      </dataBar>
      <extLst>
        <ext xmlns:x14="http://schemas.microsoft.com/office/spreadsheetml/2009/9/main" uri="{B025F937-C7B1-47D3-B67F-A62EFF666E3E}">
          <x14:id>{815B1372-2ED3-45BE-AFEE-E4477313D56D}</x14:id>
        </ext>
      </extLst>
    </cfRule>
  </conditionalFormatting>
  <conditionalFormatting sqref="B62:M62">
    <cfRule type="colorScale" priority="10">
      <colorScale>
        <cfvo type="min"/>
        <cfvo type="percentile" val="50"/>
        <cfvo type="max"/>
        <color rgb="FFF8696B"/>
        <color rgb="FFFFEB84"/>
        <color rgb="FF63BE7B"/>
      </colorScale>
    </cfRule>
  </conditionalFormatting>
  <conditionalFormatting sqref="N59:N64">
    <cfRule type="dataBar" priority="9">
      <dataBar>
        <cfvo type="min"/>
        <cfvo type="max"/>
        <color rgb="FF638EC6"/>
      </dataBar>
      <extLst>
        <ext xmlns:x14="http://schemas.microsoft.com/office/spreadsheetml/2009/9/main" uri="{B025F937-C7B1-47D3-B67F-A62EFF666E3E}">
          <x14:id>{157629AF-832C-4D4A-A694-5AF5E94A204A}</x14:id>
        </ext>
      </extLst>
    </cfRule>
  </conditionalFormatting>
  <conditionalFormatting sqref="N2:N7">
    <cfRule type="dataBar" priority="8">
      <dataBar>
        <cfvo type="min"/>
        <cfvo type="max"/>
        <color rgb="FF638EC6"/>
      </dataBar>
      <extLst>
        <ext xmlns:x14="http://schemas.microsoft.com/office/spreadsheetml/2009/9/main" uri="{B025F937-C7B1-47D3-B67F-A62EFF666E3E}">
          <x14:id>{A42624BD-8CFC-4491-9B7C-DC177FBC568A}</x14:id>
        </ext>
      </extLst>
    </cfRule>
  </conditionalFormatting>
  <conditionalFormatting sqref="O2:O7">
    <cfRule type="dataBar" priority="7">
      <dataBar>
        <cfvo type="min"/>
        <cfvo type="max"/>
        <color rgb="FF63C384"/>
      </dataBar>
      <extLst>
        <ext xmlns:x14="http://schemas.microsoft.com/office/spreadsheetml/2009/9/main" uri="{B025F937-C7B1-47D3-B67F-A62EFF666E3E}">
          <x14:id>{891EBBFE-840C-4934-BBC6-E1F051C5E558}</x14:id>
        </ext>
      </extLst>
    </cfRule>
  </conditionalFormatting>
  <conditionalFormatting sqref="O59:O64">
    <cfRule type="dataBar" priority="6">
      <dataBar>
        <cfvo type="min"/>
        <cfvo type="max"/>
        <color rgb="FF63C384"/>
      </dataBar>
      <extLst>
        <ext xmlns:x14="http://schemas.microsoft.com/office/spreadsheetml/2009/9/main" uri="{B025F937-C7B1-47D3-B67F-A62EFF666E3E}">
          <x14:id>{29550E06-26F3-4C66-BD46-99B3AB0C0986}</x14:id>
        </ext>
      </extLst>
    </cfRule>
  </conditionalFormatting>
  <conditionalFormatting sqref="P59:P65">
    <cfRule type="dataBar" priority="5">
      <dataBar>
        <cfvo type="min"/>
        <cfvo type="max"/>
        <color rgb="FFD6007B"/>
      </dataBar>
      <extLst>
        <ext xmlns:x14="http://schemas.microsoft.com/office/spreadsheetml/2009/9/main" uri="{B025F937-C7B1-47D3-B67F-A62EFF666E3E}">
          <x14:id>{CE8E1D07-A554-4A06-820B-621224636E9D}</x14:id>
        </ext>
      </extLst>
    </cfRule>
  </conditionalFormatting>
  <conditionalFormatting sqref="P2:P7">
    <cfRule type="dataBar" priority="4">
      <dataBar>
        <cfvo type="min"/>
        <cfvo type="max"/>
        <color rgb="FFD6007B"/>
      </dataBar>
      <extLst>
        <ext xmlns:x14="http://schemas.microsoft.com/office/spreadsheetml/2009/9/main" uri="{B025F937-C7B1-47D3-B67F-A62EFF666E3E}">
          <x14:id>{9A5BE114-AEB4-47E7-BF90-28C132D50F1E}</x14:id>
        </ext>
      </extLst>
    </cfRule>
  </conditionalFormatting>
  <conditionalFormatting sqref="R59:R64 Q64">
    <cfRule type="dataBar" priority="3">
      <dataBar>
        <cfvo type="min"/>
        <cfvo type="max"/>
        <color rgb="FFFFB628"/>
      </dataBar>
      <extLst>
        <ext xmlns:x14="http://schemas.microsoft.com/office/spreadsheetml/2009/9/main" uri="{B025F937-C7B1-47D3-B67F-A62EFF666E3E}">
          <x14:id>{812CCFD3-148F-4C19-B26E-75A75F551BF5}</x14:id>
        </ext>
      </extLst>
    </cfRule>
  </conditionalFormatting>
  <conditionalFormatting sqref="B7:M7">
    <cfRule type="colorScale" priority="2">
      <colorScale>
        <cfvo type="min"/>
        <cfvo type="percentile" val="50"/>
        <cfvo type="max"/>
        <color rgb="FFF8696B"/>
        <color rgb="FFFFEB84"/>
        <color rgb="FF63BE7B"/>
      </colorScale>
    </cfRule>
  </conditionalFormatting>
  <conditionalFormatting sqref="A66:M66">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dataBar" id="{815B1372-2ED3-45BE-AFEE-E4477313D56D}">
            <x14:dataBar minLength="0" maxLength="100" border="1" negativeBarBorderColorSameAsPositive="0">
              <x14:cfvo type="autoMin"/>
              <x14:cfvo type="autoMax"/>
              <x14:borderColor rgb="FFFFB628"/>
              <x14:negativeFillColor rgb="FFFF0000"/>
              <x14:negativeBorderColor rgb="FFFF0000"/>
              <x14:axisColor rgb="FF000000"/>
            </x14:dataBar>
          </x14:cfRule>
          <xm:sqref>R3:R7</xm:sqref>
        </x14:conditionalFormatting>
        <x14:conditionalFormatting xmlns:xm="http://schemas.microsoft.com/office/excel/2006/main">
          <x14:cfRule type="dataBar" id="{157629AF-832C-4D4A-A694-5AF5E94A204A}">
            <x14:dataBar minLength="0" maxLength="100" border="1" negativeBarBorderColorSameAsPositive="0">
              <x14:cfvo type="autoMin"/>
              <x14:cfvo type="autoMax"/>
              <x14:borderColor rgb="FF638EC6"/>
              <x14:negativeFillColor rgb="FFFF0000"/>
              <x14:negativeBorderColor rgb="FFFF0000"/>
              <x14:axisColor rgb="FF000000"/>
            </x14:dataBar>
          </x14:cfRule>
          <xm:sqref>N59:N64</xm:sqref>
        </x14:conditionalFormatting>
        <x14:conditionalFormatting xmlns:xm="http://schemas.microsoft.com/office/excel/2006/main">
          <x14:cfRule type="dataBar" id="{A42624BD-8CFC-4491-9B7C-DC177FBC568A}">
            <x14:dataBar minLength="0" maxLength="100" border="1" negativeBarBorderColorSameAsPositive="0">
              <x14:cfvo type="autoMin"/>
              <x14:cfvo type="autoMax"/>
              <x14:borderColor rgb="FF638EC6"/>
              <x14:negativeFillColor rgb="FFFF0000"/>
              <x14:negativeBorderColor rgb="FFFF0000"/>
              <x14:axisColor rgb="FF000000"/>
            </x14:dataBar>
          </x14:cfRule>
          <xm:sqref>N2:N7</xm:sqref>
        </x14:conditionalFormatting>
        <x14:conditionalFormatting xmlns:xm="http://schemas.microsoft.com/office/excel/2006/main">
          <x14:cfRule type="dataBar" id="{891EBBFE-840C-4934-BBC6-E1F051C5E558}">
            <x14:dataBar minLength="0" maxLength="100" border="1" negativeBarBorderColorSameAsPositive="0">
              <x14:cfvo type="autoMin"/>
              <x14:cfvo type="autoMax"/>
              <x14:borderColor rgb="FF63C384"/>
              <x14:negativeFillColor rgb="FFFF0000"/>
              <x14:negativeBorderColor rgb="FFFF0000"/>
              <x14:axisColor rgb="FF000000"/>
            </x14:dataBar>
          </x14:cfRule>
          <xm:sqref>O2:O7</xm:sqref>
        </x14:conditionalFormatting>
        <x14:conditionalFormatting xmlns:xm="http://schemas.microsoft.com/office/excel/2006/main">
          <x14:cfRule type="dataBar" id="{29550E06-26F3-4C66-BD46-99B3AB0C0986}">
            <x14:dataBar minLength="0" maxLength="100" border="1" negativeBarBorderColorSameAsPositive="0">
              <x14:cfvo type="autoMin"/>
              <x14:cfvo type="autoMax"/>
              <x14:borderColor rgb="FF63C384"/>
              <x14:negativeFillColor rgb="FFFF0000"/>
              <x14:negativeBorderColor rgb="FFFF0000"/>
              <x14:axisColor rgb="FF000000"/>
            </x14:dataBar>
          </x14:cfRule>
          <xm:sqref>O59:O64</xm:sqref>
        </x14:conditionalFormatting>
        <x14:conditionalFormatting xmlns:xm="http://schemas.microsoft.com/office/excel/2006/main">
          <x14:cfRule type="dataBar" id="{CE8E1D07-A554-4A06-820B-621224636E9D}">
            <x14:dataBar minLength="0" maxLength="100" border="1" negativeBarBorderColorSameAsPositive="0">
              <x14:cfvo type="autoMin"/>
              <x14:cfvo type="autoMax"/>
              <x14:borderColor rgb="FFD6007B"/>
              <x14:negativeFillColor rgb="FFFF0000"/>
              <x14:negativeBorderColor rgb="FFFF0000"/>
              <x14:axisColor rgb="FF000000"/>
            </x14:dataBar>
          </x14:cfRule>
          <xm:sqref>P59:P65</xm:sqref>
        </x14:conditionalFormatting>
        <x14:conditionalFormatting xmlns:xm="http://schemas.microsoft.com/office/excel/2006/main">
          <x14:cfRule type="dataBar" id="{9A5BE114-AEB4-47E7-BF90-28C132D50F1E}">
            <x14:dataBar minLength="0" maxLength="100" border="1" negativeBarBorderColorSameAsPositive="0">
              <x14:cfvo type="autoMin"/>
              <x14:cfvo type="autoMax"/>
              <x14:borderColor rgb="FFD6007B"/>
              <x14:negativeFillColor rgb="FFFF0000"/>
              <x14:negativeBorderColor rgb="FFFF0000"/>
              <x14:axisColor rgb="FF000000"/>
            </x14:dataBar>
          </x14:cfRule>
          <xm:sqref>P2:P7</xm:sqref>
        </x14:conditionalFormatting>
        <x14:conditionalFormatting xmlns:xm="http://schemas.microsoft.com/office/excel/2006/main">
          <x14:cfRule type="dataBar" id="{812CCFD3-148F-4C19-B26E-75A75F551BF5}">
            <x14:dataBar minLength="0" maxLength="100" border="1" negativeBarBorderColorSameAsPositive="0">
              <x14:cfvo type="autoMin"/>
              <x14:cfvo type="autoMax"/>
              <x14:borderColor rgb="FFFFB628"/>
              <x14:negativeFillColor rgb="FFFF0000"/>
              <x14:negativeBorderColor rgb="FFFF0000"/>
              <x14:axisColor rgb="FF000000"/>
            </x14:dataBar>
          </x14:cfRule>
          <xm:sqref>R59:R64 Q64</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xr2:uid="{277C0AA5-561D-46B4-8F8F-1630EE07358A}">
          <x14:colorSeries rgb="FF376092"/>
          <x14:colorNegative rgb="FFD00000"/>
          <x14:colorAxis rgb="FF000000"/>
          <x14:colorMarkers rgb="FFD00000"/>
          <x14:colorFirst rgb="FFD00000"/>
          <x14:colorLast rgb="FFD00000"/>
          <x14:colorHigh rgb="FFD00000"/>
          <x14:colorLow rgb="FFD00000"/>
          <x14:sparklines>
            <x14:sparkline>
              <xm:f>Conslusion!B3:M3</xm:f>
              <xm:sqref>S3</xm:sqref>
            </x14:sparkline>
            <x14:sparkline>
              <xm:f>Conslusion!B4:M4</xm:f>
              <xm:sqref>S4</xm:sqref>
            </x14:sparkline>
            <x14:sparkline>
              <xm:f>Conslusion!B5:M5</xm:f>
              <xm:sqref>S5</xm:sqref>
            </x14:sparkline>
            <x14:sparkline>
              <xm:f>Conslusion!B6:M6</xm:f>
              <xm:sqref>S6</xm:sqref>
            </x14:sparkline>
            <x14:sparkline>
              <xm:f>Conslusion!B7:M7</xm:f>
              <xm:sqref>S7</xm:sqref>
            </x14:sparkline>
          </x14:sparklines>
        </x14:sparklineGroup>
        <x14:sparklineGroup displayEmptyCellsAs="gap" high="1" low="1" xr2:uid="{C398BA43-85BC-4A3E-B97C-9EF842011D3A}">
          <x14:colorSeries rgb="FF376092"/>
          <x14:colorNegative rgb="FFD00000"/>
          <x14:colorAxis rgb="FF000000"/>
          <x14:colorMarkers rgb="FFD00000"/>
          <x14:colorFirst rgb="FFD00000"/>
          <x14:colorLast rgb="FFD00000"/>
          <x14:colorHigh rgb="FFD00000"/>
          <x14:colorLow rgb="FFD00000"/>
          <x14:sparklines>
            <x14:sparkline>
              <xm:f>Conslusion!B59:M59</xm:f>
              <xm:sqref>S59</xm:sqref>
            </x14:sparkline>
            <x14:sparkline>
              <xm:f>Conslusion!B60:M60</xm:f>
              <xm:sqref>S60</xm:sqref>
            </x14:sparkline>
            <x14:sparkline>
              <xm:f>Conslusion!B61:M61</xm:f>
              <xm:sqref>S61</xm:sqref>
            </x14:sparkline>
            <x14:sparkline>
              <xm:f>Conslusion!B62:M62</xm:f>
              <xm:sqref>S62</xm:sqref>
            </x14:sparkline>
            <x14:sparkline>
              <xm:f>Conslusion!B63:M63</xm:f>
              <xm:sqref>S63</xm:sqref>
            </x14:sparkline>
          </x14:sparklines>
        </x14:sparklineGroup>
        <x14:sparklineGroup displayEmptyCellsAs="gap" high="1" low="1" negative="1" xr2:uid="{C59B557A-4B0A-4DEA-B3B9-AD5B76ADB835}">
          <x14:colorSeries rgb="FF376092"/>
          <x14:colorNegative rgb="FFD00000"/>
          <x14:colorAxis rgb="FF000000"/>
          <x14:colorMarkers rgb="FFD00000"/>
          <x14:colorFirst rgb="FFD00000"/>
          <x14:colorLast rgb="FFD00000"/>
          <x14:colorHigh rgb="FFD00000"/>
          <x14:colorLow rgb="FFD00000"/>
          <x14:sparklines>
            <x14:sparkline>
              <xm:f>Conslusion!N59:N63</xm:f>
              <xm:sqref>N64</xm:sqref>
            </x14:sparkline>
          </x14:sparklines>
        </x14:sparklineGroup>
        <x14:sparklineGroup displayEmptyCellsAs="gap" high="1" low="1" negative="1" xr2:uid="{E31BC8DF-7BDD-4F19-B4DB-86D2E00A74A7}">
          <x14:colorSeries rgb="FF376092"/>
          <x14:colorNegative rgb="FFD00000"/>
          <x14:colorAxis rgb="FF000000"/>
          <x14:colorMarkers rgb="FFD00000"/>
          <x14:colorFirst rgb="FFD00000"/>
          <x14:colorLast rgb="FFD00000"/>
          <x14:colorHigh rgb="FFD00000"/>
          <x14:colorLow rgb="FFD00000"/>
          <x14:sparklines>
            <x14:sparkline>
              <xm:f>Conslusion!O59:O63</xm:f>
              <xm:sqref>O64</xm:sqref>
            </x14:sparkline>
          </x14:sparklines>
        </x14:sparklineGroup>
        <x14:sparklineGroup displayEmptyCellsAs="gap" high="1" low="1" negative="1" xr2:uid="{975C2453-3580-425F-8DE4-A85644D2E60B}">
          <x14:colorSeries rgb="FF376092"/>
          <x14:colorNegative rgb="FFD00000"/>
          <x14:colorAxis rgb="FF000000"/>
          <x14:colorMarkers rgb="FFD00000"/>
          <x14:colorFirst rgb="FFD00000"/>
          <x14:colorLast rgb="FFD00000"/>
          <x14:colorHigh rgb="FFD00000"/>
          <x14:colorLow rgb="FFD00000"/>
          <x14:sparklines>
            <x14:sparkline>
              <xm:f>Conslusion!P59:P63</xm:f>
              <xm:sqref>P64</xm:sqref>
            </x14:sparkline>
          </x14:sparklines>
        </x14:sparklineGroup>
        <x14:sparklineGroup manualMax="0" manualMin="0" displayEmptyCellsAs="gap" high="1" low="1" negative="1" xr2:uid="{65AED949-9345-4B40-8ECB-6E6F0766D1AC}">
          <x14:colorSeries rgb="FF376092"/>
          <x14:colorNegative rgb="FFD00000"/>
          <x14:colorAxis rgb="FF000000"/>
          <x14:colorMarkers rgb="FFD00000"/>
          <x14:colorFirst rgb="FFD00000"/>
          <x14:colorLast rgb="FFD00000"/>
          <x14:colorHigh rgb="FFD00000"/>
          <x14:colorLow rgb="FFD00000"/>
          <x14:sparklines>
            <x14:sparkline>
              <xm:f>Conslusion!R3:R7</xm:f>
              <xm:sqref>R8</xm:sqref>
            </x14:sparkline>
          </x14:sparklines>
        </x14:sparklineGroup>
        <x14:sparklineGroup manualMax="0" manualMin="0" displayEmptyCellsAs="gap" high="1" low="1" negative="1" xr2:uid="{DFA3CAF4-84AE-4C53-A57E-4B4B6774E281}">
          <x14:colorSeries rgb="FF376092"/>
          <x14:colorNegative rgb="FFD00000"/>
          <x14:colorAxis rgb="FF000000"/>
          <x14:colorMarkers rgb="FFD00000"/>
          <x14:colorFirst rgb="FFD00000"/>
          <x14:colorLast rgb="FFD00000"/>
          <x14:colorHigh rgb="FFD00000"/>
          <x14:colorLow rgb="FFD00000"/>
          <x14:sparklines>
            <x14:sparkline>
              <xm:f>Conslusion!Q3:Q7</xm:f>
              <xm:sqref>Q8</xm:sqref>
            </x14:sparkline>
          </x14:sparklines>
        </x14:sparklineGroup>
        <x14:sparklineGroup manualMax="0" manualMin="0" displayEmptyCellsAs="gap" high="1" low="1" negative="1" xr2:uid="{4D346F6B-F2C7-4827-A13B-DCF18E1145C4}">
          <x14:colorSeries rgb="FF376092"/>
          <x14:colorNegative rgb="FFD00000"/>
          <x14:colorAxis rgb="FF000000"/>
          <x14:colorMarkers rgb="FFD00000"/>
          <x14:colorFirst rgb="FFD00000"/>
          <x14:colorLast rgb="FFD00000"/>
          <x14:colorHigh rgb="FFD00000"/>
          <x14:colorLow rgb="FFD00000"/>
          <x14:sparklines>
            <x14:sparkline>
              <xm:f>Conslusion!Q59:Q63</xm:f>
              <xm:sqref>Q64</xm:sqref>
            </x14:sparkline>
          </x14:sparklines>
        </x14:sparklineGroup>
        <x14:sparklineGroup displayEmptyCellsAs="gap" high="1" low="1" negative="1" xr2:uid="{9E495B76-345F-40BE-AE27-92F2C05CEAAE}">
          <x14:colorSeries rgb="FF376092"/>
          <x14:colorNegative rgb="FFD00000"/>
          <x14:colorAxis rgb="FF000000"/>
          <x14:colorMarkers rgb="FFD00000"/>
          <x14:colorFirst rgb="FFD00000"/>
          <x14:colorLast rgb="FFD00000"/>
          <x14:colorHigh rgb="FFD00000"/>
          <x14:colorLow rgb="FFD00000"/>
          <x14:sparklines>
            <x14:sparkline>
              <xm:f>Conslusion!P3:P7</xm:f>
              <xm:sqref>P8</xm:sqref>
            </x14:sparkline>
          </x14:sparklines>
        </x14:sparklineGroup>
        <x14:sparklineGroup manualMax="0" manualMin="0" displayEmptyCellsAs="gap" high="1" low="1" negative="1" xr2:uid="{1CBC971E-228A-40CE-A31C-2FC98A854540}">
          <x14:colorSeries rgb="FF376092"/>
          <x14:colorNegative rgb="FFD00000"/>
          <x14:colorAxis rgb="FF000000"/>
          <x14:colorMarkers rgb="FFD00000"/>
          <x14:colorFirst rgb="FFD00000"/>
          <x14:colorLast rgb="FFD00000"/>
          <x14:colorHigh rgb="FFD00000"/>
          <x14:colorLow rgb="FFD00000"/>
          <x14:sparklines>
            <x14:sparkline>
              <xm:f>Conslusion!R59:R63</xm:f>
              <xm:sqref>R64</xm:sqref>
            </x14:sparkline>
          </x14:sparklines>
        </x14:sparklineGroup>
        <x14:sparklineGroup displayEmptyCellsAs="gap" high="1" low="1" negative="1" xr2:uid="{560C03E1-78C4-488D-B23F-D164E87494D4}">
          <x14:colorSeries rgb="FF376092"/>
          <x14:colorNegative rgb="FFD00000"/>
          <x14:colorAxis rgb="FF000000"/>
          <x14:colorMarkers rgb="FFD00000"/>
          <x14:colorFirst rgb="FFD00000"/>
          <x14:colorLast rgb="FFD00000"/>
          <x14:colorHigh rgb="FFD00000"/>
          <x14:colorLow rgb="FFD00000"/>
          <x14:sparklines>
            <x14:sparkline>
              <xm:f>Conslusion!O3:O7</xm:f>
              <xm:sqref>O8</xm:sqref>
            </x14:sparkline>
          </x14:sparklines>
        </x14:sparklineGroup>
        <x14:sparklineGroup displayEmptyCellsAs="gap" high="1" low="1" negative="1" xr2:uid="{7E5DF279-ACD1-48BB-9FD8-D412320F79A1}">
          <x14:colorSeries rgb="FF376092"/>
          <x14:colorNegative rgb="FFD00000"/>
          <x14:colorAxis rgb="FF000000"/>
          <x14:colorMarkers rgb="FFD00000"/>
          <x14:colorFirst rgb="FFD00000"/>
          <x14:colorLast rgb="FFD00000"/>
          <x14:colorHigh rgb="FFD00000"/>
          <x14:colorLow rgb="FFD00000"/>
          <x14:sparklines>
            <x14:sparkline>
              <xm:f>Conslusion!N3:N7</xm:f>
              <xm:sqref>N8</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 &amp; Contents</vt:lpstr>
      <vt:lpstr>Price Determination</vt:lpstr>
      <vt:lpstr>Positive Report</vt:lpstr>
      <vt:lpstr>Negative Report</vt:lpstr>
      <vt:lpstr>Conslusion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Agarwal</dc:creator>
  <cp:lastModifiedBy>Aditya Agarwal</cp:lastModifiedBy>
  <dcterms:created xsi:type="dcterms:W3CDTF">2021-08-10T10:23:45Z</dcterms:created>
  <dcterms:modified xsi:type="dcterms:W3CDTF">2021-08-19T19:43:22Z</dcterms:modified>
</cp:coreProperties>
</file>