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dithya Ajith\OneDrive - CTW Systems Private Limited\Documents\PROJECTS\"/>
    </mc:Choice>
  </mc:AlternateContent>
  <xr:revisionPtr revIDLastSave="0" documentId="8_{4F7C799B-FF9B-4C42-86E1-F1E31EB50D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umptions" sheetId="1" r:id="rId1"/>
    <sheet name="3-Statement Model" sheetId="2" r:id="rId2"/>
    <sheet name="Historical Data" sheetId="3" r:id="rId3"/>
    <sheet name="DCF Model" sheetId="4" r:id="rId4"/>
  </sheets>
  <calcPr calcId="191029"/>
</workbook>
</file>

<file path=xl/calcChain.xml><?xml version="1.0" encoding="utf-8"?>
<calcChain xmlns="http://schemas.openxmlformats.org/spreadsheetml/2006/main">
  <c r="G22" i="4" l="1"/>
  <c r="F22" i="4"/>
  <c r="E22" i="4"/>
  <c r="D22" i="4"/>
  <c r="C22" i="4"/>
  <c r="B22" i="4"/>
  <c r="B17" i="4"/>
  <c r="B13" i="4"/>
  <c r="J47" i="2"/>
  <c r="I47" i="2"/>
  <c r="H47" i="2"/>
  <c r="G47" i="2"/>
  <c r="F47" i="2"/>
  <c r="E47" i="2"/>
  <c r="D43" i="2"/>
  <c r="C43" i="2"/>
  <c r="B43" i="2"/>
  <c r="D41" i="2"/>
  <c r="C41" i="2"/>
  <c r="B41" i="2"/>
  <c r="D40" i="2"/>
  <c r="C40" i="2"/>
  <c r="B40" i="2"/>
  <c r="D33" i="2"/>
  <c r="C33" i="2"/>
  <c r="B33" i="2"/>
  <c r="D31" i="2"/>
  <c r="E31" i="2" s="1"/>
  <c r="C31" i="2"/>
  <c r="B31" i="2"/>
  <c r="D29" i="2"/>
  <c r="E29" i="2" s="1"/>
  <c r="C29" i="2"/>
  <c r="B29" i="2"/>
  <c r="D28" i="2"/>
  <c r="C28" i="2"/>
  <c r="B28" i="2"/>
  <c r="D26" i="2"/>
  <c r="E26" i="2" s="1"/>
  <c r="C26" i="2"/>
  <c r="B26" i="2"/>
  <c r="D25" i="2"/>
  <c r="C25" i="2"/>
  <c r="B25" i="2"/>
  <c r="D23" i="2"/>
  <c r="E49" i="2" s="1"/>
  <c r="C23" i="2"/>
  <c r="B23" i="2"/>
  <c r="D22" i="2"/>
  <c r="C22" i="2"/>
  <c r="B22" i="2"/>
  <c r="D21" i="2"/>
  <c r="C21" i="2"/>
  <c r="B21" i="2"/>
  <c r="D19" i="2"/>
  <c r="E19" i="2" s="1"/>
  <c r="F19" i="2" s="1"/>
  <c r="G19" i="2" s="1"/>
  <c r="H19" i="2" s="1"/>
  <c r="I19" i="2" s="1"/>
  <c r="J19" i="2" s="1"/>
  <c r="C19" i="2"/>
  <c r="B19" i="2"/>
  <c r="D18" i="2"/>
  <c r="C18" i="2"/>
  <c r="B18" i="2"/>
  <c r="D15" i="2"/>
  <c r="C15" i="2"/>
  <c r="B15" i="2"/>
  <c r="D14" i="2"/>
  <c r="C14" i="2"/>
  <c r="B14" i="2"/>
  <c r="D13" i="2"/>
  <c r="C13" i="2"/>
  <c r="B13" i="2"/>
  <c r="D12" i="2"/>
  <c r="C12" i="2"/>
  <c r="B12" i="2"/>
  <c r="E11" i="2"/>
  <c r="D11" i="2"/>
  <c r="C11" i="2"/>
  <c r="B11" i="2"/>
  <c r="D10" i="2"/>
  <c r="C10" i="2"/>
  <c r="B10" i="2"/>
  <c r="D9" i="2"/>
  <c r="C9" i="2"/>
  <c r="B9" i="2"/>
  <c r="D8" i="2"/>
  <c r="E8" i="2" s="1"/>
  <c r="F8" i="2" s="1"/>
  <c r="G8" i="2" s="1"/>
  <c r="H8" i="2" s="1"/>
  <c r="I8" i="2" s="1"/>
  <c r="J8" i="2" s="1"/>
  <c r="C8" i="2"/>
  <c r="B8" i="2"/>
  <c r="D7" i="2"/>
  <c r="C7" i="2"/>
  <c r="B7" i="2"/>
  <c r="D6" i="2"/>
  <c r="E6" i="2" s="1"/>
  <c r="C6" i="2"/>
  <c r="B6" i="2"/>
  <c r="D5" i="2"/>
  <c r="C5" i="2"/>
  <c r="B5" i="2"/>
  <c r="D4" i="2"/>
  <c r="C4" i="2"/>
  <c r="B4" i="2"/>
  <c r="D3" i="2"/>
  <c r="E3" i="2" s="1"/>
  <c r="C3" i="2"/>
  <c r="B3" i="2"/>
  <c r="B27" i="1"/>
  <c r="F31" i="2" l="1"/>
  <c r="F3" i="2"/>
  <c r="E32" i="2"/>
  <c r="F11" i="2" s="1"/>
  <c r="E4" i="2"/>
  <c r="F4" i="2" s="1"/>
  <c r="F6" i="2"/>
  <c r="F26" i="2"/>
  <c r="F29" i="2"/>
  <c r="G6" i="2" l="1"/>
  <c r="G31" i="2"/>
  <c r="E5" i="2"/>
  <c r="G26" i="2"/>
  <c r="G29" i="2"/>
  <c r="F32" i="2"/>
  <c r="G11" i="2" s="1"/>
  <c r="F5" i="2"/>
  <c r="G3" i="2"/>
  <c r="G4" i="2" s="1"/>
  <c r="F10" i="2" l="1"/>
  <c r="F44" i="2"/>
  <c r="F22" i="2"/>
  <c r="H31" i="2"/>
  <c r="H26" i="2"/>
  <c r="H6" i="2"/>
  <c r="G5" i="2"/>
  <c r="H3" i="2"/>
  <c r="H29" i="2"/>
  <c r="G32" i="2"/>
  <c r="H11" i="2" s="1"/>
  <c r="E44" i="2"/>
  <c r="E22" i="2"/>
  <c r="E10" i="2"/>
  <c r="I3" i="2" l="1"/>
  <c r="H4" i="2"/>
  <c r="B6" i="4"/>
  <c r="E45" i="2"/>
  <c r="G44" i="2"/>
  <c r="G22" i="2"/>
  <c r="G10" i="2"/>
  <c r="I26" i="2"/>
  <c r="B2" i="4"/>
  <c r="E12" i="2"/>
  <c r="I6" i="2"/>
  <c r="I31" i="2"/>
  <c r="C6" i="4"/>
  <c r="F45" i="2"/>
  <c r="H32" i="2"/>
  <c r="I11" i="2" s="1"/>
  <c r="I29" i="2"/>
  <c r="C2" i="4"/>
  <c r="F12" i="2"/>
  <c r="I4" i="2" l="1"/>
  <c r="B3" i="4"/>
  <c r="B4" i="4" s="1"/>
  <c r="I32" i="2"/>
  <c r="J11" i="2" s="1"/>
  <c r="J29" i="2"/>
  <c r="J6" i="2"/>
  <c r="H5" i="2"/>
  <c r="F13" i="2"/>
  <c r="F14" i="2" s="1"/>
  <c r="F40" i="2" s="1"/>
  <c r="C3" i="4"/>
  <c r="C4" i="4" s="1"/>
  <c r="J26" i="2"/>
  <c r="G45" i="2"/>
  <c r="D6" i="4"/>
  <c r="J31" i="2"/>
  <c r="E13" i="2"/>
  <c r="E14" i="2" s="1"/>
  <c r="G12" i="2"/>
  <c r="D2" i="4"/>
  <c r="I5" i="2"/>
  <c r="J3" i="2"/>
  <c r="J4" i="2" s="1"/>
  <c r="I44" i="2" l="1"/>
  <c r="I22" i="2"/>
  <c r="I10" i="2"/>
  <c r="G13" i="2"/>
  <c r="G14" i="2" s="1"/>
  <c r="G40" i="2" s="1"/>
  <c r="J32" i="2"/>
  <c r="E27" i="2"/>
  <c r="E40" i="2"/>
  <c r="D3" i="4"/>
  <c r="D4" i="4" s="1"/>
  <c r="J5" i="2"/>
  <c r="H44" i="2"/>
  <c r="H22" i="2"/>
  <c r="H10" i="2"/>
  <c r="E6" i="4" l="1"/>
  <c r="H45" i="2"/>
  <c r="F6" i="4"/>
  <c r="I45" i="2"/>
  <c r="J10" i="2"/>
  <c r="J22" i="2"/>
  <c r="J44" i="2"/>
  <c r="H12" i="2"/>
  <c r="E2" i="4"/>
  <c r="F27" i="2"/>
  <c r="E28" i="2"/>
  <c r="F2" i="4"/>
  <c r="I12" i="2"/>
  <c r="I13" i="2" l="1"/>
  <c r="I14" i="2" s="1"/>
  <c r="I40" i="2" s="1"/>
  <c r="E3" i="4"/>
  <c r="E4" i="4" s="1"/>
  <c r="G6" i="4"/>
  <c r="J45" i="2"/>
  <c r="F3" i="4"/>
  <c r="F4" i="4" s="1"/>
  <c r="H13" i="2"/>
  <c r="H14" i="2" s="1"/>
  <c r="H40" i="2" s="1"/>
  <c r="G2" i="4"/>
  <c r="J12" i="2"/>
  <c r="G27" i="2"/>
  <c r="F28" i="2"/>
  <c r="H27" i="2" l="1"/>
  <c r="G28" i="2"/>
  <c r="J13" i="2"/>
  <c r="J14" i="2" s="1"/>
  <c r="J40" i="2" s="1"/>
  <c r="G3" i="4"/>
  <c r="G4" i="4" s="1"/>
  <c r="I27" i="2" l="1"/>
  <c r="H28" i="2"/>
  <c r="J27" i="2" l="1"/>
  <c r="J28" i="2" s="1"/>
  <c r="I28" i="2"/>
  <c r="F7" i="4"/>
  <c r="I42" i="2"/>
  <c r="F23" i="4"/>
  <c r="F8" i="4"/>
  <c r="F5" i="4"/>
  <c r="B23" i="4"/>
  <c r="B8" i="4"/>
  <c r="B5" i="4"/>
  <c r="D23" i="4"/>
  <c r="D8" i="4"/>
  <c r="D5" i="4"/>
  <c r="D7" i="4"/>
  <c r="G42" i="2"/>
  <c r="G7" i="4"/>
  <c r="J42" i="2"/>
  <c r="J24" i="2"/>
  <c r="J21" i="2"/>
  <c r="B29" i="1"/>
  <c r="I33" i="2"/>
  <c r="I49" i="2"/>
  <c r="H23" i="2"/>
  <c r="H50" i="2"/>
  <c r="H41" i="2"/>
  <c r="H43" i="2"/>
  <c r="H48" i="2"/>
  <c r="G37" i="2"/>
  <c r="G25" i="2"/>
  <c r="G20" i="2"/>
  <c r="E23" i="4"/>
  <c r="E8" i="4"/>
  <c r="E5" i="4"/>
  <c r="I41" i="2"/>
  <c r="I43" i="2"/>
  <c r="I48" i="2"/>
  <c r="I50" i="2"/>
  <c r="I23" i="2"/>
  <c r="J49" i="2"/>
  <c r="E37" i="2"/>
  <c r="E25" i="2"/>
  <c r="E20" i="2"/>
  <c r="J37" i="2"/>
  <c r="J25" i="2"/>
  <c r="J20" i="2"/>
  <c r="E41" i="2"/>
  <c r="E43" i="2"/>
  <c r="E48" i="2"/>
  <c r="E50" i="2"/>
  <c r="E23" i="2"/>
  <c r="F49" i="2"/>
  <c r="G24" i="2"/>
  <c r="C5" i="4"/>
  <c r="C8" i="4"/>
  <c r="C23" i="4"/>
  <c r="H20" i="2"/>
  <c r="H25" i="2"/>
  <c r="H37" i="2"/>
  <c r="G33" i="2"/>
  <c r="H33" i="2"/>
  <c r="F37" i="2"/>
  <c r="F20" i="2"/>
  <c r="F25" i="2"/>
  <c r="B7" i="4"/>
  <c r="E42" i="2"/>
  <c r="E24" i="2"/>
  <c r="I20" i="2"/>
  <c r="I25" i="2"/>
  <c r="I37" i="2"/>
  <c r="G9" i="2"/>
  <c r="G21" i="2"/>
  <c r="H42" i="2"/>
  <c r="E7" i="4"/>
  <c r="B14" i="4"/>
  <c r="B12" i="4"/>
  <c r="H7" i="2"/>
  <c r="H9" i="2"/>
  <c r="H21" i="2"/>
  <c r="H24" i="2"/>
  <c r="G7" i="2"/>
  <c r="G41" i="2"/>
  <c r="G43" i="2"/>
  <c r="G48" i="2"/>
  <c r="G50" i="2"/>
  <c r="G23" i="2"/>
  <c r="H49" i="2"/>
  <c r="B23" i="1"/>
  <c r="B18" i="4"/>
  <c r="B16" i="4"/>
  <c r="F33" i="2"/>
  <c r="J41" i="2"/>
  <c r="J43" i="2"/>
  <c r="J48" i="2"/>
  <c r="J50" i="2"/>
  <c r="J23" i="2"/>
  <c r="E33" i="2"/>
  <c r="F41" i="2"/>
  <c r="F43" i="2"/>
  <c r="F48" i="2"/>
  <c r="F50" i="2"/>
  <c r="F23" i="2"/>
  <c r="G49" i="2"/>
  <c r="B28" i="1"/>
  <c r="B30" i="4"/>
  <c r="B31" i="4"/>
  <c r="B33" i="4"/>
  <c r="B35" i="4"/>
  <c r="E9" i="2"/>
  <c r="E21" i="2"/>
  <c r="F42" i="2"/>
  <c r="C7" i="4"/>
  <c r="J9" i="2"/>
  <c r="J33" i="2"/>
  <c r="I7" i="2"/>
  <c r="I9" i="2"/>
  <c r="I21" i="2"/>
  <c r="I24" i="2"/>
  <c r="B26" i="4"/>
  <c r="G18" i="2"/>
  <c r="H18" i="2"/>
  <c r="I18" i="2"/>
  <c r="J18" i="2"/>
  <c r="J7" i="2"/>
  <c r="G5" i="4"/>
  <c r="G8" i="4"/>
  <c r="G23" i="4"/>
  <c r="B24" i="4"/>
  <c r="E7" i="2"/>
  <c r="E18" i="2"/>
  <c r="F18" i="2"/>
  <c r="F7" i="2"/>
  <c r="F9" i="2"/>
  <c r="F21" i="2"/>
  <c r="F24" i="2"/>
</calcChain>
</file>

<file path=xl/sharedStrings.xml><?xml version="1.0" encoding="utf-8"?>
<sst xmlns="http://schemas.openxmlformats.org/spreadsheetml/2006/main" count="201" uniqueCount="154">
  <si>
    <t>A. Forecast Drivers (FY2025 - FY2030)</t>
  </si>
  <si>
    <t>Metric</t>
  </si>
  <si>
    <t>FY25</t>
  </si>
  <si>
    <t>FY26</t>
  </si>
  <si>
    <t>FY27</t>
  </si>
  <si>
    <t>FY28</t>
  </si>
  <si>
    <t>FY29</t>
  </si>
  <si>
    <t>FY30</t>
  </si>
  <si>
    <t>Notes</t>
  </si>
  <si>
    <t>Passenger Growth</t>
  </si>
  <si>
    <t>Driven by international expansion.</t>
  </si>
  <si>
    <t>Ancillary Rev Growth</t>
  </si>
  <si>
    <t>'IndiGo Plus' and other initiatives.</t>
  </si>
  <si>
    <t>B. Operational &amp; Cost Drivers</t>
  </si>
  <si>
    <t>Assumption</t>
  </si>
  <si>
    <t>Crude Oil Price (Brent, $/bbl)</t>
  </si>
  <si>
    <t>Key sensitivity variable.</t>
  </si>
  <si>
    <t>CASK ex-Fuel growth</t>
  </si>
  <si>
    <t>Inflationary pressure on operational costs.</t>
  </si>
  <si>
    <t>CapEx as % of Revenue</t>
  </si>
  <si>
    <t>Normalized level for fleet maintenance &amp; growth.</t>
  </si>
  <si>
    <t>C. Balance Sheet Drivers (Days)</t>
  </si>
  <si>
    <t>Receivable Days</t>
  </si>
  <si>
    <t>Consistent with historical cash conversion cycle.</t>
  </si>
  <si>
    <t>Inventory Days</t>
  </si>
  <si>
    <t>Efficient inventory management.</t>
  </si>
  <si>
    <t>Payable Days</t>
  </si>
  <si>
    <t>Leveraging supplier credit terms.</t>
  </si>
  <si>
    <t>D. WACC Calculation</t>
  </si>
  <si>
    <t>Component</t>
  </si>
  <si>
    <t>Value</t>
  </si>
  <si>
    <t>Formula / Source</t>
  </si>
  <si>
    <t>Risk-Free Rate (Rf)</t>
  </si>
  <si>
    <t>India 10-Year Govt. Bond Yield.</t>
  </si>
  <si>
    <t>Equity Risk Premium (ERP)</t>
  </si>
  <si>
    <t>Market standard for India.</t>
  </si>
  <si>
    <t>Beta (β)</t>
  </si>
  <si>
    <t>Comparable airline companies.</t>
  </si>
  <si>
    <t>Cost of Equity (Ke)</t>
  </si>
  <si>
    <t>CAPM: Rf + Beta * ERP</t>
  </si>
  <si>
    <t>Cost of Debt (Kd)</t>
  </si>
  <si>
    <t>Company's average interest rate on debt.</t>
  </si>
  <si>
    <t>Tax Rate</t>
  </si>
  <si>
    <t>Statutory corporate tax rate.</t>
  </si>
  <si>
    <t>Market Cap (Equity, INR Crores)</t>
  </si>
  <si>
    <t>Current market capitalization (manual input).</t>
  </si>
  <si>
    <t>Total Debt (Debt, INR Crores)</t>
  </si>
  <si>
    <t>Link from latest historical B/S</t>
  </si>
  <si>
    <t>Total Capital (V)</t>
  </si>
  <si>
    <t>E + D</t>
  </si>
  <si>
    <t>WACC</t>
  </si>
  <si>
    <t>Weighted Average Cost of Capital</t>
  </si>
  <si>
    <t>E. Terminal Value Assumptions</t>
  </si>
  <si>
    <t>Perpetual Growth Rate (g)</t>
  </si>
  <si>
    <t>Long-term nominal GDP growth rate.</t>
  </si>
  <si>
    <t>LTM EV/EBITDA Multiple</t>
  </si>
  <si>
    <t>Based on comparable company analysis.</t>
  </si>
  <si>
    <t>Line Item</t>
  </si>
  <si>
    <t>FY22A</t>
  </si>
  <si>
    <t>FY23A</t>
  </si>
  <si>
    <t>FY24A</t>
  </si>
  <si>
    <t>FY25E</t>
  </si>
  <si>
    <t>FY26E</t>
  </si>
  <si>
    <t>FY27E</t>
  </si>
  <si>
    <t>FY28E</t>
  </si>
  <si>
    <t>FY29E</t>
  </si>
  <si>
    <t>FY30E</t>
  </si>
  <si>
    <t>Income Statement</t>
  </si>
  <si>
    <t>Revenue from Operations</t>
  </si>
  <si>
    <t>Other Income</t>
  </si>
  <si>
    <t>Total Revenue</t>
  </si>
  <si>
    <t>Aircraft Fuel Expenses</t>
  </si>
  <si>
    <t>Employee Benefits Expense</t>
  </si>
  <si>
    <t>Depreciation &amp; Amortisation</t>
  </si>
  <si>
    <t>Other Expenses</t>
  </si>
  <si>
    <t>Total Expenses</t>
  </si>
  <si>
    <t>EBIT (Operating Profit)</t>
  </si>
  <si>
    <t>Finance Costs</t>
  </si>
  <si>
    <t>Profit Before Tax</t>
  </si>
  <si>
    <t>Tax Expense</t>
  </si>
  <si>
    <t>Net Profit / (Loss)</t>
  </si>
  <si>
    <t>Balance Sheet</t>
  </si>
  <si>
    <t>Property, Plant &amp; Equipment (PP&amp;E)</t>
  </si>
  <si>
    <t>Intangible Assets</t>
  </si>
  <si>
    <t>Total Non-Current Assets</t>
  </si>
  <si>
    <t>Inventories</t>
  </si>
  <si>
    <t>Trade Receivables</t>
  </si>
  <si>
    <t>Cash &amp; Cash Equivalents</t>
  </si>
  <si>
    <t>Total Current Assets</t>
  </si>
  <si>
    <t>Total Assets</t>
  </si>
  <si>
    <t>Share Capital</t>
  </si>
  <si>
    <t>Other Equity / Reserves</t>
  </si>
  <si>
    <t>Total Equity</t>
  </si>
  <si>
    <t>Borrowings (Non-Current)</t>
  </si>
  <si>
    <t>Borrowings (Current)</t>
  </si>
  <si>
    <t>Total Debt</t>
  </si>
  <si>
    <t>Trade Payables</t>
  </si>
  <si>
    <t>Total Current Liabilities</t>
  </si>
  <si>
    <t>Total Liabilities</t>
  </si>
  <si>
    <t>Total Liabilities &amp; Equity</t>
  </si>
  <si>
    <t>Balance Check</t>
  </si>
  <si>
    <t>Cash Flow Statement</t>
  </si>
  <si>
    <t>Net Profit</t>
  </si>
  <si>
    <t>Changes in Working Capital</t>
  </si>
  <si>
    <t>Cash Flow from Operating Activities (CFO)</t>
  </si>
  <si>
    <t>Purchase of PP&amp;E (CapEx)</t>
  </si>
  <si>
    <t>Cash Flow from Investing Activities (CFI)</t>
  </si>
  <si>
    <t>Net Borrowings (Repayments)</t>
  </si>
  <si>
    <t>Cash Flow from Financing Activities (CFF)</t>
  </si>
  <si>
    <t>Net Change in Cash</t>
  </si>
  <si>
    <t>Cash at Beginning</t>
  </si>
  <si>
    <t>Cash at End</t>
  </si>
  <si>
    <t>FY22 (Mar)</t>
  </si>
  <si>
    <t>FY23 (Mar)</t>
  </si>
  <si>
    <t>FY24 (Mar)</t>
  </si>
  <si>
    <t>DCF Valuation</t>
  </si>
  <si>
    <t>EBIT</t>
  </si>
  <si>
    <t>Tax on EBIT</t>
  </si>
  <si>
    <t>NOPAT</t>
  </si>
  <si>
    <t>Add: Depreciation &amp; Amortisation</t>
  </si>
  <si>
    <t>Less: Capital Expenditures (CapEx)</t>
  </si>
  <si>
    <t>Less: Change in Net Working Capital</t>
  </si>
  <si>
    <t>Free Cash Flow to the Firm (FCFF)</t>
  </si>
  <si>
    <t>Terminal Value Calculation</t>
  </si>
  <si>
    <t>Perpetuity Growth Method</t>
  </si>
  <si>
    <t>Final Year FCFF * (1+g)</t>
  </si>
  <si>
    <t>WACC - g</t>
  </si>
  <si>
    <t>Terminal Value (PGM)</t>
  </si>
  <si>
    <t>Exit Multiple Method</t>
  </si>
  <si>
    <t>Final Year EBITDA</t>
  </si>
  <si>
    <t>Terminal Value (EMM)</t>
  </si>
  <si>
    <t>Enterprise Value Calculation</t>
  </si>
  <si>
    <t>Discount Period</t>
  </si>
  <si>
    <t>1</t>
  </si>
  <si>
    <t>2</t>
  </si>
  <si>
    <t>3</t>
  </si>
  <si>
    <t>4</t>
  </si>
  <si>
    <t>5</t>
  </si>
  <si>
    <t>6</t>
  </si>
  <si>
    <t>PV Factor</t>
  </si>
  <si>
    <t>PV of FCFF</t>
  </si>
  <si>
    <t>PV of Terminal Value (PGM)</t>
  </si>
  <si>
    <t>Enterprise Value (PGM)</t>
  </si>
  <si>
    <t>PV of Terminal Value (EMM)</t>
  </si>
  <si>
    <t>Enterprise Value (EMM)</t>
  </si>
  <si>
    <t>Equity Value &amp; Share Price</t>
  </si>
  <si>
    <t>Enterprise Value (Chosen)</t>
  </si>
  <si>
    <t>Reflects chosen TV method</t>
  </si>
  <si>
    <t>Less: Net Debt</t>
  </si>
  <si>
    <t>Equity Value</t>
  </si>
  <si>
    <t>Shares Outstanding (mn)</t>
  </si>
  <si>
    <t>Implied Share Price (INR)</t>
  </si>
  <si>
    <t>Current Share Price</t>
  </si>
  <si>
    <t>Upside / (Downside)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</si>
</sst>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rgb="FF0000FF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1" xfId="0" applyFill="1" applyBorder="1"/>
    <xf numFmtId="0" fontId="2" fillId="2" borderId="1" xfId="0" applyFont="1" applyFill="1" applyBorder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4" workbookViewId="0">
      <selection activeCell="A31" sqref="A31:C32"/>
    </sheetView>
  </sheetViews>
  <sheetFormatPr defaultRowHeight="14.4" x14ac:dyDescent="0.3"/>
  <cols>
    <col min="1" max="1" width="31.6640625" bestFit="1" customWidth="1"/>
    <col min="2" max="2" width="10.44140625" bestFit="1" customWidth="1"/>
    <col min="3" max="3" width="42.109375" bestFit="1" customWidth="1"/>
    <col min="4" max="7" width="5" bestFit="1" customWidth="1"/>
    <col min="8" max="8" width="29.109375" bestFit="1" customWidth="1"/>
  </cols>
  <sheetData>
    <row r="1" spans="1:8" x14ac:dyDescent="0.3">
      <c r="A1" s="4" t="s">
        <v>0</v>
      </c>
      <c r="B1" s="4"/>
      <c r="C1" s="4"/>
      <c r="D1" s="4"/>
      <c r="E1" s="4"/>
      <c r="F1" s="4"/>
      <c r="G1" s="4"/>
      <c r="H1" s="4"/>
    </row>
    <row r="2" spans="1:8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8" x14ac:dyDescent="0.3">
      <c r="A3" t="s">
        <v>9</v>
      </c>
      <c r="B3">
        <v>0.15</v>
      </c>
      <c r="C3">
        <v>0.12</v>
      </c>
      <c r="D3">
        <v>0.1</v>
      </c>
      <c r="E3">
        <v>0.08</v>
      </c>
      <c r="F3">
        <v>0.06</v>
      </c>
      <c r="G3">
        <v>0.05</v>
      </c>
      <c r="H3" t="s">
        <v>10</v>
      </c>
    </row>
    <row r="4" spans="1:8" x14ac:dyDescent="0.3">
      <c r="A4" t="s">
        <v>11</v>
      </c>
      <c r="B4">
        <v>0.2</v>
      </c>
      <c r="C4">
        <v>0.18</v>
      </c>
      <c r="D4">
        <v>0.15</v>
      </c>
      <c r="E4">
        <v>0.12</v>
      </c>
      <c r="F4">
        <v>0.1</v>
      </c>
      <c r="G4">
        <v>0.08</v>
      </c>
      <c r="H4" t="s">
        <v>12</v>
      </c>
    </row>
    <row r="6" spans="1:8" x14ac:dyDescent="0.3">
      <c r="A6" s="4" t="s">
        <v>13</v>
      </c>
      <c r="B6" s="4"/>
      <c r="C6" s="4"/>
    </row>
    <row r="7" spans="1:8" x14ac:dyDescent="0.3">
      <c r="A7" s="4" t="s">
        <v>1</v>
      </c>
      <c r="B7" s="4" t="s">
        <v>14</v>
      </c>
      <c r="C7" s="4" t="s">
        <v>8</v>
      </c>
    </row>
    <row r="8" spans="1:8" x14ac:dyDescent="0.3">
      <c r="A8" t="s">
        <v>15</v>
      </c>
      <c r="B8">
        <v>85</v>
      </c>
      <c r="C8" t="s">
        <v>16</v>
      </c>
    </row>
    <row r="9" spans="1:8" x14ac:dyDescent="0.3">
      <c r="A9" t="s">
        <v>17</v>
      </c>
      <c r="B9">
        <v>1.4999999999999999E-2</v>
      </c>
      <c r="C9" t="s">
        <v>18</v>
      </c>
    </row>
    <row r="10" spans="1:8" x14ac:dyDescent="0.3">
      <c r="A10" t="s">
        <v>19</v>
      </c>
      <c r="B10">
        <v>0.05</v>
      </c>
      <c r="C10" t="s">
        <v>20</v>
      </c>
    </row>
    <row r="12" spans="1:8" x14ac:dyDescent="0.3">
      <c r="A12" s="4" t="s">
        <v>21</v>
      </c>
      <c r="B12" s="4"/>
      <c r="C12" s="4"/>
    </row>
    <row r="13" spans="1:8" x14ac:dyDescent="0.3">
      <c r="A13" s="4" t="s">
        <v>1</v>
      </c>
      <c r="B13" s="4" t="s">
        <v>14</v>
      </c>
      <c r="C13" s="4" t="s">
        <v>8</v>
      </c>
    </row>
    <row r="14" spans="1:8" x14ac:dyDescent="0.3">
      <c r="A14" t="s">
        <v>22</v>
      </c>
      <c r="B14">
        <v>3</v>
      </c>
      <c r="C14" t="s">
        <v>23</v>
      </c>
    </row>
    <row r="15" spans="1:8" x14ac:dyDescent="0.3">
      <c r="A15" t="s">
        <v>24</v>
      </c>
      <c r="B15">
        <v>3</v>
      </c>
      <c r="C15" t="s">
        <v>25</v>
      </c>
    </row>
    <row r="16" spans="1:8" x14ac:dyDescent="0.3">
      <c r="A16" t="s">
        <v>26</v>
      </c>
      <c r="B16">
        <v>18</v>
      </c>
      <c r="C16" t="s">
        <v>27</v>
      </c>
    </row>
    <row r="18" spans="1:3" x14ac:dyDescent="0.3">
      <c r="A18" s="4" t="s">
        <v>28</v>
      </c>
      <c r="B18" s="4"/>
      <c r="C18" s="4"/>
    </row>
    <row r="19" spans="1:3" x14ac:dyDescent="0.3">
      <c r="A19" s="4" t="s">
        <v>29</v>
      </c>
      <c r="B19" s="4" t="s">
        <v>30</v>
      </c>
      <c r="C19" s="4" t="s">
        <v>31</v>
      </c>
    </row>
    <row r="20" spans="1:3" x14ac:dyDescent="0.3">
      <c r="A20" t="s">
        <v>32</v>
      </c>
      <c r="B20">
        <v>7.0000000000000007E-2</v>
      </c>
      <c r="C20" t="s">
        <v>33</v>
      </c>
    </row>
    <row r="21" spans="1:3" x14ac:dyDescent="0.3">
      <c r="A21" t="s">
        <v>34</v>
      </c>
      <c r="B21">
        <v>6.5000000000000002E-2</v>
      </c>
      <c r="C21" t="s">
        <v>35</v>
      </c>
    </row>
    <row r="22" spans="1:3" x14ac:dyDescent="0.3">
      <c r="A22" t="s">
        <v>36</v>
      </c>
      <c r="B22">
        <v>1.2</v>
      </c>
      <c r="C22" t="s">
        <v>37</v>
      </c>
    </row>
    <row r="23" spans="1:3" x14ac:dyDescent="0.3">
      <c r="A23" t="s">
        <v>38</v>
      </c>
      <c r="B23" t="str">
        <f ca="1">B21+(B23*B22)</f>
        <v/>
      </c>
      <c r="C23" t="s">
        <v>39</v>
      </c>
    </row>
    <row r="24" spans="1:3" x14ac:dyDescent="0.3">
      <c r="A24" t="s">
        <v>40</v>
      </c>
      <c r="B24">
        <v>8.5000000000000006E-2</v>
      </c>
      <c r="C24" t="s">
        <v>41</v>
      </c>
    </row>
    <row r="25" spans="1:3" x14ac:dyDescent="0.3">
      <c r="A25" t="s">
        <v>42</v>
      </c>
      <c r="B25">
        <v>0.25</v>
      </c>
      <c r="C25" t="s">
        <v>43</v>
      </c>
    </row>
    <row r="26" spans="1:3" x14ac:dyDescent="0.3">
      <c r="A26" t="s">
        <v>44</v>
      </c>
      <c r="B26">
        <v>150000</v>
      </c>
      <c r="C26" t="s">
        <v>45</v>
      </c>
    </row>
    <row r="27" spans="1:3" x14ac:dyDescent="0.3">
      <c r="A27" t="s">
        <v>46</v>
      </c>
      <c r="B27">
        <f>'3-Statement Model'!D30+'3-Statement Model'!D32</f>
        <v>0</v>
      </c>
      <c r="C27" t="s">
        <v>47</v>
      </c>
    </row>
    <row r="28" spans="1:3" x14ac:dyDescent="0.3">
      <c r="A28" t="s">
        <v>48</v>
      </c>
      <c r="B28" t="str">
        <f ca="1">B27+B28</f>
        <v/>
      </c>
      <c r="C28" t="s">
        <v>49</v>
      </c>
    </row>
    <row r="29" spans="1:3" x14ac:dyDescent="0.3">
      <c r="A29" t="s">
        <v>50</v>
      </c>
      <c r="B29" t="str">
        <f ca="1">(B27/B29)*B24 + (B28/B29)*B25*(1-B26)</f>
        <v/>
      </c>
      <c r="C29" t="s">
        <v>51</v>
      </c>
    </row>
    <row r="31" spans="1:3" x14ac:dyDescent="0.3">
      <c r="A31" s="3" t="s">
        <v>52</v>
      </c>
      <c r="B31" s="3"/>
      <c r="C31" s="3"/>
    </row>
    <row r="32" spans="1:3" x14ac:dyDescent="0.3">
      <c r="A32" s="3" t="s">
        <v>1</v>
      </c>
      <c r="B32" s="3" t="s">
        <v>30</v>
      </c>
      <c r="C32" s="3" t="s">
        <v>8</v>
      </c>
    </row>
    <row r="33" spans="1:3" x14ac:dyDescent="0.3">
      <c r="A33" t="s">
        <v>53</v>
      </c>
      <c r="B33">
        <v>0.04</v>
      </c>
      <c r="C33" t="s">
        <v>54</v>
      </c>
    </row>
    <row r="34" spans="1:3" x14ac:dyDescent="0.3">
      <c r="A34" t="s">
        <v>55</v>
      </c>
      <c r="B34">
        <v>8.5</v>
      </c>
      <c r="C34" t="s">
        <v>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"/>
  <sheetViews>
    <sheetView workbookViewId="0">
      <selection activeCell="A39" sqref="A39:J39"/>
    </sheetView>
  </sheetViews>
  <sheetFormatPr defaultRowHeight="14.4" x14ac:dyDescent="0.3"/>
  <cols>
    <col min="1" max="1" width="35.44140625" bestFit="1" customWidth="1"/>
    <col min="2" max="4" width="8" bestFit="1" customWidth="1"/>
    <col min="5" max="5" width="12.6640625" bestFit="1" customWidth="1"/>
    <col min="6" max="6" width="12" bestFit="1" customWidth="1"/>
    <col min="7" max="10" width="12.6640625" bestFit="1" customWidth="1"/>
  </cols>
  <sheetData>
    <row r="1" spans="1:10" x14ac:dyDescent="0.3">
      <c r="A1" s="4" t="s">
        <v>57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</row>
    <row r="2" spans="1:10" x14ac:dyDescent="0.3">
      <c r="A2" s="4" t="s">
        <v>67</v>
      </c>
      <c r="B2" s="4"/>
      <c r="C2" s="4"/>
      <c r="D2" s="4"/>
      <c r="E2" s="4"/>
      <c r="F2" s="4"/>
      <c r="G2" s="4"/>
      <c r="H2" s="4"/>
      <c r="I2" s="4"/>
      <c r="J2" s="4"/>
    </row>
    <row r="3" spans="1:10" x14ac:dyDescent="0.3">
      <c r="A3" t="s">
        <v>68</v>
      </c>
      <c r="B3">
        <f>'Historical Data'!B3</f>
        <v>2565.4</v>
      </c>
      <c r="C3">
        <f>'Historical Data'!C3</f>
        <v>5360.77</v>
      </c>
      <c r="D3">
        <f>'Historical Data'!D3</f>
        <v>6738.69</v>
      </c>
      <c r="E3">
        <f>D3*(1+Assumptions!B$3)</f>
        <v>7749.4934999999987</v>
      </c>
      <c r="F3">
        <f>E3*(1+Assumptions!C$3)</f>
        <v>8679.4327199999989</v>
      </c>
      <c r="G3">
        <f>F3*(1+Assumptions!D$3)</f>
        <v>9547.3759919999993</v>
      </c>
      <c r="H3">
        <f>G3*(1+Assumptions!E$3)</f>
        <v>10311.166071359999</v>
      </c>
      <c r="I3">
        <f>H3*(1+Assumptions!F$3)</f>
        <v>10929.8360356416</v>
      </c>
      <c r="J3">
        <f>I3*(1+Assumptions!G$3)</f>
        <v>11476.32783742368</v>
      </c>
    </row>
    <row r="4" spans="1:10" x14ac:dyDescent="0.3">
      <c r="A4" t="s">
        <v>69</v>
      </c>
      <c r="B4">
        <f>'Historical Data'!B4</f>
        <v>72.56</v>
      </c>
      <c r="C4">
        <f>'Historical Data'!C4</f>
        <v>143.5</v>
      </c>
      <c r="D4">
        <f>'Historical Data'!D4</f>
        <v>232.68</v>
      </c>
      <c r="E4">
        <f t="shared" ref="E4:J4" si="0">IFERROR((D4/D3)*E3, 0)</f>
        <v>267.58199999999994</v>
      </c>
      <c r="F4">
        <f t="shared" si="0"/>
        <v>299.69183999999996</v>
      </c>
      <c r="G4">
        <f t="shared" si="0"/>
        <v>329.661024</v>
      </c>
      <c r="H4">
        <f t="shared" si="0"/>
        <v>356.03390592</v>
      </c>
      <c r="I4">
        <f t="shared" si="0"/>
        <v>377.39594027520002</v>
      </c>
      <c r="J4">
        <f t="shared" si="0"/>
        <v>396.26573728896</v>
      </c>
    </row>
    <row r="5" spans="1:10" x14ac:dyDescent="0.3">
      <c r="A5" t="s">
        <v>70</v>
      </c>
      <c r="B5">
        <f>'Historical Data'!B5</f>
        <v>2665.65</v>
      </c>
      <c r="C5">
        <f>'Historical Data'!C5</f>
        <v>5588.14</v>
      </c>
      <c r="D5">
        <f>'Historical Data'!D5</f>
        <v>7123.12</v>
      </c>
      <c r="E5">
        <f t="shared" ref="E5:J5" si="1">SUM(E3:E4)</f>
        <v>8017.075499999999</v>
      </c>
      <c r="F5">
        <f t="shared" si="1"/>
        <v>8979.1245599999984</v>
      </c>
      <c r="G5">
        <f t="shared" si="1"/>
        <v>9877.0370159999984</v>
      </c>
      <c r="H5">
        <f t="shared" si="1"/>
        <v>10667.199977279999</v>
      </c>
      <c r="I5">
        <f t="shared" si="1"/>
        <v>11307.2319759168</v>
      </c>
      <c r="J5">
        <f t="shared" si="1"/>
        <v>11872.59357471264</v>
      </c>
    </row>
    <row r="6" spans="1:10" x14ac:dyDescent="0.3">
      <c r="A6" t="s">
        <v>71</v>
      </c>
      <c r="B6">
        <f>'Historical Data'!B6</f>
        <v>969.52</v>
      </c>
      <c r="C6">
        <f>'Historical Data'!C6</f>
        <v>2364.6</v>
      </c>
      <c r="D6">
        <f>'Historical Data'!D6</f>
        <v>2390.46</v>
      </c>
      <c r="E6">
        <f>D6*(1+Assumptions!B$9)</f>
        <v>2426.3168999999998</v>
      </c>
      <c r="F6">
        <f>E6*(1+Assumptions!B$9)</f>
        <v>2462.7116534999996</v>
      </c>
      <c r="G6">
        <f>F6*(1+Assumptions!B$9)</f>
        <v>2499.6523283024994</v>
      </c>
      <c r="H6">
        <f>G6*(1+Assumptions!B$9)</f>
        <v>2537.1471132270367</v>
      </c>
      <c r="I6">
        <f>H6*(1+Assumptions!B$9)</f>
        <v>2575.2043199254422</v>
      </c>
      <c r="J6">
        <f>I6*(1+Assumptions!B$9)</f>
        <v>2613.8323847243237</v>
      </c>
    </row>
    <row r="7" spans="1:10" x14ac:dyDescent="0.3">
      <c r="A7" t="s">
        <v>72</v>
      </c>
      <c r="B7">
        <f>'Historical Data'!B7</f>
        <v>348.6</v>
      </c>
      <c r="C7">
        <f>'Historical Data'!C7</f>
        <v>479.48</v>
      </c>
      <c r="D7">
        <f>'Historical Data'!D7</f>
        <v>646.19000000000005</v>
      </c>
      <c r="E7" t="str">
        <f ca="1">E18*0.12</f>
        <v/>
      </c>
      <c r="F7" t="str">
        <f ca="1">F18*0.12</f>
        <v/>
      </c>
      <c r="G7" t="str">
        <f ca="1">G18*0.12</f>
        <v/>
      </c>
      <c r="H7" t="str">
        <f ca="1">H18*0.12</f>
        <v/>
      </c>
      <c r="I7" t="str">
        <f ca="1">I18*0.12</f>
        <v/>
      </c>
      <c r="J7" t="str">
        <f ca="1">J18*0.12</f>
        <v/>
      </c>
    </row>
    <row r="8" spans="1:10" x14ac:dyDescent="0.3">
      <c r="A8" t="s">
        <v>73</v>
      </c>
      <c r="B8">
        <f>'Historical Data'!B8</f>
        <v>506.86</v>
      </c>
      <c r="C8">
        <f>'Historical Data'!C8</f>
        <v>510.3</v>
      </c>
      <c r="D8">
        <f>'Historical Data'!D8</f>
        <v>642.57000000000005</v>
      </c>
      <c r="E8">
        <f>D8*(1+Assumptions!B$9)</f>
        <v>652.20854999999995</v>
      </c>
      <c r="F8">
        <f>E8*(1+Assumptions!B$9)</f>
        <v>661.99167824999984</v>
      </c>
      <c r="G8">
        <f>F8*(1+Assumptions!B$9)</f>
        <v>671.92155342374974</v>
      </c>
      <c r="H8">
        <f>G8*(1+Assumptions!B$9)</f>
        <v>682.00037672510587</v>
      </c>
      <c r="I8">
        <f>H8*(1+Assumptions!B$9)</f>
        <v>692.23038237598234</v>
      </c>
      <c r="J8">
        <f>I8*(1+Assumptions!B$9)</f>
        <v>702.61383811162204</v>
      </c>
    </row>
    <row r="9" spans="1:10" x14ac:dyDescent="0.3">
      <c r="A9" t="s">
        <v>74</v>
      </c>
      <c r="B9">
        <f>'Historical Data'!B9</f>
        <v>339.72</v>
      </c>
      <c r="C9">
        <f>'Historical Data'!C9</f>
        <v>720.67</v>
      </c>
      <c r="D9">
        <f>'Historical Data'!D9</f>
        <v>624.73</v>
      </c>
      <c r="E9" t="str">
        <f t="shared" ref="E9:J9" ca="1" si="2">SUM(E6:E8)</f>
        <v/>
      </c>
      <c r="F9" t="str">
        <f t="shared" ca="1" si="2"/>
        <v/>
      </c>
      <c r="G9" t="str">
        <f t="shared" ca="1" si="2"/>
        <v/>
      </c>
      <c r="H9" t="str">
        <f t="shared" ca="1" si="2"/>
        <v/>
      </c>
      <c r="I9" t="str">
        <f t="shared" ca="1" si="2"/>
        <v/>
      </c>
      <c r="J9" t="str">
        <f t="shared" ca="1" si="2"/>
        <v/>
      </c>
    </row>
    <row r="10" spans="1:10" x14ac:dyDescent="0.3">
      <c r="A10" t="s">
        <v>75</v>
      </c>
      <c r="B10">
        <f>'Historical Data'!B10</f>
        <v>3281.02</v>
      </c>
      <c r="C10">
        <f>'Historical Data'!C10</f>
        <v>5618.58</v>
      </c>
      <c r="D10">
        <f>'Historical Data'!D10</f>
        <v>6318.19</v>
      </c>
      <c r="E10">
        <f t="shared" ref="E10:J10" si="3">E5-E6-E8</f>
        <v>4938.5500499999989</v>
      </c>
      <c r="F10">
        <f t="shared" si="3"/>
        <v>5854.4212282499993</v>
      </c>
      <c r="G10">
        <f t="shared" si="3"/>
        <v>6705.4631342737484</v>
      </c>
      <c r="H10">
        <f t="shared" si="3"/>
        <v>7448.0524873278573</v>
      </c>
      <c r="I10">
        <f t="shared" si="3"/>
        <v>8039.7972736153761</v>
      </c>
      <c r="J10">
        <f t="shared" si="3"/>
        <v>8556.1473518766943</v>
      </c>
    </row>
    <row r="11" spans="1:10" x14ac:dyDescent="0.3">
      <c r="A11" t="s">
        <v>76</v>
      </c>
      <c r="B11">
        <f>'Historical Data'!B12</f>
        <v>235.8</v>
      </c>
      <c r="C11">
        <f>'Historical Data'!C12</f>
        <v>313.17</v>
      </c>
      <c r="D11">
        <f>'Historical Data'!D12</f>
        <v>416.94</v>
      </c>
      <c r="E11">
        <f>((D30+D32)/2)*Assumptions!B$25</f>
        <v>0</v>
      </c>
      <c r="F11">
        <f>((E30+E32)/2)*Assumptions!B$25</f>
        <v>42.197500000000005</v>
      </c>
      <c r="G11">
        <f>((F30+F32)/2)*Assumptions!B$25</f>
        <v>42.197500000000005</v>
      </c>
      <c r="H11">
        <f>((G30+G32)/2)*Assumptions!B$25</f>
        <v>42.197500000000005</v>
      </c>
      <c r="I11">
        <f>((H30+H32)/2)*Assumptions!B$25</f>
        <v>42.197500000000005</v>
      </c>
      <c r="J11">
        <f>((I30+I32)/2)*Assumptions!B$25</f>
        <v>42.197500000000005</v>
      </c>
    </row>
    <row r="12" spans="1:10" x14ac:dyDescent="0.3">
      <c r="A12" t="s">
        <v>77</v>
      </c>
      <c r="B12">
        <f>'Historical Data'!B13</f>
        <v>-615.37</v>
      </c>
      <c r="C12">
        <f>'Historical Data'!C13</f>
        <v>-3.04</v>
      </c>
      <c r="D12">
        <f>'Historical Data'!D13</f>
        <v>804.93</v>
      </c>
      <c r="E12">
        <f t="shared" ref="E12:J12" si="4">E10-E11</f>
        <v>4938.5500499999989</v>
      </c>
      <c r="F12">
        <f t="shared" si="4"/>
        <v>5812.2237282499991</v>
      </c>
      <c r="G12">
        <f t="shared" si="4"/>
        <v>6663.2656342737482</v>
      </c>
      <c r="H12">
        <f t="shared" si="4"/>
        <v>7405.8549873278571</v>
      </c>
      <c r="I12">
        <f t="shared" si="4"/>
        <v>7997.5997736153759</v>
      </c>
      <c r="J12">
        <f t="shared" si="4"/>
        <v>8513.9498518766941</v>
      </c>
    </row>
    <row r="13" spans="1:10" x14ac:dyDescent="0.3">
      <c r="A13" t="s">
        <v>78</v>
      </c>
      <c r="B13">
        <f>'Historical Data'!B14</f>
        <v>8.16</v>
      </c>
      <c r="C13">
        <f>'Historical Data'!C14</f>
        <v>1.4</v>
      </c>
      <c r="D13">
        <f>'Historical Data'!D14</f>
        <v>-123.16</v>
      </c>
      <c r="E13">
        <f>IF(E12&gt;0, E12*Assumptions!B$26, 0)</f>
        <v>740782507.49999988</v>
      </c>
      <c r="F13">
        <f>IF(F12&gt;0, F12*Assumptions!B$26, 0)</f>
        <v>871833559.23749983</v>
      </c>
      <c r="G13">
        <f>IF(G12&gt;0, G12*Assumptions!B$26, 0)</f>
        <v>999489845.14106226</v>
      </c>
      <c r="H13">
        <f>IF(H12&gt;0, H12*Assumptions!B$26, 0)</f>
        <v>1110878248.0991786</v>
      </c>
      <c r="I13">
        <f>IF(I12&gt;0, I12*Assumptions!B$26, 0)</f>
        <v>1199639966.0423064</v>
      </c>
      <c r="J13">
        <f>IF(J12&gt;0, J12*Assumptions!B$26, 0)</f>
        <v>1277092477.7815042</v>
      </c>
    </row>
    <row r="14" spans="1:10" x14ac:dyDescent="0.3">
      <c r="A14" t="s">
        <v>79</v>
      </c>
      <c r="B14">
        <f>'Historical Data'!B15</f>
        <v>-616.19000000000005</v>
      </c>
      <c r="C14">
        <f>'Historical Data'!C15</f>
        <v>-30.58</v>
      </c>
      <c r="D14">
        <f>'Historical Data'!D15</f>
        <v>817.25</v>
      </c>
      <c r="E14">
        <f t="shared" ref="E14:J14" si="5">E12-E13</f>
        <v>-740777568.94994986</v>
      </c>
      <c r="F14">
        <f t="shared" si="5"/>
        <v>-871827747.01377153</v>
      </c>
      <c r="G14">
        <f t="shared" si="5"/>
        <v>-999483181.87542796</v>
      </c>
      <c r="H14">
        <f t="shared" si="5"/>
        <v>-1110870842.2441912</v>
      </c>
      <c r="I14">
        <f t="shared" si="5"/>
        <v>-1199631968.4425328</v>
      </c>
      <c r="J14">
        <f t="shared" si="5"/>
        <v>-1277083963.8316522</v>
      </c>
    </row>
    <row r="15" spans="1:10" x14ac:dyDescent="0.3">
      <c r="A15" t="s">
        <v>80</v>
      </c>
      <c r="B15">
        <f>'Historical Data'!B16</f>
        <v>0</v>
      </c>
      <c r="C15">
        <f>'Historical Data'!C16</f>
        <v>0</v>
      </c>
      <c r="D15">
        <f>'Historical Data'!D16</f>
        <v>0</v>
      </c>
    </row>
    <row r="17" spans="1:10" x14ac:dyDescent="0.3">
      <c r="A17" s="4" t="s">
        <v>81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3">
      <c r="A18" t="s">
        <v>82</v>
      </c>
      <c r="B18">
        <f>'Historical Data'!B18</f>
        <v>2140.7399999999998</v>
      </c>
      <c r="C18">
        <f>'Historical Data'!C18</f>
        <v>2767.07</v>
      </c>
      <c r="D18">
        <f>'Historical Data'!D18</f>
        <v>3603.81</v>
      </c>
      <c r="E18" t="str">
        <f ca="1">D18+E44-E7</f>
        <v/>
      </c>
      <c r="F18" t="str">
        <f ca="1">E18+F44-F7</f>
        <v/>
      </c>
      <c r="G18" t="str">
        <f ca="1">F18+G44-G7</f>
        <v/>
      </c>
      <c r="H18" t="str">
        <f ca="1">G18+H44-H7</f>
        <v/>
      </c>
      <c r="I18" t="str">
        <f ca="1">H18+I44-I7</f>
        <v/>
      </c>
      <c r="J18" t="str">
        <f ca="1">I18+J44-J7</f>
        <v/>
      </c>
    </row>
    <row r="19" spans="1:10" x14ac:dyDescent="0.3">
      <c r="A19" t="s">
        <v>83</v>
      </c>
      <c r="B19">
        <f>'Historical Data'!B19</f>
        <v>21.4</v>
      </c>
      <c r="C19">
        <f>'Historical Data'!C19</f>
        <v>10.67</v>
      </c>
      <c r="D19">
        <f>'Historical Data'!D19</f>
        <v>48.02</v>
      </c>
      <c r="E19">
        <f>D19</f>
        <v>48.02</v>
      </c>
      <c r="F19">
        <f>E19</f>
        <v>48.02</v>
      </c>
      <c r="G19">
        <f>F19</f>
        <v>48.02</v>
      </c>
      <c r="H19">
        <f>G19</f>
        <v>48.02</v>
      </c>
      <c r="I19">
        <f>H19</f>
        <v>48.02</v>
      </c>
      <c r="J19">
        <f>I19</f>
        <v>48.02</v>
      </c>
    </row>
    <row r="20" spans="1:10" x14ac:dyDescent="0.3">
      <c r="A20" t="s">
        <v>84</v>
      </c>
      <c r="E20" t="str">
        <f ca="1">SUM(E18:E19)</f>
        <v/>
      </c>
      <c r="F20" t="str">
        <f ca="1">SUM(F18:F19)</f>
        <v/>
      </c>
      <c r="G20" t="str">
        <f ca="1">SUM(G18:G19)</f>
        <v/>
      </c>
      <c r="H20" t="str">
        <f ca="1">SUM(H18:H19)</f>
        <v/>
      </c>
      <c r="I20" t="str">
        <f ca="1">SUM(I18:I19)</f>
        <v/>
      </c>
      <c r="J20" t="str">
        <f ca="1">SUM(J18:J19)</f>
        <v/>
      </c>
    </row>
    <row r="21" spans="1:10" x14ac:dyDescent="0.3">
      <c r="A21" t="s">
        <v>85</v>
      </c>
      <c r="B21">
        <f>'Historical Data'!B20</f>
        <v>40.81</v>
      </c>
      <c r="C21">
        <f>'Historical Data'!C20</f>
        <v>59.11</v>
      </c>
      <c r="D21">
        <f>'Historical Data'!D20</f>
        <v>62.48</v>
      </c>
      <c r="E21" t="str">
        <f ca="1">(Assumptions!B$15/365)*E9</f>
        <v/>
      </c>
      <c r="F21" t="str">
        <f ca="1">(Assumptions!B$15/365)*F9</f>
        <v/>
      </c>
      <c r="G21" t="str">
        <f ca="1">(Assumptions!B$15/365)*G9</f>
        <v/>
      </c>
      <c r="H21" t="str">
        <f ca="1">(Assumptions!B$15/365)*H9</f>
        <v/>
      </c>
      <c r="I21" t="str">
        <f ca="1">(Assumptions!B$15/365)*I9</f>
        <v/>
      </c>
      <c r="J21" t="str">
        <f ca="1">(Assumptions!B$15/365)*J9</f>
        <v/>
      </c>
    </row>
    <row r="22" spans="1:10" x14ac:dyDescent="0.3">
      <c r="A22" t="s">
        <v>86</v>
      </c>
      <c r="B22">
        <f>'Historical Data'!B21</f>
        <v>33.29</v>
      </c>
      <c r="C22">
        <f>'Historical Data'!C21</f>
        <v>51.99</v>
      </c>
      <c r="D22">
        <f>'Historical Data'!D21</f>
        <v>64.25</v>
      </c>
      <c r="E22">
        <f>(Assumptions!B$14/365)*E5</f>
        <v>65.893771232876702</v>
      </c>
      <c r="F22">
        <f>(Assumptions!B$14/365)*F5</f>
        <v>73.801023780821893</v>
      </c>
      <c r="G22">
        <f>(Assumptions!B$14/365)*G5</f>
        <v>81.181126158904092</v>
      </c>
      <c r="H22">
        <f>(Assumptions!B$14/365)*H5</f>
        <v>87.675616251616418</v>
      </c>
      <c r="I22">
        <f>(Assumptions!B$14/365)*I5</f>
        <v>92.936153226713415</v>
      </c>
      <c r="J22">
        <f>(Assumptions!B$14/365)*J5</f>
        <v>97.582960888049087</v>
      </c>
    </row>
    <row r="23" spans="1:10" x14ac:dyDescent="0.3">
      <c r="A23" t="s">
        <v>87</v>
      </c>
      <c r="B23">
        <f>'Historical Data'!B22</f>
        <v>101.17</v>
      </c>
      <c r="C23">
        <f>'Historical Data'!C22</f>
        <v>118.11</v>
      </c>
      <c r="D23">
        <f>'Historical Data'!D22</f>
        <v>167.09</v>
      </c>
      <c r="E23" t="str">
        <f ca="1">E50</f>
        <v/>
      </c>
      <c r="F23" t="str">
        <f ca="1">F50</f>
        <v/>
      </c>
      <c r="G23" t="str">
        <f ca="1">G50</f>
        <v/>
      </c>
      <c r="H23" t="str">
        <f ca="1">H50</f>
        <v/>
      </c>
      <c r="I23" t="str">
        <f ca="1">I50</f>
        <v/>
      </c>
      <c r="J23" t="str">
        <f ca="1">J50</f>
        <v/>
      </c>
    </row>
    <row r="24" spans="1:10" x14ac:dyDescent="0.3">
      <c r="A24" t="s">
        <v>88</v>
      </c>
      <c r="E24" t="str">
        <f ca="1">SUM(E21:E23)</f>
        <v/>
      </c>
      <c r="F24" t="str">
        <f ca="1">SUM(F21:F23)</f>
        <v/>
      </c>
      <c r="G24" t="str">
        <f ca="1">SUM(G21:G23)</f>
        <v/>
      </c>
      <c r="H24" t="str">
        <f ca="1">SUM(H21:H23)</f>
        <v/>
      </c>
      <c r="I24" t="str">
        <f ca="1">SUM(I21:I23)</f>
        <v/>
      </c>
      <c r="J24" t="str">
        <f ca="1">SUM(J21:J23)</f>
        <v/>
      </c>
    </row>
    <row r="25" spans="1:10" x14ac:dyDescent="0.3">
      <c r="A25" t="s">
        <v>89</v>
      </c>
      <c r="B25">
        <f>'Historical Data'!B23</f>
        <v>3.85</v>
      </c>
      <c r="C25">
        <f>'Historical Data'!C23</f>
        <v>3.86</v>
      </c>
      <c r="D25">
        <f>'Historical Data'!D23</f>
        <v>3.86</v>
      </c>
      <c r="E25" t="str">
        <f ca="1">E20+E24</f>
        <v/>
      </c>
      <c r="F25" t="str">
        <f ca="1">F20+F24</f>
        <v/>
      </c>
      <c r="G25" t="str">
        <f ca="1">G20+G24</f>
        <v/>
      </c>
      <c r="H25" t="str">
        <f ca="1">H20+H24</f>
        <v/>
      </c>
      <c r="I25" t="str">
        <f ca="1">I20+I24</f>
        <v/>
      </c>
      <c r="J25" t="str">
        <f ca="1">J20+J24</f>
        <v/>
      </c>
    </row>
    <row r="26" spans="1:10" x14ac:dyDescent="0.3">
      <c r="A26" t="s">
        <v>90</v>
      </c>
      <c r="B26">
        <f>'Historical Data'!B24</f>
        <v>-647.5</v>
      </c>
      <c r="C26">
        <f>'Historical Data'!C24</f>
        <v>-674.27</v>
      </c>
      <c r="D26">
        <f>'Historical Data'!D24</f>
        <v>15.46</v>
      </c>
      <c r="E26">
        <f>D26</f>
        <v>15.46</v>
      </c>
      <c r="F26">
        <f>E26</f>
        <v>15.46</v>
      </c>
      <c r="G26">
        <f>F26</f>
        <v>15.46</v>
      </c>
      <c r="H26">
        <f>G26</f>
        <v>15.46</v>
      </c>
      <c r="I26">
        <f>H26</f>
        <v>15.46</v>
      </c>
      <c r="J26">
        <f>I26</f>
        <v>15.46</v>
      </c>
    </row>
    <row r="27" spans="1:10" x14ac:dyDescent="0.3">
      <c r="A27" t="s">
        <v>91</v>
      </c>
      <c r="E27">
        <f>D27+E14</f>
        <v>-740777568.94994986</v>
      </c>
      <c r="F27">
        <f>E27+F14</f>
        <v>-1612605315.9637213</v>
      </c>
      <c r="G27">
        <f>F27+G14</f>
        <v>-2612088497.8391495</v>
      </c>
      <c r="H27">
        <f>G27+H14</f>
        <v>-3722959340.0833406</v>
      </c>
      <c r="I27">
        <f>H27+I14</f>
        <v>-4922591308.5258732</v>
      </c>
      <c r="J27">
        <f>I27+J14</f>
        <v>-6199675272.3575249</v>
      </c>
    </row>
    <row r="28" spans="1:10" x14ac:dyDescent="0.3">
      <c r="A28" t="s">
        <v>92</v>
      </c>
      <c r="B28">
        <f>'Historical Data'!B25</f>
        <v>4.16</v>
      </c>
      <c r="C28">
        <f>'Historical Data'!C25</f>
        <v>0</v>
      </c>
      <c r="D28">
        <f>'Historical Data'!D25</f>
        <v>0</v>
      </c>
      <c r="E28">
        <f>SUM(E26:E27)</f>
        <v>-740777553.48994982</v>
      </c>
      <c r="F28">
        <f>SUM(F26:F27)</f>
        <v>-1612605300.5037212</v>
      </c>
      <c r="G28">
        <f>SUM(G26:G27)</f>
        <v>-2612088482.3791494</v>
      </c>
      <c r="H28">
        <f>SUM(H26:H27)</f>
        <v>-3722959324.6233406</v>
      </c>
      <c r="I28">
        <f>SUM(I26:I27)</f>
        <v>-4922591293.0658731</v>
      </c>
      <c r="J28">
        <f>SUM(J26:J27)</f>
        <v>-6199675256.8975248</v>
      </c>
    </row>
    <row r="29" spans="1:10" x14ac:dyDescent="0.3">
      <c r="A29" t="s">
        <v>93</v>
      </c>
      <c r="B29">
        <f>'Historical Data'!B26</f>
        <v>34.81</v>
      </c>
      <c r="C29">
        <f>'Historical Data'!C26</f>
        <v>22.52</v>
      </c>
      <c r="D29">
        <f>'Historical Data'!D26</f>
        <v>18.920000000000002</v>
      </c>
      <c r="E29">
        <f>D29</f>
        <v>18.920000000000002</v>
      </c>
      <c r="F29">
        <f>E29</f>
        <v>18.920000000000002</v>
      </c>
      <c r="G29">
        <f>F29</f>
        <v>18.920000000000002</v>
      </c>
      <c r="H29">
        <f>G29</f>
        <v>18.920000000000002</v>
      </c>
      <c r="I29">
        <f>H29</f>
        <v>18.920000000000002</v>
      </c>
      <c r="J29">
        <f>I29</f>
        <v>18.920000000000002</v>
      </c>
    </row>
    <row r="30" spans="1:10" x14ac:dyDescent="0.3">
      <c r="A30" t="s">
        <v>94</v>
      </c>
    </row>
    <row r="31" spans="1:10" x14ac:dyDescent="0.3">
      <c r="A31" t="s">
        <v>95</v>
      </c>
      <c r="B31">
        <f>'Historical Data'!B27</f>
        <v>315.19</v>
      </c>
      <c r="C31">
        <f>'Historical Data'!C27</f>
        <v>321.3</v>
      </c>
      <c r="D31">
        <f>'Historical Data'!D27</f>
        <v>318.66000000000003</v>
      </c>
      <c r="E31">
        <f>D31</f>
        <v>318.66000000000003</v>
      </c>
      <c r="F31">
        <f>E31</f>
        <v>318.66000000000003</v>
      </c>
      <c r="G31">
        <f>F31</f>
        <v>318.66000000000003</v>
      </c>
      <c r="H31">
        <f>G31</f>
        <v>318.66000000000003</v>
      </c>
      <c r="I31">
        <f>H31</f>
        <v>318.66000000000003</v>
      </c>
      <c r="J31">
        <f>I31</f>
        <v>318.66000000000003</v>
      </c>
    </row>
    <row r="32" spans="1:10" x14ac:dyDescent="0.3">
      <c r="A32" t="s">
        <v>96</v>
      </c>
      <c r="E32">
        <f>SUM(E29:E31)</f>
        <v>337.58000000000004</v>
      </c>
      <c r="F32">
        <f>SUM(F29:F31)</f>
        <v>337.58000000000004</v>
      </c>
      <c r="G32">
        <f>SUM(G29:G31)</f>
        <v>337.58000000000004</v>
      </c>
      <c r="H32">
        <f>SUM(H29:H31)</f>
        <v>337.58000000000004</v>
      </c>
      <c r="I32">
        <f>SUM(I29:I31)</f>
        <v>337.58000000000004</v>
      </c>
      <c r="J32">
        <f>SUM(J29:J31)</f>
        <v>337.58000000000004</v>
      </c>
    </row>
    <row r="33" spans="1:10" x14ac:dyDescent="0.3">
      <c r="A33" t="s">
        <v>97</v>
      </c>
      <c r="B33">
        <f>'Historical Data'!B28</f>
        <v>0</v>
      </c>
      <c r="C33">
        <f>'Historical Data'!C28</f>
        <v>0</v>
      </c>
      <c r="D33">
        <f>'Historical Data'!D28</f>
        <v>0</v>
      </c>
      <c r="E33" t="str">
        <f ca="1">(Assumptions!B$16/365)*E9</f>
        <v/>
      </c>
      <c r="F33" t="str">
        <f ca="1">(Assumptions!B$16/365)*F9</f>
        <v/>
      </c>
      <c r="G33" t="str">
        <f ca="1">(Assumptions!B$16/365)*G9</f>
        <v/>
      </c>
      <c r="H33" t="str">
        <f ca="1">(Assumptions!B$16/365)*H9</f>
        <v/>
      </c>
      <c r="I33" t="str">
        <f ca="1">(Assumptions!B$16/365)*I9</f>
        <v/>
      </c>
      <c r="J33" t="str">
        <f ca="1">(Assumptions!B$16/365)*J9</f>
        <v/>
      </c>
    </row>
    <row r="34" spans="1:10" x14ac:dyDescent="0.3">
      <c r="A34" t="s">
        <v>98</v>
      </c>
    </row>
    <row r="35" spans="1:10" x14ac:dyDescent="0.3">
      <c r="A35" t="s">
        <v>99</v>
      </c>
    </row>
    <row r="36" spans="1:10" x14ac:dyDescent="0.3">
      <c r="A36" t="s">
        <v>100</v>
      </c>
    </row>
    <row r="37" spans="1:10" x14ac:dyDescent="0.3">
      <c r="A37" t="s">
        <v>100</v>
      </c>
      <c r="E37" t="str">
        <f ca="1">E25-E36</f>
        <v/>
      </c>
      <c r="F37" t="str">
        <f ca="1">F25-F36</f>
        <v/>
      </c>
      <c r="G37" t="str">
        <f ca="1">G25-G36</f>
        <v/>
      </c>
      <c r="H37" t="str">
        <f ca="1">H25-H36</f>
        <v/>
      </c>
      <c r="I37" t="str">
        <f ca="1">I25-I36</f>
        <v/>
      </c>
      <c r="J37" t="str">
        <f ca="1">J25-J36</f>
        <v/>
      </c>
    </row>
    <row r="39" spans="1:10" x14ac:dyDescent="0.3">
      <c r="A39" s="4" t="s">
        <v>101</v>
      </c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3">
      <c r="A40" t="s">
        <v>102</v>
      </c>
      <c r="B40">
        <f>'Historical Data'!B15</f>
        <v>-616.19000000000005</v>
      </c>
      <c r="C40">
        <f>'Historical Data'!C15</f>
        <v>-30.58</v>
      </c>
      <c r="D40">
        <f>'Historical Data'!D15</f>
        <v>817.25</v>
      </c>
      <c r="E40">
        <f>E14</f>
        <v>-740777568.94994986</v>
      </c>
      <c r="F40">
        <f>F14</f>
        <v>-871827747.01377153</v>
      </c>
      <c r="G40">
        <f>G14</f>
        <v>-999483181.87542796</v>
      </c>
      <c r="H40">
        <f>H14</f>
        <v>-1110870842.2441912</v>
      </c>
      <c r="I40">
        <f>I14</f>
        <v>-1199631968.4425328</v>
      </c>
      <c r="J40">
        <f>J14</f>
        <v>-1277083963.8316522</v>
      </c>
    </row>
    <row r="41" spans="1:10" x14ac:dyDescent="0.3">
      <c r="A41" t="s">
        <v>73</v>
      </c>
      <c r="B41">
        <f>'Historical Data'!B30</f>
        <v>506.86</v>
      </c>
      <c r="C41">
        <f>'Historical Data'!C30</f>
        <v>510.3</v>
      </c>
      <c r="D41">
        <f>'Historical Data'!D30</f>
        <v>642.57000000000005</v>
      </c>
      <c r="E41" t="str">
        <f ca="1">E7</f>
        <v/>
      </c>
      <c r="F41" t="str">
        <f ca="1">F7</f>
        <v/>
      </c>
      <c r="G41" t="str">
        <f ca="1">G7</f>
        <v/>
      </c>
      <c r="H41" t="str">
        <f ca="1">H7</f>
        <v/>
      </c>
      <c r="I41" t="str">
        <f ca="1">I7</f>
        <v/>
      </c>
      <c r="J41" t="str">
        <f ca="1">J7</f>
        <v/>
      </c>
    </row>
    <row r="42" spans="1:10" x14ac:dyDescent="0.3">
      <c r="A42" t="s">
        <v>103</v>
      </c>
      <c r="E42" t="str">
        <f ca="1">(D21-E21)+(D22-E22)-(D33-E33)</f>
        <v/>
      </c>
      <c r="F42" t="str">
        <f ca="1">(E21-F21)+(E22-F22)-(E33-F33)</f>
        <v/>
      </c>
      <c r="G42" t="str">
        <f ca="1">(F21-G21)+(F22-G22)-(F33-G33)</f>
        <v/>
      </c>
      <c r="H42" t="str">
        <f ca="1">(G21-H21)+(G22-H22)-(G33-H33)</f>
        <v/>
      </c>
      <c r="I42" t="str">
        <f ca="1">(H21-I21)+(H22-I22)-(H33-I33)</f>
        <v/>
      </c>
      <c r="J42" t="str">
        <f ca="1">(I21-J21)+(I22-J22)-(I33-J33)</f>
        <v/>
      </c>
    </row>
    <row r="43" spans="1:10" x14ac:dyDescent="0.3">
      <c r="A43" t="s">
        <v>104</v>
      </c>
      <c r="B43">
        <f>'Historical Data'!B32</f>
        <v>15.26</v>
      </c>
      <c r="C43">
        <f>'Historical Data'!C32</f>
        <v>-40.549999999999997</v>
      </c>
      <c r="D43">
        <f>'Historical Data'!D32</f>
        <v>-117.56</v>
      </c>
      <c r="E43" t="str">
        <f t="shared" ref="E43:J43" ca="1" si="6">SUM(E40:E42)</f>
        <v/>
      </c>
      <c r="F43" t="str">
        <f t="shared" ca="1" si="6"/>
        <v/>
      </c>
      <c r="G43" t="str">
        <f t="shared" ca="1" si="6"/>
        <v/>
      </c>
      <c r="H43" t="str">
        <f t="shared" ca="1" si="6"/>
        <v/>
      </c>
      <c r="I43" t="str">
        <f t="shared" ca="1" si="6"/>
        <v/>
      </c>
      <c r="J43" t="str">
        <f t="shared" ca="1" si="6"/>
        <v/>
      </c>
    </row>
    <row r="44" spans="1:10" x14ac:dyDescent="0.3">
      <c r="A44" t="s">
        <v>105</v>
      </c>
      <c r="E44">
        <f>-E5*Assumptions!B$10</f>
        <v>-400.85377499999998</v>
      </c>
      <c r="F44">
        <f>-F5*Assumptions!B$10</f>
        <v>-448.95622799999995</v>
      </c>
      <c r="G44">
        <f>-G5*Assumptions!B$10</f>
        <v>-493.85185079999997</v>
      </c>
      <c r="H44">
        <f>-H5*Assumptions!B$10</f>
        <v>-533.35999886399998</v>
      </c>
      <c r="I44">
        <f>-I5*Assumptions!B$10</f>
        <v>-565.36159879584</v>
      </c>
      <c r="J44">
        <f>-J5*Assumptions!B$10</f>
        <v>-593.62967873563207</v>
      </c>
    </row>
    <row r="45" spans="1:10" x14ac:dyDescent="0.3">
      <c r="A45" t="s">
        <v>106</v>
      </c>
      <c r="E45">
        <f t="shared" ref="E45:J45" si="7">E44</f>
        <v>-400.85377499999998</v>
      </c>
      <c r="F45">
        <f t="shared" si="7"/>
        <v>-448.95622799999995</v>
      </c>
      <c r="G45">
        <f t="shared" si="7"/>
        <v>-493.85185079999997</v>
      </c>
      <c r="H45">
        <f t="shared" si="7"/>
        <v>-533.35999886399998</v>
      </c>
      <c r="I45">
        <f t="shared" si="7"/>
        <v>-565.36159879584</v>
      </c>
      <c r="J45">
        <f t="shared" si="7"/>
        <v>-593.62967873563207</v>
      </c>
    </row>
    <row r="46" spans="1:10" x14ac:dyDescent="0.3">
      <c r="A46" t="s">
        <v>107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">
      <c r="A47" t="s">
        <v>108</v>
      </c>
      <c r="E47">
        <f t="shared" ref="E47:J47" si="8">E46</f>
        <v>0</v>
      </c>
      <c r="F47">
        <f t="shared" si="8"/>
        <v>0</v>
      </c>
      <c r="G47">
        <f t="shared" si="8"/>
        <v>0</v>
      </c>
      <c r="H47">
        <f t="shared" si="8"/>
        <v>0</v>
      </c>
      <c r="I47">
        <f t="shared" si="8"/>
        <v>0</v>
      </c>
      <c r="J47">
        <f t="shared" si="8"/>
        <v>0</v>
      </c>
    </row>
    <row r="48" spans="1:10" x14ac:dyDescent="0.3">
      <c r="A48" t="s">
        <v>109</v>
      </c>
      <c r="E48" t="str">
        <f t="shared" ref="E48:J48" ca="1" si="9">SUM(E43, E45, E47)</f>
        <v/>
      </c>
      <c r="F48" t="str">
        <f t="shared" ca="1" si="9"/>
        <v/>
      </c>
      <c r="G48" t="str">
        <f t="shared" ca="1" si="9"/>
        <v/>
      </c>
      <c r="H48" t="str">
        <f t="shared" ca="1" si="9"/>
        <v/>
      </c>
      <c r="I48" t="str">
        <f t="shared" ca="1" si="9"/>
        <v/>
      </c>
      <c r="J48" t="str">
        <f t="shared" ca="1" si="9"/>
        <v/>
      </c>
    </row>
    <row r="49" spans="1:10" x14ac:dyDescent="0.3">
      <c r="A49" t="s">
        <v>110</v>
      </c>
      <c r="E49">
        <f>D23</f>
        <v>167.09</v>
      </c>
      <c r="F49" t="str">
        <f ca="1">E23</f>
        <v/>
      </c>
      <c r="G49" t="str">
        <f ca="1">F23</f>
        <v/>
      </c>
      <c r="H49" t="str">
        <f ca="1">G23</f>
        <v/>
      </c>
      <c r="I49" t="str">
        <f ca="1">H23</f>
        <v/>
      </c>
      <c r="J49" t="str">
        <f ca="1">I23</f>
        <v/>
      </c>
    </row>
    <row r="50" spans="1:10" x14ac:dyDescent="0.3">
      <c r="A50" t="s">
        <v>111</v>
      </c>
      <c r="E50" t="str">
        <f t="shared" ref="E50:J50" ca="1" si="10">E48+E49</f>
        <v/>
      </c>
      <c r="F50" t="str">
        <f t="shared" ca="1" si="10"/>
        <v/>
      </c>
      <c r="G50" t="str">
        <f t="shared" ca="1" si="10"/>
        <v/>
      </c>
      <c r="H50" t="str">
        <f t="shared" ca="1" si="10"/>
        <v/>
      </c>
      <c r="I50" t="str">
        <f t="shared" ca="1" si="10"/>
        <v/>
      </c>
      <c r="J50" t="str">
        <f t="shared" ca="1" si="10"/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"/>
  <sheetViews>
    <sheetView workbookViewId="0">
      <selection sqref="A1:D2"/>
    </sheetView>
  </sheetViews>
  <sheetFormatPr defaultRowHeight="14.4" x14ac:dyDescent="0.3"/>
  <cols>
    <col min="1" max="1" width="30.33203125" bestFit="1" customWidth="1"/>
    <col min="2" max="4" width="9.77734375" bestFit="1" customWidth="1"/>
  </cols>
  <sheetData>
    <row r="1" spans="1:4" x14ac:dyDescent="0.3">
      <c r="A1" s="4" t="s">
        <v>57</v>
      </c>
      <c r="B1" s="4" t="s">
        <v>112</v>
      </c>
      <c r="C1" s="4" t="s">
        <v>113</v>
      </c>
      <c r="D1" s="4" t="s">
        <v>114</v>
      </c>
    </row>
    <row r="2" spans="1:4" x14ac:dyDescent="0.3">
      <c r="A2" s="4" t="s">
        <v>67</v>
      </c>
      <c r="B2" s="4"/>
      <c r="C2" s="4"/>
      <c r="D2" s="4"/>
    </row>
    <row r="3" spans="1:4" x14ac:dyDescent="0.3">
      <c r="A3" t="s">
        <v>68</v>
      </c>
      <c r="B3">
        <v>2565.4</v>
      </c>
      <c r="C3">
        <v>5360.77</v>
      </c>
      <c r="D3">
        <v>6738.69</v>
      </c>
    </row>
    <row r="4" spans="1:4" x14ac:dyDescent="0.3">
      <c r="A4" t="s">
        <v>69</v>
      </c>
      <c r="B4">
        <v>72.56</v>
      </c>
      <c r="C4">
        <v>143.5</v>
      </c>
      <c r="D4">
        <v>232.68</v>
      </c>
    </row>
    <row r="5" spans="1:4" x14ac:dyDescent="0.3">
      <c r="A5" t="s">
        <v>70</v>
      </c>
      <c r="B5">
        <v>2665.65</v>
      </c>
      <c r="C5">
        <v>5588.14</v>
      </c>
      <c r="D5">
        <v>7123.12</v>
      </c>
    </row>
    <row r="6" spans="1:4" x14ac:dyDescent="0.3">
      <c r="A6" t="s">
        <v>71</v>
      </c>
      <c r="B6">
        <v>969.52</v>
      </c>
      <c r="C6">
        <v>2364.6</v>
      </c>
      <c r="D6">
        <v>2390.46</v>
      </c>
    </row>
    <row r="7" spans="1:4" x14ac:dyDescent="0.3">
      <c r="A7" t="s">
        <v>72</v>
      </c>
      <c r="B7">
        <v>348.6</v>
      </c>
      <c r="C7">
        <v>479.48</v>
      </c>
      <c r="D7">
        <v>646.19000000000005</v>
      </c>
    </row>
    <row r="8" spans="1:4" x14ac:dyDescent="0.3">
      <c r="A8" t="s">
        <v>73</v>
      </c>
      <c r="B8">
        <v>506.86</v>
      </c>
      <c r="C8">
        <v>510.3</v>
      </c>
      <c r="D8">
        <v>642.57000000000005</v>
      </c>
    </row>
    <row r="9" spans="1:4" x14ac:dyDescent="0.3">
      <c r="A9" t="s">
        <v>74</v>
      </c>
      <c r="B9">
        <v>339.72</v>
      </c>
      <c r="C9">
        <v>720.67</v>
      </c>
      <c r="D9">
        <v>624.73</v>
      </c>
    </row>
    <row r="10" spans="1:4" x14ac:dyDescent="0.3">
      <c r="A10" t="s">
        <v>75</v>
      </c>
      <c r="B10">
        <v>3281.02</v>
      </c>
      <c r="C10">
        <v>5618.58</v>
      </c>
      <c r="D10">
        <v>6318.19</v>
      </c>
    </row>
    <row r="11" spans="1:4" x14ac:dyDescent="0.3">
      <c r="A11" t="s">
        <v>76</v>
      </c>
      <c r="B11">
        <v>-379.57</v>
      </c>
      <c r="C11">
        <v>282.73</v>
      </c>
      <c r="D11">
        <v>1221.8699999999999</v>
      </c>
    </row>
    <row r="12" spans="1:4" x14ac:dyDescent="0.3">
      <c r="A12" t="s">
        <v>77</v>
      </c>
      <c r="B12">
        <v>235.8</v>
      </c>
      <c r="C12">
        <v>313.17</v>
      </c>
      <c r="D12">
        <v>416.94</v>
      </c>
    </row>
    <row r="13" spans="1:4" x14ac:dyDescent="0.3">
      <c r="A13" t="s">
        <v>78</v>
      </c>
      <c r="B13">
        <v>-615.37</v>
      </c>
      <c r="C13">
        <v>-3.04</v>
      </c>
      <c r="D13">
        <v>804.93</v>
      </c>
    </row>
    <row r="14" spans="1:4" x14ac:dyDescent="0.3">
      <c r="A14" t="s">
        <v>79</v>
      </c>
      <c r="B14">
        <v>8.16</v>
      </c>
      <c r="C14">
        <v>1.4</v>
      </c>
      <c r="D14">
        <v>-123.16</v>
      </c>
    </row>
    <row r="15" spans="1:4" x14ac:dyDescent="0.3">
      <c r="A15" t="s">
        <v>80</v>
      </c>
      <c r="B15">
        <v>-616.19000000000005</v>
      </c>
      <c r="C15">
        <v>-30.58</v>
      </c>
      <c r="D15">
        <v>817.25</v>
      </c>
    </row>
    <row r="17" spans="1:4" x14ac:dyDescent="0.3">
      <c r="A17" s="4" t="s">
        <v>81</v>
      </c>
      <c r="B17" s="4"/>
      <c r="C17" s="4"/>
      <c r="D17" s="4"/>
    </row>
    <row r="18" spans="1:4" x14ac:dyDescent="0.3">
      <c r="A18" t="s">
        <v>82</v>
      </c>
      <c r="B18">
        <v>2140.7399999999998</v>
      </c>
      <c r="C18">
        <v>2767.07</v>
      </c>
      <c r="D18">
        <v>3603.81</v>
      </c>
    </row>
    <row r="19" spans="1:4" x14ac:dyDescent="0.3">
      <c r="A19" t="s">
        <v>83</v>
      </c>
      <c r="B19">
        <v>21.4</v>
      </c>
      <c r="C19">
        <v>10.67</v>
      </c>
      <c r="D19">
        <v>48.02</v>
      </c>
    </row>
    <row r="20" spans="1:4" x14ac:dyDescent="0.3">
      <c r="A20" t="s">
        <v>85</v>
      </c>
      <c r="B20">
        <v>40.81</v>
      </c>
      <c r="C20">
        <v>59.11</v>
      </c>
      <c r="D20">
        <v>62.48</v>
      </c>
    </row>
    <row r="21" spans="1:4" x14ac:dyDescent="0.3">
      <c r="A21" t="s">
        <v>86</v>
      </c>
      <c r="B21">
        <v>33.29</v>
      </c>
      <c r="C21">
        <v>51.99</v>
      </c>
      <c r="D21">
        <v>64.25</v>
      </c>
    </row>
    <row r="22" spans="1:4" x14ac:dyDescent="0.3">
      <c r="A22" t="s">
        <v>87</v>
      </c>
      <c r="B22">
        <v>101.17</v>
      </c>
      <c r="C22">
        <v>118.11</v>
      </c>
      <c r="D22">
        <v>167.09</v>
      </c>
    </row>
    <row r="23" spans="1:4" x14ac:dyDescent="0.3">
      <c r="A23" t="s">
        <v>90</v>
      </c>
      <c r="B23">
        <v>3.85</v>
      </c>
      <c r="C23">
        <v>3.86</v>
      </c>
      <c r="D23">
        <v>3.86</v>
      </c>
    </row>
    <row r="24" spans="1:4" x14ac:dyDescent="0.3">
      <c r="A24" t="s">
        <v>91</v>
      </c>
      <c r="B24">
        <v>-647.5</v>
      </c>
      <c r="C24">
        <v>-674.27</v>
      </c>
      <c r="D24">
        <v>15.46</v>
      </c>
    </row>
    <row r="25" spans="1:4" x14ac:dyDescent="0.3">
      <c r="A25" t="s">
        <v>93</v>
      </c>
      <c r="B25">
        <v>4.16</v>
      </c>
      <c r="C25">
        <v>0</v>
      </c>
      <c r="D25">
        <v>0</v>
      </c>
    </row>
    <row r="26" spans="1:4" x14ac:dyDescent="0.3">
      <c r="A26" t="s">
        <v>94</v>
      </c>
      <c r="B26">
        <v>34.81</v>
      </c>
      <c r="C26">
        <v>22.52</v>
      </c>
      <c r="D26">
        <v>18.920000000000002</v>
      </c>
    </row>
    <row r="27" spans="1:4" x14ac:dyDescent="0.3">
      <c r="A27" t="s">
        <v>96</v>
      </c>
      <c r="B27">
        <v>315.19</v>
      </c>
      <c r="C27">
        <v>321.3</v>
      </c>
      <c r="D27">
        <v>318.66000000000003</v>
      </c>
    </row>
    <row r="29" spans="1:4" x14ac:dyDescent="0.3">
      <c r="A29" s="4" t="s">
        <v>101</v>
      </c>
      <c r="B29" s="4"/>
      <c r="C29" s="4"/>
      <c r="D29" s="4"/>
    </row>
    <row r="30" spans="1:4" x14ac:dyDescent="0.3">
      <c r="A30" t="s">
        <v>73</v>
      </c>
      <c r="B30">
        <v>506.86</v>
      </c>
      <c r="C30">
        <v>510.3</v>
      </c>
      <c r="D30">
        <v>642.57000000000005</v>
      </c>
    </row>
    <row r="31" spans="1:4" x14ac:dyDescent="0.3">
      <c r="A31" t="s">
        <v>103</v>
      </c>
      <c r="D31">
        <v>-35.29</v>
      </c>
    </row>
    <row r="32" spans="1:4" x14ac:dyDescent="0.3">
      <c r="A32" t="s">
        <v>105</v>
      </c>
      <c r="B32">
        <v>15.26</v>
      </c>
      <c r="C32">
        <v>-40.549999999999997</v>
      </c>
      <c r="D32">
        <v>-117.56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"/>
  <sheetViews>
    <sheetView workbookViewId="0">
      <selection activeCell="A29" sqref="A29:G29"/>
    </sheetView>
  </sheetViews>
  <sheetFormatPr defaultRowHeight="14.4" x14ac:dyDescent="0.3"/>
  <cols>
    <col min="1" max="1" width="30.6640625" bestFit="1" customWidth="1"/>
    <col min="2" max="2" width="12.6640625" bestFit="1" customWidth="1"/>
    <col min="3" max="3" width="23.44140625" bestFit="1" customWidth="1"/>
    <col min="4" max="7" width="12.6640625" bestFit="1" customWidth="1"/>
  </cols>
  <sheetData>
    <row r="1" spans="1:7" x14ac:dyDescent="0.3">
      <c r="A1" s="4" t="s">
        <v>115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1:7" x14ac:dyDescent="0.3">
      <c r="A2" t="s">
        <v>116</v>
      </c>
      <c r="B2">
        <f>'3-Statement Model'!E10</f>
        <v>4938.5500499999989</v>
      </c>
      <c r="C2">
        <f>'3-Statement Model'!F10</f>
        <v>5854.4212282499993</v>
      </c>
      <c r="D2">
        <f>'3-Statement Model'!G10</f>
        <v>6705.4631342737484</v>
      </c>
      <c r="E2">
        <f>'3-Statement Model'!H10</f>
        <v>7448.0524873278573</v>
      </c>
      <c r="F2">
        <f>'3-Statement Model'!I10</f>
        <v>8039.7972736153761</v>
      </c>
      <c r="G2">
        <f>'3-Statement Model'!J10</f>
        <v>8556.1473518766943</v>
      </c>
    </row>
    <row r="3" spans="1:7" x14ac:dyDescent="0.3">
      <c r="A3" t="s">
        <v>117</v>
      </c>
      <c r="B3">
        <f>B2*Assumptions!B$26</f>
        <v>740782507.49999988</v>
      </c>
      <c r="C3">
        <f>C2*Assumptions!B$26</f>
        <v>878163184.23749995</v>
      </c>
      <c r="D3">
        <f>D2*Assumptions!B$26</f>
        <v>1005819470.1410623</v>
      </c>
      <c r="E3">
        <f>E2*Assumptions!B$26</f>
        <v>1117207873.0991786</v>
      </c>
      <c r="F3">
        <f>F2*Assumptions!B$26</f>
        <v>1205969591.0423064</v>
      </c>
      <c r="G3">
        <f>G2*Assumptions!B$26</f>
        <v>1283422102.7815042</v>
      </c>
    </row>
    <row r="4" spans="1:7" x14ac:dyDescent="0.3">
      <c r="A4" t="s">
        <v>118</v>
      </c>
      <c r="B4">
        <f t="shared" ref="B4:G4" si="0">B2-B3</f>
        <v>-740777568.94994986</v>
      </c>
      <c r="C4">
        <f t="shared" si="0"/>
        <v>-878157329.81627166</v>
      </c>
      <c r="D4">
        <f t="shared" si="0"/>
        <v>-1005812764.677928</v>
      </c>
      <c r="E4">
        <f t="shared" si="0"/>
        <v>-1117200425.0466912</v>
      </c>
      <c r="F4">
        <f t="shared" si="0"/>
        <v>-1205961551.2450328</v>
      </c>
      <c r="G4">
        <f t="shared" si="0"/>
        <v>-1283413546.6341522</v>
      </c>
    </row>
    <row r="5" spans="1:7" x14ac:dyDescent="0.3">
      <c r="A5" t="s">
        <v>119</v>
      </c>
      <c r="B5" t="str">
        <f ca="1">'3-Statement Model'!E7</f>
        <v/>
      </c>
      <c r="C5" t="str">
        <f ca="1">'3-Statement Model'!F7</f>
        <v/>
      </c>
      <c r="D5" t="str">
        <f ca="1">'3-Statement Model'!G7</f>
        <v/>
      </c>
      <c r="E5" t="str">
        <f ca="1">'3-Statement Model'!H7</f>
        <v/>
      </c>
      <c r="F5" t="str">
        <f ca="1">'3-Statement Model'!I7</f>
        <v/>
      </c>
      <c r="G5" t="str">
        <f ca="1">'3-Statement Model'!J7</f>
        <v/>
      </c>
    </row>
    <row r="6" spans="1:7" x14ac:dyDescent="0.3">
      <c r="A6" t="s">
        <v>120</v>
      </c>
      <c r="B6">
        <f>'3-Statement Model'!E44</f>
        <v>-400.85377499999998</v>
      </c>
      <c r="C6">
        <f>'3-Statement Model'!F44</f>
        <v>-448.95622799999995</v>
      </c>
      <c r="D6">
        <f>'3-Statement Model'!G44</f>
        <v>-493.85185079999997</v>
      </c>
      <c r="E6">
        <f>'3-Statement Model'!H44</f>
        <v>-533.35999886399998</v>
      </c>
      <c r="F6">
        <f>'3-Statement Model'!I44</f>
        <v>-565.36159879584</v>
      </c>
      <c r="G6">
        <f>'3-Statement Model'!J44</f>
        <v>-593.62967873563207</v>
      </c>
    </row>
    <row r="7" spans="1:7" x14ac:dyDescent="0.3">
      <c r="A7" t="s">
        <v>121</v>
      </c>
      <c r="B7" t="str">
        <f ca="1">'3-Statement Model'!E42</f>
        <v/>
      </c>
      <c r="C7" t="str">
        <f ca="1">'3-Statement Model'!F42</f>
        <v/>
      </c>
      <c r="D7" t="str">
        <f ca="1">'3-Statement Model'!G42</f>
        <v/>
      </c>
      <c r="E7" t="str">
        <f ca="1">'3-Statement Model'!H42</f>
        <v/>
      </c>
      <c r="F7" t="str">
        <f ca="1">'3-Statement Model'!I42</f>
        <v/>
      </c>
      <c r="G7" t="str">
        <f ca="1">'3-Statement Model'!J42</f>
        <v/>
      </c>
    </row>
    <row r="8" spans="1:7" x14ac:dyDescent="0.3">
      <c r="A8" t="s">
        <v>122</v>
      </c>
      <c r="B8" t="str">
        <f t="shared" ref="B8:G8" ca="1" si="1">B4+B5+B6+B7</f>
        <v/>
      </c>
      <c r="C8" t="str">
        <f t="shared" ca="1" si="1"/>
        <v/>
      </c>
      <c r="D8" t="str">
        <f t="shared" ca="1" si="1"/>
        <v/>
      </c>
      <c r="E8" t="str">
        <f t="shared" ca="1" si="1"/>
        <v/>
      </c>
      <c r="F8" t="str">
        <f t="shared" ca="1" si="1"/>
        <v/>
      </c>
      <c r="G8" t="str">
        <f t="shared" ca="1" si="1"/>
        <v/>
      </c>
    </row>
    <row r="10" spans="1:7" x14ac:dyDescent="0.3">
      <c r="A10" s="4" t="s">
        <v>123</v>
      </c>
      <c r="B10" s="4"/>
      <c r="C10" s="4"/>
      <c r="D10" s="4"/>
      <c r="E10" s="4"/>
      <c r="F10" s="4"/>
      <c r="G10" s="4"/>
    </row>
    <row r="11" spans="1:7" x14ac:dyDescent="0.3">
      <c r="A11" s="4" t="s">
        <v>124</v>
      </c>
      <c r="B11" s="4"/>
      <c r="C11" s="4"/>
      <c r="D11" s="4"/>
      <c r="E11" s="4"/>
      <c r="F11" s="4"/>
      <c r="G11" s="4"/>
    </row>
    <row r="12" spans="1:7" x14ac:dyDescent="0.3">
      <c r="A12" t="s">
        <v>125</v>
      </c>
      <c r="B12" t="str">
        <f ca="1">G8*(1+Assumptions!B$34)</f>
        <v/>
      </c>
    </row>
    <row r="13" spans="1:7" x14ac:dyDescent="0.3">
      <c r="A13" t="s">
        <v>126</v>
      </c>
      <c r="B13">
        <f>Assumptions!B$30-Assumptions!B$34</f>
        <v>-8.5</v>
      </c>
    </row>
    <row r="14" spans="1:7" x14ac:dyDescent="0.3">
      <c r="A14" t="s">
        <v>127</v>
      </c>
      <c r="B14" t="str">
        <f ca="1">B12/B13</f>
        <v/>
      </c>
    </row>
    <row r="15" spans="1:7" x14ac:dyDescent="0.3">
      <c r="A15" t="s">
        <v>128</v>
      </c>
    </row>
    <row r="16" spans="1:7" x14ac:dyDescent="0.3">
      <c r="A16" t="s">
        <v>129</v>
      </c>
      <c r="B16" t="str">
        <f ca="1">'3-Statement Model'!J10+('3-Statement Model'!J7-'3-Statement Model'!J8)</f>
        <v/>
      </c>
    </row>
    <row r="17" spans="1:7" x14ac:dyDescent="0.3">
      <c r="A17" t="s">
        <v>55</v>
      </c>
      <c r="B17">
        <f>Assumptions!B$35</f>
        <v>0</v>
      </c>
    </row>
    <row r="18" spans="1:7" x14ac:dyDescent="0.3">
      <c r="A18" t="s">
        <v>130</v>
      </c>
      <c r="B18" t="str">
        <f ca="1">B16*B17</f>
        <v/>
      </c>
    </row>
    <row r="20" spans="1:7" x14ac:dyDescent="0.3">
      <c r="A20" s="4" t="s">
        <v>131</v>
      </c>
      <c r="B20" s="4"/>
      <c r="C20" s="4"/>
      <c r="D20" s="4"/>
      <c r="E20" s="4"/>
      <c r="F20" s="4"/>
      <c r="G20" s="4"/>
    </row>
    <row r="21" spans="1:7" x14ac:dyDescent="0.3">
      <c r="A21" t="s">
        <v>132</v>
      </c>
      <c r="B21" t="s">
        <v>133</v>
      </c>
      <c r="C21" t="s">
        <v>134</v>
      </c>
      <c r="D21" t="s">
        <v>135</v>
      </c>
      <c r="E21" t="s">
        <v>136</v>
      </c>
      <c r="F21" t="s">
        <v>137</v>
      </c>
      <c r="G21" t="s">
        <v>138</v>
      </c>
    </row>
    <row r="22" spans="1:7" x14ac:dyDescent="0.3">
      <c r="A22" t="s">
        <v>139</v>
      </c>
      <c r="B22">
        <f>1/((1+Assumptions!B$30)^B21)</f>
        <v>1</v>
      </c>
      <c r="C22">
        <f>1/((1+Assumptions!B$30)^C21)</f>
        <v>1</v>
      </c>
      <c r="D22">
        <f>1/((1+Assumptions!B$30)^D21)</f>
        <v>1</v>
      </c>
      <c r="E22">
        <f>1/((1+Assumptions!B$30)^E21)</f>
        <v>1</v>
      </c>
      <c r="F22">
        <f>1/((1+Assumptions!B$30)^F21)</f>
        <v>1</v>
      </c>
      <c r="G22">
        <f>1/((1+Assumptions!B$30)^G21)</f>
        <v>1</v>
      </c>
    </row>
    <row r="23" spans="1:7" x14ac:dyDescent="0.3">
      <c r="A23" t="s">
        <v>140</v>
      </c>
      <c r="B23" t="str">
        <f t="shared" ref="B23:G23" ca="1" si="2">B8*B22</f>
        <v/>
      </c>
      <c r="C23" t="str">
        <f t="shared" ca="1" si="2"/>
        <v/>
      </c>
      <c r="D23" t="str">
        <f t="shared" ca="1" si="2"/>
        <v/>
      </c>
      <c r="E23" t="str">
        <f t="shared" ca="1" si="2"/>
        <v/>
      </c>
      <c r="F23" t="str">
        <f t="shared" ca="1" si="2"/>
        <v/>
      </c>
      <c r="G23" t="str">
        <f t="shared" ca="1" si="2"/>
        <v/>
      </c>
    </row>
    <row r="24" spans="1:7" x14ac:dyDescent="0.3">
      <c r="A24" t="s">
        <v>141</v>
      </c>
      <c r="B24" t="str">
        <f ca="1">G23+B14*G22</f>
        <v/>
      </c>
    </row>
    <row r="25" spans="1:7" x14ac:dyDescent="0.3">
      <c r="A25" t="s">
        <v>142</v>
      </c>
    </row>
    <row r="26" spans="1:7" x14ac:dyDescent="0.3">
      <c r="A26" t="s">
        <v>143</v>
      </c>
      <c r="B26" t="str">
        <f ca="1">G23+B18*G22</f>
        <v/>
      </c>
    </row>
    <row r="27" spans="1:7" x14ac:dyDescent="0.3">
      <c r="A27" t="s">
        <v>144</v>
      </c>
    </row>
    <row r="29" spans="1:7" x14ac:dyDescent="0.3">
      <c r="A29" s="5" t="s">
        <v>145</v>
      </c>
      <c r="B29" s="5"/>
      <c r="C29" s="5"/>
      <c r="D29" s="5"/>
      <c r="E29" s="5"/>
      <c r="F29" s="5"/>
      <c r="G29" s="5"/>
    </row>
    <row r="30" spans="1:7" x14ac:dyDescent="0.3">
      <c r="A30" t="s">
        <v>146</v>
      </c>
      <c r="B30" t="str">
        <f ca="1">Assumptions!B28-'3-Statement Model'!D23</f>
        <v/>
      </c>
      <c r="C30" t="s">
        <v>147</v>
      </c>
    </row>
    <row r="31" spans="1:7" x14ac:dyDescent="0.3">
      <c r="A31" t="s">
        <v>148</v>
      </c>
      <c r="B31" t="str">
        <f ca="1">B29-B30</f>
        <v/>
      </c>
    </row>
    <row r="32" spans="1:7" x14ac:dyDescent="0.3">
      <c r="A32" t="s">
        <v>149</v>
      </c>
      <c r="B32" s="1">
        <v>129.80000000000001</v>
      </c>
    </row>
    <row r="33" spans="1:2" x14ac:dyDescent="0.3">
      <c r="A33" t="s">
        <v>150</v>
      </c>
      <c r="B33" t="str">
        <f ca="1">B31*100/B32</f>
        <v/>
      </c>
    </row>
    <row r="34" spans="1:2" x14ac:dyDescent="0.3">
      <c r="A34" t="s">
        <v>151</v>
      </c>
      <c r="B34" s="1">
        <v>4500</v>
      </c>
    </row>
    <row r="35" spans="1:2" x14ac:dyDescent="0.3">
      <c r="A35" t="s">
        <v>152</v>
      </c>
      <c r="B35" s="2" t="str">
        <f ca="1">B33/B34-1</f>
        <v/>
      </c>
    </row>
    <row r="36" spans="1:2" x14ac:dyDescent="0.3">
      <c r="A36" t="s">
        <v>153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3-Statement Model</vt:lpstr>
      <vt:lpstr>Historical Data</vt:lpstr>
      <vt:lpstr>DCF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Adithya Ajith</cp:lastModifiedBy>
  <dcterms:created xsi:type="dcterms:W3CDTF">2025-08-31T05:32:20Z</dcterms:created>
  <dcterms:modified xsi:type="dcterms:W3CDTF">2025-08-31T05:39:17Z</dcterms:modified>
</cp:coreProperties>
</file>