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Data Scicen Academy\Data FINAL PROJECT\"/>
    </mc:Choice>
  </mc:AlternateContent>
  <xr:revisionPtr revIDLastSave="0" documentId="13_ncr:1_{50D44F7A-D18C-4742-AC22-67330BFBA9D4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N540" i="1" l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<sst xmlns="http://schemas.openxmlformats.org/spreadsheetml/2006/main" count="578" uniqueCount="44">
  <si>
    <t>Tanggal</t>
  </si>
  <si>
    <t>Meninggal Harian (Jakarta)</t>
  </si>
  <si>
    <t>Sembuh Harian (Jakarta)</t>
  </si>
  <si>
    <t>Self-Isolation Harian (Jakarta)</t>
  </si>
  <si>
    <t>Dirawat Harian (Jakarta)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</si>
  <si>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</si>
  <si>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</si>
  <si>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</si>
  <si>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</si>
  <si>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</si>
  <si>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</si>
  <si>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Vaksinasi 1_TenagaKesehatanDKI</t>
  </si>
  <si>
    <t>Vaksinasi 1 Harian_TenagaKesehatanDKI</t>
  </si>
  <si>
    <t>Vaksinasi 2_TenagaKesehatanDKI</t>
  </si>
  <si>
    <t>Vaksinasi 1_LansiaDKI</t>
  </si>
  <si>
    <t>Vaksinasi 2_LansiaDKI</t>
  </si>
  <si>
    <t>Vaksinasi 1_PelayananPublikDKI</t>
  </si>
  <si>
    <t>Vaksinasi 2_PelayananPublikDKI</t>
  </si>
  <si>
    <t>Vaksinasi 1_TotalDKIjkt</t>
  </si>
  <si>
    <t>Vaksinasi 2_TotalDKIjkt</t>
  </si>
  <si>
    <t>Vaksinasi 1_HarianDKI</t>
  </si>
  <si>
    <t>Vaksinasi 2_HarianDKI</t>
  </si>
  <si>
    <t>Vaksinasi 1_18-59 tahunDKI</t>
  </si>
  <si>
    <t>Vaksinasi 2_18-59 tahunDKI</t>
  </si>
  <si>
    <t>Vaksin Gtg Ryg 1_DKI</t>
  </si>
  <si>
    <t>Vaksin Gtg Ryg 2_DKI</t>
  </si>
  <si>
    <t>Jumlah Orang di Test</t>
  </si>
  <si>
    <t>Orang Positif Harian</t>
  </si>
  <si>
    <t>Orang Negatif Harian</t>
  </si>
  <si>
    <t>Positivity Rate Kasus Baru Harian</t>
  </si>
  <si>
    <t xml:space="preserve">LABEL </t>
  </si>
  <si>
    <t>Belum Ada PPKM</t>
  </si>
  <si>
    <t>PPKM</t>
  </si>
  <si>
    <t>PPKM MIKRO</t>
  </si>
  <si>
    <t>PPKM DARURAT</t>
  </si>
  <si>
    <t>PPKM LEVEL (4)</t>
  </si>
  <si>
    <t>Meninggal</t>
  </si>
  <si>
    <t>Sembuh</t>
  </si>
  <si>
    <t>Self Isolation</t>
  </si>
  <si>
    <t>Masih Perawatan</t>
  </si>
  <si>
    <t>Total Pasien</t>
  </si>
  <si>
    <t>Positif Harian (Indonesia)</t>
  </si>
  <si>
    <t>Positif Harian (Jakarta)</t>
  </si>
  <si>
    <t>Positif Aktif Harian (Jakarta)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</si>
</sst>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3" fontId="6" fillId="0" borderId="0" xfId="0" applyNumberFormat="1" applyFont="1"/>
    <xf numFmtId="3" fontId="5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3" fontId="5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3"/>
  <sheetViews>
    <sheetView tabSelected="1" topLeftCell="Q492" zoomScale="60" zoomScaleNormal="110" workbookViewId="0">
      <selection activeCell="X498" sqref="X498"/>
    </sheetView>
  </sheetViews>
  <sheetFormatPr defaultRowHeight="14.5" x14ac:dyDescent="0.35"/>
  <cols>
    <col min="1" max="1" width="3.81640625" bestFit="1" customWidth="1"/>
    <col min="2" max="2" width="10.453125" bestFit="1" customWidth="1"/>
    <col min="3" max="3" width="23.54296875" bestFit="1" customWidth="1"/>
    <col min="4" max="4" width="21.7265625" bestFit="1" customWidth="1"/>
    <col min="5" max="5" width="25.90625" bestFit="1" customWidth="1"/>
    <col min="6" max="6" width="21.54296875" bestFit="1" customWidth="1"/>
    <col min="7" max="7" width="20.08984375" bestFit="1" customWidth="1"/>
    <col min="8" max="8" width="24.6328125" bestFit="1" customWidth="1"/>
    <col min="9" max="9" width="47.1796875" bestFit="1" customWidth="1"/>
    <col min="10" max="10" width="48.6328125" bestFit="1" customWidth="1"/>
    <col min="11" max="11" width="33.36328125" bestFit="1" customWidth="1"/>
    <col min="12" max="12" width="42.1796875" bestFit="1" customWidth="1"/>
    <col min="13" max="13" width="38.26953125" bestFit="1" customWidth="1"/>
    <col min="14" max="14" width="37.6328125" bestFit="1" customWidth="1"/>
    <col min="15" max="15" width="29.26953125" bestFit="1" customWidth="1"/>
    <col min="16" max="16" width="35.36328125" bestFit="1" customWidth="1"/>
    <col min="17" max="17" width="29.26953125" bestFit="1" customWidth="1"/>
    <col min="18" max="19" width="19.36328125" bestFit="1" customWidth="1"/>
    <col min="20" max="21" width="28.1796875" bestFit="1" customWidth="1"/>
    <col min="22" max="23" width="20.7265625" bestFit="1" customWidth="1"/>
    <col min="24" max="25" width="19.7265625" bestFit="1" customWidth="1"/>
    <col min="26" max="27" width="24.36328125" bestFit="1" customWidth="1"/>
    <col min="28" max="29" width="18.6328125" bestFit="1" customWidth="1"/>
    <col min="30" max="30" width="18.453125" bestFit="1" customWidth="1"/>
    <col min="31" max="31" width="17.81640625" bestFit="1" customWidth="1"/>
    <col min="32" max="32" width="18.54296875" bestFit="1" customWidth="1"/>
    <col min="33" max="33" width="28.7265625" bestFit="1" customWidth="1"/>
    <col min="34" max="34" width="15.08984375" bestFit="1" customWidth="1"/>
  </cols>
  <sheetData>
    <row r="1" spans="1:40" ht="5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41</v>
      </c>
      <c r="H1" s="8" t="s">
        <v>42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8" t="s">
        <v>43</v>
      </c>
    </row>
    <row r="2" spans="1:40" x14ac:dyDescent="0.35">
      <c r="A2" s="1">
        <v>1</v>
      </c>
      <c r="B2" s="7">
        <v>43891</v>
      </c>
      <c r="C2">
        <v>0</v>
      </c>
      <c r="D2">
        <v>0</v>
      </c>
      <c r="E2">
        <v>0</v>
      </c>
      <c r="F2">
        <v>0</v>
      </c>
      <c r="G2" s="5">
        <f ca="1">IFERROR(__xludf.DUMMYFUNCTION("""COMPUTED_VALUE"""),0)</f>
        <v>0</v>
      </c>
      <c r="H2" s="5">
        <f ca="1">IFERROR(__xludf.DUMMYFUNCTION("""COMPUTED_VALUE"""),0)</f>
        <v>0</v>
      </c>
      <c r="I2">
        <v>4</v>
      </c>
      <c r="J2">
        <v>10</v>
      </c>
      <c r="K2">
        <v>-11</v>
      </c>
      <c r="L2">
        <v>6</v>
      </c>
      <c r="M2">
        <v>6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39</v>
      </c>
      <c r="AE2">
        <v>0</v>
      </c>
      <c r="AF2">
        <v>39</v>
      </c>
      <c r="AG2" s="2">
        <v>0</v>
      </c>
      <c r="AH2" t="s">
        <v>31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5">
        <f ca="1">IFERROR(__xludf.DUMMYFUNCTION("""COMPUTED_VALUE"""),0)</f>
        <v>0</v>
      </c>
    </row>
    <row r="3" spans="1:40" x14ac:dyDescent="0.35">
      <c r="A3" s="1">
        <v>2</v>
      </c>
      <c r="B3" s="7">
        <v>43892</v>
      </c>
      <c r="C3">
        <v>0</v>
      </c>
      <c r="D3">
        <v>0</v>
      </c>
      <c r="E3">
        <v>0</v>
      </c>
      <c r="F3">
        <v>0</v>
      </c>
      <c r="G3" s="5">
        <f ca="1">IFERROR(__xludf.DUMMYFUNCTION("""COMPUTED_VALUE"""),2)</f>
        <v>2</v>
      </c>
      <c r="H3" s="5">
        <f ca="1">IFERROR(__xludf.DUMMYFUNCTION("""COMPUTED_VALUE"""),0)</f>
        <v>0</v>
      </c>
      <c r="I3">
        <v>6</v>
      </c>
      <c r="J3">
        <v>24</v>
      </c>
      <c r="K3">
        <v>5</v>
      </c>
      <c r="L3">
        <v>5</v>
      </c>
      <c r="M3">
        <v>6</v>
      </c>
      <c r="N3">
        <v>-1</v>
      </c>
      <c r="O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</v>
      </c>
      <c r="AE3">
        <v>0</v>
      </c>
      <c r="AF3">
        <v>3</v>
      </c>
      <c r="AG3" s="2">
        <v>0</v>
      </c>
      <c r="AH3" t="s">
        <v>31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5">
        <f ca="1">IFERROR(__xludf.DUMMYFUNCTION("""COMPUTED_VALUE"""),0)</f>
        <v>0</v>
      </c>
    </row>
    <row r="4" spans="1:40" x14ac:dyDescent="0.35">
      <c r="A4" s="1">
        <v>3</v>
      </c>
      <c r="B4" s="7">
        <v>43893</v>
      </c>
      <c r="C4">
        <v>1</v>
      </c>
      <c r="D4">
        <v>0</v>
      </c>
      <c r="E4">
        <v>0</v>
      </c>
      <c r="F4">
        <v>2</v>
      </c>
      <c r="G4" s="5">
        <f ca="1">IFERROR(__xludf.DUMMYFUNCTION("""COMPUTED_VALUE"""),0)</f>
        <v>0</v>
      </c>
      <c r="H4" s="5">
        <f ca="1">IFERROR(__xludf.DUMMYFUNCTION("""COMPUTED_VALUE"""),3)</f>
        <v>3</v>
      </c>
      <c r="I4">
        <v>3</v>
      </c>
      <c r="J4">
        <v>17</v>
      </c>
      <c r="K4">
        <v>-1</v>
      </c>
      <c r="L4">
        <v>3</v>
      </c>
      <c r="M4">
        <v>5</v>
      </c>
      <c r="N4">
        <v>0</v>
      </c>
      <c r="O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15</v>
      </c>
      <c r="AE4">
        <v>3</v>
      </c>
      <c r="AF4">
        <v>12</v>
      </c>
      <c r="AG4" s="2">
        <v>0.2</v>
      </c>
      <c r="AH4" t="s">
        <v>31</v>
      </c>
      <c r="AI4" s="4">
        <v>1</v>
      </c>
      <c r="AJ4" s="4">
        <v>0</v>
      </c>
      <c r="AK4" s="4">
        <v>0</v>
      </c>
      <c r="AL4" s="4">
        <v>2</v>
      </c>
      <c r="AM4" s="4">
        <v>3</v>
      </c>
      <c r="AN4" s="5">
        <f ca="1">IFERROR(__xludf.DUMMYFUNCTION("""COMPUTED_VALUE"""),2)</f>
        <v>2</v>
      </c>
    </row>
    <row r="5" spans="1:40" x14ac:dyDescent="0.35">
      <c r="A5" s="1">
        <v>4</v>
      </c>
      <c r="B5" s="7">
        <v>43894</v>
      </c>
      <c r="C5">
        <v>0</v>
      </c>
      <c r="D5">
        <v>0</v>
      </c>
      <c r="E5">
        <v>0</v>
      </c>
      <c r="F5">
        <v>0</v>
      </c>
      <c r="G5" s="5">
        <f ca="1">IFERROR(__xludf.DUMMYFUNCTION("""COMPUTED_VALUE"""),0)</f>
        <v>0</v>
      </c>
      <c r="H5" s="5">
        <f ca="1">IFERROR(__xludf.DUMMYFUNCTION("""COMPUTED_VALUE"""),0)</f>
        <v>0</v>
      </c>
      <c r="I5">
        <v>-2</v>
      </c>
      <c r="J5">
        <v>4</v>
      </c>
      <c r="K5">
        <v>-8</v>
      </c>
      <c r="L5">
        <v>1</v>
      </c>
      <c r="M5">
        <v>4</v>
      </c>
      <c r="N5">
        <v>1</v>
      </c>
      <c r="O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</v>
      </c>
      <c r="AE5">
        <v>0</v>
      </c>
      <c r="AF5">
        <v>7</v>
      </c>
      <c r="AG5" s="2">
        <v>0</v>
      </c>
      <c r="AH5" t="s">
        <v>31</v>
      </c>
      <c r="AI5" s="4">
        <v>1</v>
      </c>
      <c r="AJ5" s="4">
        <v>0</v>
      </c>
      <c r="AK5" s="4">
        <v>0</v>
      </c>
      <c r="AL5" s="4">
        <v>2</v>
      </c>
      <c r="AM5" s="4">
        <v>3</v>
      </c>
      <c r="AN5" s="5">
        <f ca="1">IFERROR(__xludf.DUMMYFUNCTION("""COMPUTED_VALUE"""),0)</f>
        <v>0</v>
      </c>
    </row>
    <row r="6" spans="1:40" x14ac:dyDescent="0.35">
      <c r="A6" s="1">
        <v>5</v>
      </c>
      <c r="B6" s="7">
        <v>43895</v>
      </c>
      <c r="C6">
        <v>2</v>
      </c>
      <c r="D6">
        <v>0</v>
      </c>
      <c r="E6">
        <v>0</v>
      </c>
      <c r="F6">
        <v>2</v>
      </c>
      <c r="G6" s="5">
        <f ca="1">IFERROR(__xludf.DUMMYFUNCTION("""COMPUTED_VALUE"""),0)</f>
        <v>0</v>
      </c>
      <c r="H6" s="5">
        <f ca="1">IFERROR(__xludf.DUMMYFUNCTION("""COMPUTED_VALUE"""),4)</f>
        <v>4</v>
      </c>
      <c r="I6">
        <v>3</v>
      </c>
      <c r="J6">
        <v>8</v>
      </c>
      <c r="K6">
        <v>1</v>
      </c>
      <c r="L6">
        <v>4</v>
      </c>
      <c r="M6">
        <v>5</v>
      </c>
      <c r="N6">
        <v>0</v>
      </c>
      <c r="O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27</v>
      </c>
      <c r="AE6">
        <v>0</v>
      </c>
      <c r="AF6">
        <v>27</v>
      </c>
      <c r="AG6" s="2">
        <v>0</v>
      </c>
      <c r="AH6" t="s">
        <v>31</v>
      </c>
      <c r="AI6" s="4">
        <v>3</v>
      </c>
      <c r="AJ6" s="4">
        <v>0</v>
      </c>
      <c r="AK6" s="4">
        <v>0</v>
      </c>
      <c r="AL6" s="4">
        <v>4</v>
      </c>
      <c r="AM6" s="4">
        <v>7</v>
      </c>
      <c r="AN6" s="5">
        <f ca="1">IFERROR(__xludf.DUMMYFUNCTION("""COMPUTED_VALUE"""),2)</f>
        <v>2</v>
      </c>
    </row>
    <row r="7" spans="1:40" x14ac:dyDescent="0.35">
      <c r="A7" s="1">
        <v>6</v>
      </c>
      <c r="B7" s="7">
        <v>43896</v>
      </c>
      <c r="C7">
        <v>0</v>
      </c>
      <c r="D7">
        <v>0</v>
      </c>
      <c r="E7">
        <v>0</v>
      </c>
      <c r="F7">
        <v>0</v>
      </c>
      <c r="G7" s="5">
        <f ca="1">IFERROR(__xludf.DUMMYFUNCTION("""COMPUTED_VALUE"""),2)</f>
        <v>2</v>
      </c>
      <c r="H7" s="5">
        <f ca="1">IFERROR(__xludf.DUMMYFUNCTION("""COMPUTED_VALUE"""),0)</f>
        <v>0</v>
      </c>
      <c r="I7">
        <v>10</v>
      </c>
      <c r="J7">
        <v>11</v>
      </c>
      <c r="K7">
        <v>19</v>
      </c>
      <c r="L7">
        <v>5</v>
      </c>
      <c r="M7">
        <v>8</v>
      </c>
      <c r="N7">
        <v>0</v>
      </c>
      <c r="O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</v>
      </c>
      <c r="AE7">
        <v>0</v>
      </c>
      <c r="AF7">
        <v>5</v>
      </c>
      <c r="AG7" s="2">
        <v>0</v>
      </c>
      <c r="AH7" t="s">
        <v>31</v>
      </c>
      <c r="AI7" s="4">
        <v>3</v>
      </c>
      <c r="AJ7" s="4">
        <v>0</v>
      </c>
      <c r="AK7" s="4">
        <v>0</v>
      </c>
      <c r="AL7" s="4">
        <v>4</v>
      </c>
      <c r="AM7" s="4">
        <v>7</v>
      </c>
      <c r="AN7" s="5">
        <f ca="1">IFERROR(__xludf.DUMMYFUNCTION("""COMPUTED_VALUE"""),0)</f>
        <v>0</v>
      </c>
    </row>
    <row r="8" spans="1:40" x14ac:dyDescent="0.35">
      <c r="A8" s="1">
        <v>7</v>
      </c>
      <c r="B8" s="7">
        <v>43897</v>
      </c>
      <c r="C8">
        <v>0</v>
      </c>
      <c r="D8">
        <v>0</v>
      </c>
      <c r="E8">
        <v>0</v>
      </c>
      <c r="F8">
        <v>0</v>
      </c>
      <c r="G8" s="5">
        <f ca="1">IFERROR(__xludf.DUMMYFUNCTION("""COMPUTED_VALUE"""),0)</f>
        <v>0</v>
      </c>
      <c r="H8" s="5">
        <f ca="1">IFERROR(__xludf.DUMMYFUNCTION("""COMPUTED_VALUE"""),0)</f>
        <v>0</v>
      </c>
      <c r="I8">
        <v>4</v>
      </c>
      <c r="J8">
        <v>12</v>
      </c>
      <c r="K8">
        <v>15</v>
      </c>
      <c r="L8">
        <v>6</v>
      </c>
      <c r="M8">
        <v>7</v>
      </c>
      <c r="N8">
        <v>-1</v>
      </c>
      <c r="O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26</v>
      </c>
      <c r="AE8">
        <v>0</v>
      </c>
      <c r="AF8">
        <v>26</v>
      </c>
      <c r="AG8" s="2">
        <v>0</v>
      </c>
      <c r="AH8" t="s">
        <v>31</v>
      </c>
      <c r="AI8" s="4">
        <v>3</v>
      </c>
      <c r="AJ8" s="4">
        <v>0</v>
      </c>
      <c r="AK8" s="4">
        <v>0</v>
      </c>
      <c r="AL8" s="4">
        <v>4</v>
      </c>
      <c r="AM8" s="4">
        <v>7</v>
      </c>
      <c r="AN8" s="5">
        <f ca="1">IFERROR(__xludf.DUMMYFUNCTION("""COMPUTED_VALUE"""),0)</f>
        <v>0</v>
      </c>
    </row>
    <row r="9" spans="1:40" x14ac:dyDescent="0.35">
      <c r="A9" s="1">
        <v>8</v>
      </c>
      <c r="B9" s="7">
        <v>43898</v>
      </c>
      <c r="C9">
        <v>0</v>
      </c>
      <c r="D9">
        <v>0</v>
      </c>
      <c r="E9">
        <v>0</v>
      </c>
      <c r="F9">
        <v>0</v>
      </c>
      <c r="G9" s="5">
        <f ca="1">IFERROR(__xludf.DUMMYFUNCTION("""COMPUTED_VALUE"""),2)</f>
        <v>2</v>
      </c>
      <c r="H9" s="5">
        <f ca="1">IFERROR(__xludf.DUMMYFUNCTION("""COMPUTED_VALUE"""),0)</f>
        <v>0</v>
      </c>
      <c r="I9">
        <v>0</v>
      </c>
      <c r="J9">
        <v>6</v>
      </c>
      <c r="K9">
        <v>1</v>
      </c>
      <c r="L9">
        <v>3</v>
      </c>
      <c r="M9">
        <v>6</v>
      </c>
      <c r="N9">
        <v>0</v>
      </c>
      <c r="O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56</v>
      </c>
      <c r="AE9">
        <v>1</v>
      </c>
      <c r="AF9">
        <v>55</v>
      </c>
      <c r="AG9" s="2">
        <v>1.7857142860000001E-2</v>
      </c>
      <c r="AH9" t="s">
        <v>31</v>
      </c>
      <c r="AI9" s="4">
        <v>3</v>
      </c>
      <c r="AJ9" s="4">
        <v>0</v>
      </c>
      <c r="AK9" s="4">
        <v>0</v>
      </c>
      <c r="AL9" s="4">
        <v>4</v>
      </c>
      <c r="AM9" s="4">
        <v>7</v>
      </c>
      <c r="AN9" s="5">
        <f ca="1">IFERROR(__xludf.DUMMYFUNCTION("""COMPUTED_VALUE"""),0)</f>
        <v>0</v>
      </c>
    </row>
    <row r="10" spans="1:40" x14ac:dyDescent="0.35">
      <c r="A10" s="1">
        <v>9</v>
      </c>
      <c r="B10" s="7">
        <v>43899</v>
      </c>
      <c r="C10">
        <v>0</v>
      </c>
      <c r="D10">
        <v>0</v>
      </c>
      <c r="E10">
        <v>0</v>
      </c>
      <c r="F10">
        <v>27</v>
      </c>
      <c r="G10" s="5">
        <f ca="1">IFERROR(__xludf.DUMMYFUNCTION("""COMPUTED_VALUE"""),13)</f>
        <v>13</v>
      </c>
      <c r="H10" s="5">
        <f ca="1">IFERROR(__xludf.DUMMYFUNCTION("""COMPUTED_VALUE"""),27)</f>
        <v>27</v>
      </c>
      <c r="I10">
        <v>3</v>
      </c>
      <c r="J10">
        <v>6</v>
      </c>
      <c r="K10">
        <v>7</v>
      </c>
      <c r="L10">
        <v>3</v>
      </c>
      <c r="M10">
        <v>5</v>
      </c>
      <c r="N10">
        <v>1</v>
      </c>
      <c r="O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73</v>
      </c>
      <c r="AE10">
        <v>27</v>
      </c>
      <c r="AF10">
        <v>46</v>
      </c>
      <c r="AG10" s="2">
        <v>0.36986301370000002</v>
      </c>
      <c r="AH10" t="s">
        <v>31</v>
      </c>
      <c r="AI10" s="4">
        <v>3</v>
      </c>
      <c r="AJ10" s="4">
        <v>0</v>
      </c>
      <c r="AK10" s="4">
        <v>0</v>
      </c>
      <c r="AL10" s="4">
        <v>31</v>
      </c>
      <c r="AM10" s="4">
        <v>34</v>
      </c>
      <c r="AN10" s="5">
        <f ca="1">IFERROR(__xludf.DUMMYFUNCTION("""COMPUTED_VALUE"""),27)</f>
        <v>27</v>
      </c>
    </row>
    <row r="11" spans="1:40" x14ac:dyDescent="0.35">
      <c r="A11" s="1">
        <v>10</v>
      </c>
      <c r="B11" s="7">
        <v>43900</v>
      </c>
      <c r="C11">
        <v>0</v>
      </c>
      <c r="D11">
        <v>0</v>
      </c>
      <c r="E11">
        <v>0</v>
      </c>
      <c r="F11">
        <v>0</v>
      </c>
      <c r="G11" s="5">
        <f ca="1">IFERROR(__xludf.DUMMYFUNCTION("""COMPUTED_VALUE"""),8)</f>
        <v>8</v>
      </c>
      <c r="H11" s="5">
        <f ca="1">IFERROR(__xludf.DUMMYFUNCTION("""COMPUTED_VALUE"""),0)</f>
        <v>0</v>
      </c>
      <c r="I11">
        <v>1</v>
      </c>
      <c r="J11">
        <v>6</v>
      </c>
      <c r="K11">
        <v>2</v>
      </c>
      <c r="L11">
        <v>3</v>
      </c>
      <c r="M11">
        <v>4</v>
      </c>
      <c r="N11">
        <v>1</v>
      </c>
      <c r="O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52</v>
      </c>
      <c r="AE11">
        <v>2</v>
      </c>
      <c r="AF11">
        <v>50</v>
      </c>
      <c r="AG11" s="2">
        <v>3.846153846E-2</v>
      </c>
      <c r="AH11" t="s">
        <v>31</v>
      </c>
      <c r="AI11" s="4">
        <v>3</v>
      </c>
      <c r="AJ11" s="4">
        <v>0</v>
      </c>
      <c r="AK11" s="4">
        <v>0</v>
      </c>
      <c r="AL11" s="4">
        <v>31</v>
      </c>
      <c r="AM11" s="4">
        <v>34</v>
      </c>
      <c r="AN11" s="5">
        <f ca="1">IFERROR(__xludf.DUMMYFUNCTION("""COMPUTED_VALUE"""),0)</f>
        <v>0</v>
      </c>
    </row>
    <row r="12" spans="1:40" x14ac:dyDescent="0.35">
      <c r="A12" s="1">
        <v>11</v>
      </c>
      <c r="B12" s="7">
        <v>43901</v>
      </c>
      <c r="C12">
        <v>0</v>
      </c>
      <c r="D12">
        <v>0</v>
      </c>
      <c r="E12">
        <v>0</v>
      </c>
      <c r="F12">
        <v>2</v>
      </c>
      <c r="G12" s="5">
        <f ca="1">IFERROR(__xludf.DUMMYFUNCTION("""COMPUTED_VALUE"""),7)</f>
        <v>7</v>
      </c>
      <c r="H12" s="5">
        <f ca="1">IFERROR(__xludf.DUMMYFUNCTION("""COMPUTED_VALUE"""),2)</f>
        <v>2</v>
      </c>
      <c r="I12">
        <v>1</v>
      </c>
      <c r="J12">
        <v>3</v>
      </c>
      <c r="K12">
        <v>3</v>
      </c>
      <c r="L12">
        <v>2</v>
      </c>
      <c r="M12">
        <v>4</v>
      </c>
      <c r="N12">
        <v>1</v>
      </c>
      <c r="O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48</v>
      </c>
      <c r="AE12">
        <v>26</v>
      </c>
      <c r="AF12">
        <v>22</v>
      </c>
      <c r="AG12" s="2">
        <v>0.54166666669999997</v>
      </c>
      <c r="AH12" t="s">
        <v>31</v>
      </c>
      <c r="AI12" s="4">
        <v>3</v>
      </c>
      <c r="AJ12" s="4">
        <v>0</v>
      </c>
      <c r="AK12" s="4">
        <v>0</v>
      </c>
      <c r="AL12" s="4">
        <v>33</v>
      </c>
      <c r="AM12" s="4">
        <v>36</v>
      </c>
      <c r="AN12" s="5">
        <f ca="1">IFERROR(__xludf.DUMMYFUNCTION("""COMPUTED_VALUE"""),2)</f>
        <v>2</v>
      </c>
    </row>
    <row r="13" spans="1:40" x14ac:dyDescent="0.35">
      <c r="A13" s="1">
        <v>12</v>
      </c>
      <c r="B13" s="7">
        <v>43902</v>
      </c>
      <c r="C13">
        <v>2</v>
      </c>
      <c r="D13">
        <v>0</v>
      </c>
      <c r="E13">
        <v>0</v>
      </c>
      <c r="F13">
        <v>24</v>
      </c>
      <c r="G13" s="5">
        <f ca="1">IFERROR(__xludf.DUMMYFUNCTION("""COMPUTED_VALUE"""),0)</f>
        <v>0</v>
      </c>
      <c r="H13" s="5">
        <f ca="1">IFERROR(__xludf.DUMMYFUNCTION("""COMPUTED_VALUE"""),26)</f>
        <v>26</v>
      </c>
      <c r="I13">
        <v>-3</v>
      </c>
      <c r="J13">
        <v>-2</v>
      </c>
      <c r="K13">
        <v>-7</v>
      </c>
      <c r="L13">
        <v>1</v>
      </c>
      <c r="M13">
        <v>3</v>
      </c>
      <c r="N13">
        <v>2</v>
      </c>
      <c r="O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56</v>
      </c>
      <c r="AE13">
        <v>10</v>
      </c>
      <c r="AF13">
        <v>46</v>
      </c>
      <c r="AG13" s="2">
        <v>0.1785714286</v>
      </c>
      <c r="AH13" t="s">
        <v>31</v>
      </c>
      <c r="AI13" s="4">
        <v>5</v>
      </c>
      <c r="AJ13" s="4">
        <v>0</v>
      </c>
      <c r="AK13" s="4">
        <v>0</v>
      </c>
      <c r="AL13" s="4">
        <v>57</v>
      </c>
      <c r="AM13" s="4">
        <v>62</v>
      </c>
      <c r="AN13" s="5">
        <f ca="1">IFERROR(__xludf.DUMMYFUNCTION("""COMPUTED_VALUE"""),24)</f>
        <v>24</v>
      </c>
    </row>
    <row r="14" spans="1:40" x14ac:dyDescent="0.35">
      <c r="A14" s="1">
        <v>13</v>
      </c>
      <c r="B14" s="7">
        <v>43903</v>
      </c>
      <c r="C14">
        <v>2</v>
      </c>
      <c r="D14">
        <v>0</v>
      </c>
      <c r="E14">
        <v>0</v>
      </c>
      <c r="F14">
        <v>8</v>
      </c>
      <c r="G14" s="5">
        <f ca="1">IFERROR(__xludf.DUMMYFUNCTION("""COMPUTED_VALUE"""),35)</f>
        <v>35</v>
      </c>
      <c r="H14" s="5">
        <f ca="1">IFERROR(__xludf.DUMMYFUNCTION("""COMPUTED_VALUE"""),10)</f>
        <v>10</v>
      </c>
      <c r="I14">
        <v>8</v>
      </c>
      <c r="J14">
        <v>9</v>
      </c>
      <c r="K14">
        <v>16</v>
      </c>
      <c r="L14">
        <v>2</v>
      </c>
      <c r="M14">
        <v>5</v>
      </c>
      <c r="N14">
        <v>1</v>
      </c>
      <c r="O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30</v>
      </c>
      <c r="AE14">
        <v>7</v>
      </c>
      <c r="AF14">
        <v>23</v>
      </c>
      <c r="AG14" s="2">
        <v>0.2333333333</v>
      </c>
      <c r="AH14" t="s">
        <v>31</v>
      </c>
      <c r="AI14" s="4">
        <v>7</v>
      </c>
      <c r="AJ14" s="4">
        <v>0</v>
      </c>
      <c r="AK14" s="4">
        <v>0</v>
      </c>
      <c r="AL14" s="4">
        <v>65</v>
      </c>
      <c r="AM14" s="4">
        <v>72</v>
      </c>
      <c r="AN14" s="5">
        <f ca="1">IFERROR(__xludf.DUMMYFUNCTION("""COMPUTED_VALUE"""),8)</f>
        <v>8</v>
      </c>
    </row>
    <row r="15" spans="1:40" x14ac:dyDescent="0.35">
      <c r="A15" s="1">
        <v>14</v>
      </c>
      <c r="B15" s="7">
        <v>43904</v>
      </c>
      <c r="C15">
        <v>2</v>
      </c>
      <c r="D15">
        <v>0</v>
      </c>
      <c r="E15">
        <v>0</v>
      </c>
      <c r="F15">
        <v>5</v>
      </c>
      <c r="G15" s="5">
        <f ca="1">IFERROR(__xludf.DUMMYFUNCTION("""COMPUTED_VALUE"""),27)</f>
        <v>27</v>
      </c>
      <c r="H15" s="5">
        <f ca="1">IFERROR(__xludf.DUMMYFUNCTION("""COMPUTED_VALUE"""),7)</f>
        <v>7</v>
      </c>
      <c r="I15">
        <v>-12</v>
      </c>
      <c r="J15">
        <v>2</v>
      </c>
      <c r="K15">
        <v>-17</v>
      </c>
      <c r="L15">
        <v>-8</v>
      </c>
      <c r="M15">
        <v>5</v>
      </c>
      <c r="N15">
        <v>2</v>
      </c>
      <c r="O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44</v>
      </c>
      <c r="AE15">
        <v>16</v>
      </c>
      <c r="AF15">
        <v>28</v>
      </c>
      <c r="AG15" s="2">
        <v>0.36363636360000001</v>
      </c>
      <c r="AH15" t="s">
        <v>31</v>
      </c>
      <c r="AI15" s="4">
        <v>9</v>
      </c>
      <c r="AJ15" s="4">
        <v>0</v>
      </c>
      <c r="AK15" s="4">
        <v>0</v>
      </c>
      <c r="AL15" s="4">
        <v>70</v>
      </c>
      <c r="AM15" s="4">
        <v>79</v>
      </c>
      <c r="AN15" s="5">
        <f ca="1">IFERROR(__xludf.DUMMYFUNCTION("""COMPUTED_VALUE"""),5)</f>
        <v>5</v>
      </c>
    </row>
    <row r="16" spans="1:40" x14ac:dyDescent="0.35">
      <c r="A16" s="1">
        <v>15</v>
      </c>
      <c r="B16" s="7">
        <v>43905</v>
      </c>
      <c r="C16">
        <v>2</v>
      </c>
      <c r="D16">
        <v>0</v>
      </c>
      <c r="E16">
        <v>0</v>
      </c>
      <c r="F16">
        <v>14</v>
      </c>
      <c r="G16" s="5">
        <f ca="1">IFERROR(__xludf.DUMMYFUNCTION("""COMPUTED_VALUE"""),21)</f>
        <v>21</v>
      </c>
      <c r="H16" s="5">
        <f ca="1">IFERROR(__xludf.DUMMYFUNCTION("""COMPUTED_VALUE"""),16)</f>
        <v>16</v>
      </c>
      <c r="I16">
        <v>-20</v>
      </c>
      <c r="J16">
        <v>3</v>
      </c>
      <c r="K16">
        <v>-37</v>
      </c>
      <c r="L16">
        <v>-19</v>
      </c>
      <c r="M16">
        <v>5</v>
      </c>
      <c r="N16">
        <v>4</v>
      </c>
      <c r="O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41</v>
      </c>
      <c r="AE16">
        <v>2</v>
      </c>
      <c r="AF16">
        <v>39</v>
      </c>
      <c r="AG16" s="2">
        <v>4.8780487800000001E-2</v>
      </c>
      <c r="AH16" t="s">
        <v>31</v>
      </c>
      <c r="AI16" s="4">
        <v>11</v>
      </c>
      <c r="AJ16" s="4">
        <v>0</v>
      </c>
      <c r="AK16" s="4">
        <v>0</v>
      </c>
      <c r="AL16" s="4">
        <v>84</v>
      </c>
      <c r="AM16" s="4">
        <v>95</v>
      </c>
      <c r="AN16" s="5">
        <f ca="1">IFERROR(__xludf.DUMMYFUNCTION("""COMPUTED_VALUE"""),14)</f>
        <v>14</v>
      </c>
    </row>
    <row r="17" spans="1:40" x14ac:dyDescent="0.35">
      <c r="A17" s="1">
        <v>16</v>
      </c>
      <c r="B17" s="7">
        <v>43906</v>
      </c>
      <c r="C17">
        <v>1</v>
      </c>
      <c r="D17">
        <v>0</v>
      </c>
      <c r="E17">
        <v>7</v>
      </c>
      <c r="F17">
        <v>-6</v>
      </c>
      <c r="G17" s="5">
        <f ca="1">IFERROR(__xludf.DUMMYFUNCTION("""COMPUTED_VALUE"""),17)</f>
        <v>17</v>
      </c>
      <c r="H17" s="5">
        <f ca="1">IFERROR(__xludf.DUMMYFUNCTION("""COMPUTED_VALUE"""),2)</f>
        <v>2</v>
      </c>
      <c r="I17">
        <v>-18</v>
      </c>
      <c r="J17">
        <v>-5</v>
      </c>
      <c r="K17">
        <v>-23</v>
      </c>
      <c r="L17">
        <v>-18</v>
      </c>
      <c r="M17">
        <v>-10</v>
      </c>
      <c r="N17">
        <v>7</v>
      </c>
      <c r="O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47</v>
      </c>
      <c r="AE17">
        <v>25</v>
      </c>
      <c r="AF17">
        <v>22</v>
      </c>
      <c r="AG17" s="2">
        <v>0.53191489359999999</v>
      </c>
      <c r="AH17" t="s">
        <v>31</v>
      </c>
      <c r="AI17" s="4">
        <v>12</v>
      </c>
      <c r="AJ17" s="4">
        <v>0</v>
      </c>
      <c r="AK17" s="4">
        <v>7</v>
      </c>
      <c r="AL17" s="4">
        <v>78</v>
      </c>
      <c r="AM17" s="4">
        <v>97</v>
      </c>
      <c r="AN17" s="5">
        <f ca="1">IFERROR(__xludf.DUMMYFUNCTION("""COMPUTED_VALUE"""),1)</f>
        <v>1</v>
      </c>
    </row>
    <row r="18" spans="1:40" x14ac:dyDescent="0.35">
      <c r="A18" s="1">
        <v>17</v>
      </c>
      <c r="B18" s="7">
        <v>43907</v>
      </c>
      <c r="C18">
        <v>0</v>
      </c>
      <c r="D18">
        <v>0</v>
      </c>
      <c r="E18">
        <v>20</v>
      </c>
      <c r="F18">
        <v>5</v>
      </c>
      <c r="G18" s="5">
        <f ca="1">IFERROR(__xludf.DUMMYFUNCTION("""COMPUTED_VALUE"""),38)</f>
        <v>38</v>
      </c>
      <c r="H18" s="5">
        <f ca="1">IFERROR(__xludf.DUMMYFUNCTION("""COMPUTED_VALUE"""),25)</f>
        <v>25</v>
      </c>
      <c r="I18">
        <v>-16</v>
      </c>
      <c r="J18">
        <v>3</v>
      </c>
      <c r="K18">
        <v>-23</v>
      </c>
      <c r="L18">
        <v>-27</v>
      </c>
      <c r="M18">
        <v>-15</v>
      </c>
      <c r="N18">
        <v>8</v>
      </c>
      <c r="O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104</v>
      </c>
      <c r="AE18">
        <v>38</v>
      </c>
      <c r="AF18">
        <v>66</v>
      </c>
      <c r="AG18" s="2">
        <v>0.3653846154</v>
      </c>
      <c r="AH18" t="s">
        <v>31</v>
      </c>
      <c r="AI18" s="4">
        <v>12</v>
      </c>
      <c r="AJ18" s="4">
        <v>0</v>
      </c>
      <c r="AK18" s="4">
        <v>27</v>
      </c>
      <c r="AL18" s="4">
        <v>83</v>
      </c>
      <c r="AM18" s="4">
        <v>122</v>
      </c>
      <c r="AN18" s="5">
        <f ca="1">IFERROR(__xludf.DUMMYFUNCTION("""COMPUTED_VALUE"""),25)</f>
        <v>25</v>
      </c>
    </row>
    <row r="19" spans="1:40" x14ac:dyDescent="0.35">
      <c r="A19" s="1">
        <v>18</v>
      </c>
      <c r="B19" s="7">
        <v>43908</v>
      </c>
      <c r="C19">
        <v>3</v>
      </c>
      <c r="D19">
        <v>12</v>
      </c>
      <c r="E19">
        <v>15</v>
      </c>
      <c r="F19">
        <v>8</v>
      </c>
      <c r="G19" s="5">
        <f ca="1">IFERROR(__xludf.DUMMYFUNCTION("""COMPUTED_VALUE"""),55)</f>
        <v>55</v>
      </c>
      <c r="H19" s="5">
        <f ca="1">IFERROR(__xludf.DUMMYFUNCTION("""COMPUTED_VALUE"""),38)</f>
        <v>38</v>
      </c>
      <c r="I19">
        <v>-22</v>
      </c>
      <c r="J19">
        <v>-3</v>
      </c>
      <c r="K19">
        <v>-28</v>
      </c>
      <c r="L19">
        <v>-32</v>
      </c>
      <c r="M19">
        <v>-19</v>
      </c>
      <c r="N19">
        <v>11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132</v>
      </c>
      <c r="AE19">
        <v>51</v>
      </c>
      <c r="AF19">
        <v>81</v>
      </c>
      <c r="AG19" s="2">
        <v>0.38636363639999999</v>
      </c>
      <c r="AH19" t="s">
        <v>31</v>
      </c>
      <c r="AI19" s="4">
        <v>15</v>
      </c>
      <c r="AJ19" s="4">
        <v>12</v>
      </c>
      <c r="AK19" s="4">
        <v>42</v>
      </c>
      <c r="AL19" s="4">
        <v>91</v>
      </c>
      <c r="AM19" s="4">
        <v>160</v>
      </c>
      <c r="AN19" s="5">
        <f ca="1">IFERROR(__xludf.DUMMYFUNCTION("""COMPUTED_VALUE"""),23)</f>
        <v>23</v>
      </c>
    </row>
    <row r="20" spans="1:40" x14ac:dyDescent="0.35">
      <c r="A20" s="1">
        <v>19</v>
      </c>
      <c r="B20" s="7">
        <v>43909</v>
      </c>
      <c r="C20">
        <v>4</v>
      </c>
      <c r="D20">
        <v>1</v>
      </c>
      <c r="E20">
        <v>15</v>
      </c>
      <c r="F20">
        <v>30</v>
      </c>
      <c r="G20" s="5">
        <f ca="1">IFERROR(__xludf.DUMMYFUNCTION("""COMPUTED_VALUE"""),82)</f>
        <v>82</v>
      </c>
      <c r="H20" s="5">
        <f ca="1">IFERROR(__xludf.DUMMYFUNCTION("""COMPUTED_VALUE"""),50)</f>
        <v>50</v>
      </c>
      <c r="I20">
        <v>-28</v>
      </c>
      <c r="J20">
        <v>-12</v>
      </c>
      <c r="K20">
        <v>-33</v>
      </c>
      <c r="L20">
        <v>-38</v>
      </c>
      <c r="M20">
        <v>-21</v>
      </c>
      <c r="N20">
        <v>12</v>
      </c>
      <c r="O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154</v>
      </c>
      <c r="AE20">
        <v>13</v>
      </c>
      <c r="AF20">
        <v>141</v>
      </c>
      <c r="AG20" s="2">
        <v>8.4415584419999995E-2</v>
      </c>
      <c r="AH20" t="s">
        <v>31</v>
      </c>
      <c r="AI20" s="4">
        <v>19</v>
      </c>
      <c r="AJ20" s="4">
        <v>13</v>
      </c>
      <c r="AK20" s="4">
        <v>57</v>
      </c>
      <c r="AL20" s="4">
        <v>121</v>
      </c>
      <c r="AM20" s="4">
        <v>210</v>
      </c>
      <c r="AN20" s="5">
        <f ca="1">IFERROR(__xludf.DUMMYFUNCTION("""COMPUTED_VALUE"""),45)</f>
        <v>45</v>
      </c>
    </row>
    <row r="21" spans="1:40" x14ac:dyDescent="0.35">
      <c r="A21" s="1">
        <v>20</v>
      </c>
      <c r="B21" s="7">
        <v>43910</v>
      </c>
      <c r="C21">
        <v>1</v>
      </c>
      <c r="D21">
        <v>0</v>
      </c>
      <c r="E21">
        <v>9</v>
      </c>
      <c r="F21">
        <v>4</v>
      </c>
      <c r="G21" s="5">
        <f ca="1">IFERROR(__xludf.DUMMYFUNCTION("""COMPUTED_VALUE"""),60)</f>
        <v>60</v>
      </c>
      <c r="H21" s="5">
        <f ca="1">IFERROR(__xludf.DUMMYFUNCTION("""COMPUTED_VALUE"""),14)</f>
        <v>14</v>
      </c>
      <c r="I21">
        <v>-30</v>
      </c>
      <c r="J21">
        <v>-11</v>
      </c>
      <c r="K21">
        <v>-32</v>
      </c>
      <c r="L21">
        <v>-42</v>
      </c>
      <c r="M21">
        <v>-23</v>
      </c>
      <c r="N21">
        <v>15</v>
      </c>
      <c r="O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118</v>
      </c>
      <c r="AE21">
        <v>44</v>
      </c>
      <c r="AF21">
        <v>74</v>
      </c>
      <c r="AG21" s="2">
        <v>0.37288135589999999</v>
      </c>
      <c r="AH21" t="s">
        <v>31</v>
      </c>
      <c r="AI21" s="4">
        <v>20</v>
      </c>
      <c r="AJ21" s="4">
        <v>13</v>
      </c>
      <c r="AK21" s="4">
        <v>66</v>
      </c>
      <c r="AL21" s="4">
        <v>125</v>
      </c>
      <c r="AM21" s="4">
        <v>224</v>
      </c>
      <c r="AN21" s="5">
        <f ca="1">IFERROR(__xludf.DUMMYFUNCTION("""COMPUTED_VALUE"""),13)</f>
        <v>13</v>
      </c>
    </row>
    <row r="22" spans="1:40" x14ac:dyDescent="0.35">
      <c r="A22" s="1">
        <v>21</v>
      </c>
      <c r="B22" s="7">
        <v>43911</v>
      </c>
      <c r="C22">
        <v>3</v>
      </c>
      <c r="D22">
        <v>4</v>
      </c>
      <c r="E22">
        <v>5</v>
      </c>
      <c r="F22">
        <v>32</v>
      </c>
      <c r="G22" s="5">
        <f ca="1">IFERROR(__xludf.DUMMYFUNCTION("""COMPUTED_VALUE"""),81)</f>
        <v>81</v>
      </c>
      <c r="H22" s="5">
        <f ca="1">IFERROR(__xludf.DUMMYFUNCTION("""COMPUTED_VALUE"""),44)</f>
        <v>44</v>
      </c>
      <c r="I22">
        <v>-35</v>
      </c>
      <c r="J22">
        <v>-5</v>
      </c>
      <c r="K22">
        <v>-38</v>
      </c>
      <c r="L22">
        <v>-40</v>
      </c>
      <c r="M22">
        <v>-10</v>
      </c>
      <c r="N22">
        <v>11</v>
      </c>
      <c r="O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501</v>
      </c>
      <c r="AE22">
        <v>39</v>
      </c>
      <c r="AF22">
        <v>462</v>
      </c>
      <c r="AG22" s="2">
        <v>7.7844311380000003E-2</v>
      </c>
      <c r="AH22" t="s">
        <v>31</v>
      </c>
      <c r="AI22" s="4">
        <v>23</v>
      </c>
      <c r="AJ22" s="4">
        <v>17</v>
      </c>
      <c r="AK22" s="4">
        <v>71</v>
      </c>
      <c r="AL22" s="4">
        <v>157</v>
      </c>
      <c r="AM22" s="4">
        <v>268</v>
      </c>
      <c r="AN22" s="5">
        <f ca="1">IFERROR(__xludf.DUMMYFUNCTION("""COMPUTED_VALUE"""),37)</f>
        <v>37</v>
      </c>
    </row>
    <row r="23" spans="1:40" x14ac:dyDescent="0.35">
      <c r="A23" s="1">
        <v>22</v>
      </c>
      <c r="B23" s="7">
        <v>43912</v>
      </c>
      <c r="C23">
        <v>6</v>
      </c>
      <c r="D23">
        <v>4</v>
      </c>
      <c r="E23">
        <v>6</v>
      </c>
      <c r="F23">
        <v>20</v>
      </c>
      <c r="G23" s="5">
        <f ca="1">IFERROR(__xludf.DUMMYFUNCTION("""COMPUTED_VALUE"""),64)</f>
        <v>64</v>
      </c>
      <c r="H23" s="5">
        <f ca="1">IFERROR(__xludf.DUMMYFUNCTION("""COMPUTED_VALUE"""),36)</f>
        <v>36</v>
      </c>
      <c r="I23">
        <v>-49</v>
      </c>
      <c r="J23">
        <v>-22</v>
      </c>
      <c r="K23">
        <v>-59</v>
      </c>
      <c r="L23">
        <v>-49</v>
      </c>
      <c r="M23">
        <v>-12</v>
      </c>
      <c r="N23">
        <v>14</v>
      </c>
      <c r="O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1097</v>
      </c>
      <c r="AE23">
        <v>49</v>
      </c>
      <c r="AF23">
        <v>1048</v>
      </c>
      <c r="AG23" s="2">
        <v>4.4667274379999997E-2</v>
      </c>
      <c r="AH23" t="s">
        <v>31</v>
      </c>
      <c r="AI23" s="4">
        <v>29</v>
      </c>
      <c r="AJ23" s="4">
        <v>21</v>
      </c>
      <c r="AK23" s="4">
        <v>77</v>
      </c>
      <c r="AL23" s="4">
        <v>177</v>
      </c>
      <c r="AM23" s="4">
        <v>304</v>
      </c>
      <c r="AN23" s="5">
        <f ca="1">IFERROR(__xludf.DUMMYFUNCTION("""COMPUTED_VALUE"""),26)</f>
        <v>26</v>
      </c>
    </row>
    <row r="24" spans="1:40" x14ac:dyDescent="0.35">
      <c r="A24" s="1">
        <v>23</v>
      </c>
      <c r="B24" s="7">
        <v>43913</v>
      </c>
      <c r="C24">
        <v>0</v>
      </c>
      <c r="D24">
        <v>1</v>
      </c>
      <c r="E24">
        <v>2</v>
      </c>
      <c r="F24">
        <v>48</v>
      </c>
      <c r="G24" s="5">
        <f ca="1">IFERROR(__xludf.DUMMYFUNCTION("""COMPUTED_VALUE"""),65)</f>
        <v>65</v>
      </c>
      <c r="H24" s="5">
        <f ca="1">IFERROR(__xludf.DUMMYFUNCTION("""COMPUTED_VALUE"""),51)</f>
        <v>51</v>
      </c>
      <c r="I24">
        <v>-40</v>
      </c>
      <c r="J24">
        <v>-19</v>
      </c>
      <c r="K24">
        <v>-43</v>
      </c>
      <c r="L24">
        <v>-53</v>
      </c>
      <c r="M24">
        <v>-34</v>
      </c>
      <c r="N24">
        <v>18</v>
      </c>
      <c r="O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378</v>
      </c>
      <c r="AE24">
        <v>71</v>
      </c>
      <c r="AF24">
        <v>307</v>
      </c>
      <c r="AG24" s="2">
        <v>0.18783068780000001</v>
      </c>
      <c r="AH24" t="s">
        <v>31</v>
      </c>
      <c r="AI24" s="4">
        <v>29</v>
      </c>
      <c r="AJ24" s="4">
        <v>22</v>
      </c>
      <c r="AK24" s="4">
        <v>79</v>
      </c>
      <c r="AL24" s="4">
        <v>225</v>
      </c>
      <c r="AM24" s="4">
        <v>355</v>
      </c>
      <c r="AN24" s="5">
        <f ca="1">IFERROR(__xludf.DUMMYFUNCTION("""COMPUTED_VALUE"""),50)</f>
        <v>50</v>
      </c>
    </row>
    <row r="25" spans="1:40" x14ac:dyDescent="0.35">
      <c r="A25" s="1">
        <v>24</v>
      </c>
      <c r="B25" s="7">
        <v>43914</v>
      </c>
      <c r="C25">
        <v>5</v>
      </c>
      <c r="D25">
        <v>1</v>
      </c>
      <c r="E25">
        <v>30</v>
      </c>
      <c r="F25">
        <v>35</v>
      </c>
      <c r="G25" s="5">
        <f ca="1">IFERROR(__xludf.DUMMYFUNCTION("""COMPUTED_VALUE"""),107)</f>
        <v>107</v>
      </c>
      <c r="H25" s="5">
        <f ca="1">IFERROR(__xludf.DUMMYFUNCTION("""COMPUTED_VALUE"""),71)</f>
        <v>71</v>
      </c>
      <c r="I25">
        <v>-43</v>
      </c>
      <c r="J25">
        <v>-18</v>
      </c>
      <c r="K25">
        <v>-46</v>
      </c>
      <c r="L25">
        <v>-56</v>
      </c>
      <c r="M25">
        <v>-40</v>
      </c>
      <c r="N25">
        <v>19</v>
      </c>
      <c r="O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347</v>
      </c>
      <c r="AE25">
        <v>45</v>
      </c>
      <c r="AF25">
        <v>302</v>
      </c>
      <c r="AG25" s="2">
        <v>0.1296829971</v>
      </c>
      <c r="AH25" t="s">
        <v>31</v>
      </c>
      <c r="AI25" s="4">
        <v>34</v>
      </c>
      <c r="AJ25" s="4">
        <v>23</v>
      </c>
      <c r="AK25" s="4">
        <v>109</v>
      </c>
      <c r="AL25" s="4">
        <v>260</v>
      </c>
      <c r="AM25" s="4">
        <v>426</v>
      </c>
      <c r="AN25" s="5">
        <f ca="1">IFERROR(__xludf.DUMMYFUNCTION("""COMPUTED_VALUE"""),65)</f>
        <v>65</v>
      </c>
    </row>
    <row r="26" spans="1:40" x14ac:dyDescent="0.35">
      <c r="A26" s="1">
        <v>25</v>
      </c>
      <c r="B26" s="7">
        <v>43915</v>
      </c>
      <c r="C26">
        <v>9</v>
      </c>
      <c r="D26">
        <v>4</v>
      </c>
      <c r="E26">
        <v>3</v>
      </c>
      <c r="F26">
        <v>30</v>
      </c>
      <c r="G26" s="5">
        <f ca="1">IFERROR(__xludf.DUMMYFUNCTION("""COMPUTED_VALUE"""),104)</f>
        <v>104</v>
      </c>
      <c r="H26" s="5">
        <f ca="1">IFERROR(__xludf.DUMMYFUNCTION("""COMPUTED_VALUE"""),46)</f>
        <v>46</v>
      </c>
      <c r="I26">
        <v>-54</v>
      </c>
      <c r="J26">
        <v>-29</v>
      </c>
      <c r="K26">
        <v>-55</v>
      </c>
      <c r="L26">
        <v>-69</v>
      </c>
      <c r="M26">
        <v>-69</v>
      </c>
      <c r="N26">
        <v>28</v>
      </c>
      <c r="O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196</v>
      </c>
      <c r="AE26">
        <v>43</v>
      </c>
      <c r="AF26">
        <v>153</v>
      </c>
      <c r="AG26" s="2">
        <v>0.2193877551</v>
      </c>
      <c r="AH26" t="s">
        <v>31</v>
      </c>
      <c r="AI26" s="4">
        <v>43</v>
      </c>
      <c r="AJ26" s="4">
        <v>27</v>
      </c>
      <c r="AK26" s="4">
        <v>112</v>
      </c>
      <c r="AL26" s="4">
        <v>290</v>
      </c>
      <c r="AM26" s="4">
        <v>472</v>
      </c>
      <c r="AN26" s="5">
        <f ca="1">IFERROR(__xludf.DUMMYFUNCTION("""COMPUTED_VALUE"""),33)</f>
        <v>33</v>
      </c>
    </row>
    <row r="27" spans="1:40" x14ac:dyDescent="0.35">
      <c r="A27" s="1">
        <v>26</v>
      </c>
      <c r="B27" s="7">
        <v>43916</v>
      </c>
      <c r="C27">
        <v>6</v>
      </c>
      <c r="D27">
        <v>2</v>
      </c>
      <c r="E27">
        <v>1</v>
      </c>
      <c r="F27">
        <v>34</v>
      </c>
      <c r="G27" s="5">
        <f ca="1">IFERROR(__xludf.DUMMYFUNCTION("""COMPUTED_VALUE"""),103)</f>
        <v>103</v>
      </c>
      <c r="H27" s="5">
        <f ca="1">IFERROR(__xludf.DUMMYFUNCTION("""COMPUTED_VALUE"""),43)</f>
        <v>43</v>
      </c>
      <c r="I27">
        <v>-47</v>
      </c>
      <c r="J27">
        <v>-24</v>
      </c>
      <c r="K27">
        <v>-46</v>
      </c>
      <c r="L27">
        <v>-60</v>
      </c>
      <c r="M27">
        <v>-43</v>
      </c>
      <c r="N27">
        <v>20</v>
      </c>
      <c r="O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248</v>
      </c>
      <c r="AE27">
        <v>51</v>
      </c>
      <c r="AF27">
        <v>197</v>
      </c>
      <c r="AG27" s="2">
        <v>0.20564516129999999</v>
      </c>
      <c r="AH27" t="s">
        <v>31</v>
      </c>
      <c r="AI27" s="4">
        <v>49</v>
      </c>
      <c r="AJ27" s="4">
        <v>29</v>
      </c>
      <c r="AK27" s="4">
        <v>113</v>
      </c>
      <c r="AL27" s="4">
        <v>324</v>
      </c>
      <c r="AM27" s="4">
        <v>515</v>
      </c>
      <c r="AN27" s="5">
        <f ca="1">IFERROR(__xludf.DUMMYFUNCTION("""COMPUTED_VALUE"""),35)</f>
        <v>35</v>
      </c>
    </row>
    <row r="28" spans="1:40" x14ac:dyDescent="0.35">
      <c r="A28" s="1">
        <v>27</v>
      </c>
      <c r="B28" s="7">
        <v>43917</v>
      </c>
      <c r="C28">
        <v>8</v>
      </c>
      <c r="D28">
        <v>2</v>
      </c>
      <c r="E28">
        <v>19</v>
      </c>
      <c r="F28">
        <v>22</v>
      </c>
      <c r="G28" s="5">
        <f ca="1">IFERROR(__xludf.DUMMYFUNCTION("""COMPUTED_VALUE"""),153)</f>
        <v>153</v>
      </c>
      <c r="H28" s="5">
        <f ca="1">IFERROR(__xludf.DUMMYFUNCTION("""COMPUTED_VALUE"""),51)</f>
        <v>51</v>
      </c>
      <c r="I28">
        <v>-46</v>
      </c>
      <c r="J28">
        <v>-17</v>
      </c>
      <c r="K28">
        <v>-43</v>
      </c>
      <c r="L28">
        <v>-61</v>
      </c>
      <c r="M28">
        <v>-44</v>
      </c>
      <c r="N28">
        <v>22</v>
      </c>
      <c r="O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199</v>
      </c>
      <c r="AE28">
        <v>37</v>
      </c>
      <c r="AF28">
        <v>162</v>
      </c>
      <c r="AG28" s="2">
        <v>0.18592964819999999</v>
      </c>
      <c r="AH28" t="s">
        <v>31</v>
      </c>
      <c r="AI28" s="4">
        <v>57</v>
      </c>
      <c r="AJ28" s="4">
        <v>31</v>
      </c>
      <c r="AK28" s="4">
        <v>132</v>
      </c>
      <c r="AL28" s="4">
        <v>346</v>
      </c>
      <c r="AM28" s="4">
        <v>566</v>
      </c>
      <c r="AN28" s="5">
        <f ca="1">IFERROR(__xludf.DUMMYFUNCTION("""COMPUTED_VALUE"""),41)</f>
        <v>41</v>
      </c>
    </row>
    <row r="29" spans="1:40" x14ac:dyDescent="0.35">
      <c r="A29" s="1">
        <v>28</v>
      </c>
      <c r="B29" s="7">
        <v>43918</v>
      </c>
      <c r="C29">
        <v>5</v>
      </c>
      <c r="D29">
        <v>12</v>
      </c>
      <c r="E29">
        <v>2</v>
      </c>
      <c r="F29">
        <v>18</v>
      </c>
      <c r="G29" s="5">
        <f ca="1">IFERROR(__xludf.DUMMYFUNCTION("""COMPUTED_VALUE"""),109)</f>
        <v>109</v>
      </c>
      <c r="H29" s="5">
        <f ca="1">IFERROR(__xludf.DUMMYFUNCTION("""COMPUTED_VALUE"""),37)</f>
        <v>37</v>
      </c>
      <c r="I29">
        <v>-54</v>
      </c>
      <c r="J29">
        <v>-21</v>
      </c>
      <c r="K29">
        <v>-51</v>
      </c>
      <c r="L29">
        <v>-58</v>
      </c>
      <c r="M29">
        <v>-31</v>
      </c>
      <c r="N29">
        <v>17</v>
      </c>
      <c r="O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359</v>
      </c>
      <c r="AE29">
        <v>98</v>
      </c>
      <c r="AF29">
        <v>261</v>
      </c>
      <c r="AG29" s="2">
        <v>0.27298050140000002</v>
      </c>
      <c r="AH29" t="s">
        <v>31</v>
      </c>
      <c r="AI29" s="4">
        <v>62</v>
      </c>
      <c r="AJ29" s="4">
        <v>43</v>
      </c>
      <c r="AK29" s="4">
        <v>134</v>
      </c>
      <c r="AL29" s="4">
        <v>364</v>
      </c>
      <c r="AM29" s="4">
        <v>603</v>
      </c>
      <c r="AN29" s="5">
        <f ca="1">IFERROR(__xludf.DUMMYFUNCTION("""COMPUTED_VALUE"""),20)</f>
        <v>20</v>
      </c>
    </row>
    <row r="30" spans="1:40" x14ac:dyDescent="0.35">
      <c r="A30" s="1">
        <v>29</v>
      </c>
      <c r="B30" s="7">
        <v>43919</v>
      </c>
      <c r="C30">
        <v>5</v>
      </c>
      <c r="D30">
        <v>5</v>
      </c>
      <c r="E30">
        <v>17</v>
      </c>
      <c r="F30">
        <v>71</v>
      </c>
      <c r="G30" s="5">
        <f ca="1">IFERROR(__xludf.DUMMYFUNCTION("""COMPUTED_VALUE"""),130)</f>
        <v>130</v>
      </c>
      <c r="H30" s="5">
        <f ca="1">IFERROR(__xludf.DUMMYFUNCTION("""COMPUTED_VALUE"""),98)</f>
        <v>98</v>
      </c>
      <c r="I30">
        <v>-59</v>
      </c>
      <c r="J30">
        <v>-28</v>
      </c>
      <c r="K30">
        <v>-63</v>
      </c>
      <c r="L30">
        <v>-60</v>
      </c>
      <c r="M30">
        <v>-26</v>
      </c>
      <c r="N30">
        <v>17</v>
      </c>
      <c r="O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127</v>
      </c>
      <c r="AE30">
        <v>26</v>
      </c>
      <c r="AF30">
        <v>101</v>
      </c>
      <c r="AG30" s="2">
        <v>0.2047244094</v>
      </c>
      <c r="AH30" t="s">
        <v>31</v>
      </c>
      <c r="AI30" s="4">
        <v>67</v>
      </c>
      <c r="AJ30" s="4">
        <v>48</v>
      </c>
      <c r="AK30" s="4">
        <v>151</v>
      </c>
      <c r="AL30" s="4">
        <v>435</v>
      </c>
      <c r="AM30" s="4">
        <v>701</v>
      </c>
      <c r="AN30" s="5">
        <f ca="1">IFERROR(__xludf.DUMMYFUNCTION("""COMPUTED_VALUE"""),88)</f>
        <v>88</v>
      </c>
    </row>
    <row r="31" spans="1:40" x14ac:dyDescent="0.35">
      <c r="A31" s="1">
        <v>30</v>
      </c>
      <c r="B31" s="7">
        <v>43920</v>
      </c>
      <c r="C31">
        <v>11</v>
      </c>
      <c r="D31">
        <v>1</v>
      </c>
      <c r="E31">
        <v>0</v>
      </c>
      <c r="F31">
        <v>14</v>
      </c>
      <c r="G31" s="5">
        <f ca="1">IFERROR(__xludf.DUMMYFUNCTION("""COMPUTED_VALUE"""),129)</f>
        <v>129</v>
      </c>
      <c r="H31" s="5">
        <f ca="1">IFERROR(__xludf.DUMMYFUNCTION("""COMPUTED_VALUE"""),26)</f>
        <v>26</v>
      </c>
      <c r="I31">
        <v>-51</v>
      </c>
      <c r="J31">
        <v>-26</v>
      </c>
      <c r="K31">
        <v>-50</v>
      </c>
      <c r="L31">
        <v>-63</v>
      </c>
      <c r="M31">
        <v>-45</v>
      </c>
      <c r="N31">
        <v>22</v>
      </c>
      <c r="O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217</v>
      </c>
      <c r="AE31">
        <v>14</v>
      </c>
      <c r="AF31">
        <v>203</v>
      </c>
      <c r="AG31" s="2">
        <v>6.4516129029999994E-2</v>
      </c>
      <c r="AH31" t="s">
        <v>31</v>
      </c>
      <c r="AI31" s="4">
        <v>78</v>
      </c>
      <c r="AJ31" s="4">
        <v>49</v>
      </c>
      <c r="AK31" s="4">
        <v>151</v>
      </c>
      <c r="AL31" s="4">
        <v>449</v>
      </c>
      <c r="AM31" s="4">
        <v>727</v>
      </c>
      <c r="AN31" s="5">
        <f ca="1">IFERROR(__xludf.DUMMYFUNCTION("""COMPUTED_VALUE"""),14)</f>
        <v>14</v>
      </c>
    </row>
    <row r="32" spans="1:40" x14ac:dyDescent="0.35">
      <c r="A32" s="1">
        <v>31</v>
      </c>
      <c r="B32" s="7">
        <v>43921</v>
      </c>
      <c r="C32">
        <v>6</v>
      </c>
      <c r="D32">
        <v>0</v>
      </c>
      <c r="E32">
        <v>6</v>
      </c>
      <c r="F32">
        <v>2</v>
      </c>
      <c r="G32" s="5">
        <f ca="1">IFERROR(__xludf.DUMMYFUNCTION("""COMPUTED_VALUE"""),114)</f>
        <v>114</v>
      </c>
      <c r="H32" s="5">
        <f ca="1">IFERROR(__xludf.DUMMYFUNCTION("""COMPUTED_VALUE"""),14)</f>
        <v>14</v>
      </c>
      <c r="I32">
        <v>-50</v>
      </c>
      <c r="J32">
        <v>-21</v>
      </c>
      <c r="K32">
        <v>-52</v>
      </c>
      <c r="L32">
        <v>-62</v>
      </c>
      <c r="M32">
        <v>-47</v>
      </c>
      <c r="N32">
        <v>22</v>
      </c>
      <c r="O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300</v>
      </c>
      <c r="AE32">
        <v>75</v>
      </c>
      <c r="AF32">
        <v>225</v>
      </c>
      <c r="AG32" s="2">
        <v>0.25</v>
      </c>
      <c r="AH32" t="s">
        <v>31</v>
      </c>
      <c r="AI32" s="4">
        <v>84</v>
      </c>
      <c r="AJ32" s="4">
        <v>49</v>
      </c>
      <c r="AK32" s="4">
        <v>157</v>
      </c>
      <c r="AL32" s="4">
        <v>451</v>
      </c>
      <c r="AM32" s="4">
        <v>741</v>
      </c>
      <c r="AN32" s="5">
        <f ca="1">IFERROR(__xludf.DUMMYFUNCTION("""COMPUTED_VALUE"""),8)</f>
        <v>8</v>
      </c>
    </row>
    <row r="33" spans="1:40" x14ac:dyDescent="0.35">
      <c r="A33" s="1">
        <v>32</v>
      </c>
      <c r="B33" s="7">
        <v>43922</v>
      </c>
      <c r="C33">
        <v>6</v>
      </c>
      <c r="D33">
        <v>2</v>
      </c>
      <c r="E33">
        <v>19</v>
      </c>
      <c r="F33">
        <v>48</v>
      </c>
      <c r="G33" s="5">
        <f ca="1">IFERROR(__xludf.DUMMYFUNCTION("""COMPUTED_VALUE"""),149)</f>
        <v>149</v>
      </c>
      <c r="H33" s="5">
        <f ca="1">IFERROR(__xludf.DUMMYFUNCTION("""COMPUTED_VALUE"""),75)</f>
        <v>75</v>
      </c>
      <c r="I33">
        <v>-47</v>
      </c>
      <c r="J33">
        <v>-16</v>
      </c>
      <c r="K33">
        <v>-49</v>
      </c>
      <c r="L33">
        <v>-62</v>
      </c>
      <c r="M33">
        <v>-47</v>
      </c>
      <c r="N33">
        <v>21</v>
      </c>
      <c r="O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164</v>
      </c>
      <c r="AE33">
        <v>93</v>
      </c>
      <c r="AF33">
        <v>71</v>
      </c>
      <c r="AG33" s="2">
        <v>0.56707317069999996</v>
      </c>
      <c r="AH33" t="s">
        <v>31</v>
      </c>
      <c r="AI33" s="4">
        <v>90</v>
      </c>
      <c r="AJ33" s="4">
        <v>51</v>
      </c>
      <c r="AK33" s="4">
        <v>176</v>
      </c>
      <c r="AL33" s="4">
        <v>499</v>
      </c>
      <c r="AM33" s="4">
        <v>816</v>
      </c>
      <c r="AN33" s="5">
        <f ca="1">IFERROR(__xludf.DUMMYFUNCTION("""COMPUTED_VALUE"""),67)</f>
        <v>67</v>
      </c>
    </row>
    <row r="34" spans="1:40" x14ac:dyDescent="0.35">
      <c r="A34" s="1">
        <v>33</v>
      </c>
      <c r="B34" s="7">
        <v>43923</v>
      </c>
      <c r="C34">
        <v>5</v>
      </c>
      <c r="D34">
        <v>3</v>
      </c>
      <c r="E34">
        <v>19</v>
      </c>
      <c r="F34">
        <v>66</v>
      </c>
      <c r="G34" s="5">
        <f ca="1">IFERROR(__xludf.DUMMYFUNCTION("""COMPUTED_VALUE"""),113)</f>
        <v>113</v>
      </c>
      <c r="H34" s="5">
        <f ca="1">IFERROR(__xludf.DUMMYFUNCTION("""COMPUTED_VALUE"""),93)</f>
        <v>93</v>
      </c>
      <c r="I34">
        <v>-48</v>
      </c>
      <c r="J34">
        <v>-19</v>
      </c>
      <c r="K34">
        <v>-46</v>
      </c>
      <c r="L34">
        <v>-63</v>
      </c>
      <c r="M34">
        <v>-47</v>
      </c>
      <c r="N34">
        <v>22</v>
      </c>
      <c r="O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455</v>
      </c>
      <c r="AE34">
        <v>81</v>
      </c>
      <c r="AF34">
        <v>374</v>
      </c>
      <c r="AG34" s="2">
        <v>0.178021978</v>
      </c>
      <c r="AH34" t="s">
        <v>31</v>
      </c>
      <c r="AI34" s="4">
        <v>95</v>
      </c>
      <c r="AJ34" s="4">
        <v>54</v>
      </c>
      <c r="AK34" s="4">
        <v>195</v>
      </c>
      <c r="AL34" s="4">
        <v>565</v>
      </c>
      <c r="AM34" s="4">
        <v>909</v>
      </c>
      <c r="AN34" s="5">
        <f ca="1">IFERROR(__xludf.DUMMYFUNCTION("""COMPUTED_VALUE"""),85)</f>
        <v>85</v>
      </c>
    </row>
    <row r="35" spans="1:40" x14ac:dyDescent="0.35">
      <c r="A35" s="1">
        <v>34</v>
      </c>
      <c r="B35" s="7">
        <v>43924</v>
      </c>
      <c r="C35">
        <v>3</v>
      </c>
      <c r="D35">
        <v>2</v>
      </c>
      <c r="E35">
        <v>14</v>
      </c>
      <c r="F35">
        <v>62</v>
      </c>
      <c r="G35" s="5">
        <f ca="1">IFERROR(__xludf.DUMMYFUNCTION("""COMPUTED_VALUE"""),196)</f>
        <v>196</v>
      </c>
      <c r="H35" s="5">
        <f ca="1">IFERROR(__xludf.DUMMYFUNCTION("""COMPUTED_VALUE"""),81)</f>
        <v>81</v>
      </c>
      <c r="I35">
        <v>-47</v>
      </c>
      <c r="J35">
        <v>-19</v>
      </c>
      <c r="K35">
        <v>-44</v>
      </c>
      <c r="L35">
        <v>-63</v>
      </c>
      <c r="M35">
        <v>-46</v>
      </c>
      <c r="N35">
        <v>23</v>
      </c>
      <c r="O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908</v>
      </c>
      <c r="AE35">
        <v>81</v>
      </c>
      <c r="AF35">
        <v>827</v>
      </c>
      <c r="AG35" s="2">
        <v>8.9207048459999994E-2</v>
      </c>
      <c r="AH35" t="s">
        <v>31</v>
      </c>
      <c r="AI35" s="4">
        <v>98</v>
      </c>
      <c r="AJ35" s="4">
        <v>56</v>
      </c>
      <c r="AK35" s="4">
        <v>209</v>
      </c>
      <c r="AL35" s="4">
        <v>627</v>
      </c>
      <c r="AM35" s="4">
        <v>990</v>
      </c>
      <c r="AN35" s="5">
        <f ca="1">IFERROR(__xludf.DUMMYFUNCTION("""COMPUTED_VALUE"""),76)</f>
        <v>76</v>
      </c>
    </row>
    <row r="36" spans="1:40" x14ac:dyDescent="0.35">
      <c r="A36" s="1">
        <v>35</v>
      </c>
      <c r="B36" s="7">
        <v>43925</v>
      </c>
      <c r="C36">
        <v>1</v>
      </c>
      <c r="D36">
        <v>2</v>
      </c>
      <c r="E36">
        <v>14</v>
      </c>
      <c r="F36">
        <v>64</v>
      </c>
      <c r="G36" s="5">
        <f ca="1">IFERROR(__xludf.DUMMYFUNCTION("""COMPUTED_VALUE"""),106)</f>
        <v>106</v>
      </c>
      <c r="H36" s="5">
        <f ca="1">IFERROR(__xludf.DUMMYFUNCTION("""COMPUTED_VALUE"""),81)</f>
        <v>81</v>
      </c>
      <c r="I36">
        <v>-53</v>
      </c>
      <c r="J36">
        <v>-21</v>
      </c>
      <c r="K36">
        <v>-52</v>
      </c>
      <c r="L36">
        <v>-60</v>
      </c>
      <c r="M36">
        <v>-34</v>
      </c>
      <c r="N36">
        <v>18</v>
      </c>
      <c r="O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1470</v>
      </c>
      <c r="AE36">
        <v>80</v>
      </c>
      <c r="AF36">
        <v>1390</v>
      </c>
      <c r="AG36" s="2">
        <v>5.4421768709999999E-2</v>
      </c>
      <c r="AH36" t="s">
        <v>31</v>
      </c>
      <c r="AI36" s="4">
        <v>99</v>
      </c>
      <c r="AJ36" s="4">
        <v>58</v>
      </c>
      <c r="AK36" s="4">
        <v>223</v>
      </c>
      <c r="AL36" s="4">
        <v>691</v>
      </c>
      <c r="AM36" s="4">
        <v>1071</v>
      </c>
      <c r="AN36" s="5">
        <f ca="1">IFERROR(__xludf.DUMMYFUNCTION("""COMPUTED_VALUE"""),78)</f>
        <v>78</v>
      </c>
    </row>
    <row r="37" spans="1:40" x14ac:dyDescent="0.35">
      <c r="A37" s="1">
        <v>36</v>
      </c>
      <c r="B37" s="7">
        <v>43926</v>
      </c>
      <c r="C37">
        <v>24</v>
      </c>
      <c r="D37">
        <v>6</v>
      </c>
      <c r="E37">
        <v>56</v>
      </c>
      <c r="F37">
        <v>-6</v>
      </c>
      <c r="G37" s="5">
        <f ca="1">IFERROR(__xludf.DUMMYFUNCTION("""COMPUTED_VALUE"""),181)</f>
        <v>181</v>
      </c>
      <c r="H37" s="5">
        <f ca="1">IFERROR(__xludf.DUMMYFUNCTION("""COMPUTED_VALUE"""),80)</f>
        <v>80</v>
      </c>
      <c r="I37">
        <v>-57</v>
      </c>
      <c r="J37">
        <v>-27</v>
      </c>
      <c r="K37">
        <v>-64</v>
      </c>
      <c r="L37">
        <v>-62</v>
      </c>
      <c r="M37">
        <v>-28</v>
      </c>
      <c r="N37">
        <v>17</v>
      </c>
      <c r="O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1218</v>
      </c>
      <c r="AE37">
        <v>148</v>
      </c>
      <c r="AF37">
        <v>1070</v>
      </c>
      <c r="AG37" s="2">
        <v>0.1215106732</v>
      </c>
      <c r="AH37" t="s">
        <v>31</v>
      </c>
      <c r="AI37" s="4">
        <v>123</v>
      </c>
      <c r="AJ37" s="4">
        <v>64</v>
      </c>
      <c r="AK37" s="4">
        <v>279</v>
      </c>
      <c r="AL37" s="4">
        <v>685</v>
      </c>
      <c r="AM37" s="4">
        <v>1151</v>
      </c>
      <c r="AN37" s="5">
        <f ca="1">IFERROR(__xludf.DUMMYFUNCTION("""COMPUTED_VALUE"""),50)</f>
        <v>50</v>
      </c>
    </row>
    <row r="38" spans="1:40" x14ac:dyDescent="0.35">
      <c r="A38" s="1">
        <v>37</v>
      </c>
      <c r="B38" s="7">
        <v>43927</v>
      </c>
      <c r="C38">
        <v>8</v>
      </c>
      <c r="D38">
        <v>4</v>
      </c>
      <c r="E38">
        <v>38</v>
      </c>
      <c r="F38">
        <v>98</v>
      </c>
      <c r="G38" s="5">
        <f ca="1">IFERROR(__xludf.DUMMYFUNCTION("""COMPUTED_VALUE"""),218)</f>
        <v>218</v>
      </c>
      <c r="H38" s="5">
        <f ca="1">IFERROR(__xludf.DUMMYFUNCTION("""COMPUTED_VALUE"""),148)</f>
        <v>148</v>
      </c>
      <c r="I38">
        <v>-50</v>
      </c>
      <c r="J38">
        <v>-30</v>
      </c>
      <c r="K38">
        <v>-52</v>
      </c>
      <c r="L38">
        <v>-63</v>
      </c>
      <c r="M38">
        <v>-44</v>
      </c>
      <c r="N38">
        <v>22</v>
      </c>
      <c r="O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812</v>
      </c>
      <c r="AE38">
        <v>144</v>
      </c>
      <c r="AF38">
        <v>668</v>
      </c>
      <c r="AG38" s="2">
        <v>0.17733990150000001</v>
      </c>
      <c r="AH38" t="s">
        <v>31</v>
      </c>
      <c r="AI38" s="4">
        <v>131</v>
      </c>
      <c r="AJ38" s="4">
        <v>68</v>
      </c>
      <c r="AK38" s="4">
        <v>317</v>
      </c>
      <c r="AL38" s="4">
        <v>783</v>
      </c>
      <c r="AM38" s="4">
        <v>1299</v>
      </c>
      <c r="AN38" s="5">
        <f ca="1">IFERROR(__xludf.DUMMYFUNCTION("""COMPUTED_VALUE"""),136)</f>
        <v>136</v>
      </c>
    </row>
    <row r="39" spans="1:40" x14ac:dyDescent="0.35">
      <c r="A39" s="1">
        <v>38</v>
      </c>
      <c r="B39" s="7">
        <v>43928</v>
      </c>
      <c r="C39">
        <v>10</v>
      </c>
      <c r="D39">
        <v>1</v>
      </c>
      <c r="E39">
        <v>21</v>
      </c>
      <c r="F39">
        <v>112</v>
      </c>
      <c r="G39" s="5">
        <f ca="1">IFERROR(__xludf.DUMMYFUNCTION("""COMPUTED_VALUE"""),247)</f>
        <v>247</v>
      </c>
      <c r="H39" s="5">
        <f ca="1">IFERROR(__xludf.DUMMYFUNCTION("""COMPUTED_VALUE"""),144)</f>
        <v>144</v>
      </c>
      <c r="I39">
        <v>-47</v>
      </c>
      <c r="J39">
        <v>-18</v>
      </c>
      <c r="K39">
        <v>-48</v>
      </c>
      <c r="L39">
        <v>-62</v>
      </c>
      <c r="M39">
        <v>-46</v>
      </c>
      <c r="N39">
        <v>21</v>
      </c>
      <c r="O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877</v>
      </c>
      <c r="AE39">
        <v>109</v>
      </c>
      <c r="AF39">
        <v>768</v>
      </c>
      <c r="AG39" s="2">
        <v>0.1242873432</v>
      </c>
      <c r="AH39" t="s">
        <v>31</v>
      </c>
      <c r="AI39" s="4">
        <v>141</v>
      </c>
      <c r="AJ39" s="4">
        <v>69</v>
      </c>
      <c r="AK39" s="4">
        <v>338</v>
      </c>
      <c r="AL39" s="4">
        <v>895</v>
      </c>
      <c r="AM39" s="4">
        <v>1443</v>
      </c>
      <c r="AN39" s="5">
        <f ca="1">IFERROR(__xludf.DUMMYFUNCTION("""COMPUTED_VALUE"""),133)</f>
        <v>133</v>
      </c>
    </row>
    <row r="40" spans="1:40" x14ac:dyDescent="0.35">
      <c r="A40" s="1">
        <v>39</v>
      </c>
      <c r="B40" s="7">
        <v>43929</v>
      </c>
      <c r="C40">
        <v>3</v>
      </c>
      <c r="D40">
        <v>6</v>
      </c>
      <c r="E40">
        <v>19</v>
      </c>
      <c r="F40">
        <v>81</v>
      </c>
      <c r="G40" s="5">
        <f ca="1">IFERROR(__xludf.DUMMYFUNCTION("""COMPUTED_VALUE"""),218)</f>
        <v>218</v>
      </c>
      <c r="H40" s="5">
        <f ca="1">IFERROR(__xludf.DUMMYFUNCTION("""COMPUTED_VALUE"""),109)</f>
        <v>109</v>
      </c>
      <c r="I40">
        <v>-48</v>
      </c>
      <c r="J40">
        <v>-23</v>
      </c>
      <c r="K40">
        <v>-51</v>
      </c>
      <c r="L40">
        <v>-63</v>
      </c>
      <c r="M40">
        <v>-46</v>
      </c>
      <c r="N40">
        <v>22</v>
      </c>
      <c r="O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988</v>
      </c>
      <c r="AE40">
        <v>167</v>
      </c>
      <c r="AF40">
        <v>821</v>
      </c>
      <c r="AG40" s="2">
        <v>0.16902834010000001</v>
      </c>
      <c r="AH40" t="s">
        <v>31</v>
      </c>
      <c r="AI40" s="4">
        <v>144</v>
      </c>
      <c r="AJ40" s="4">
        <v>75</v>
      </c>
      <c r="AK40" s="4">
        <v>357</v>
      </c>
      <c r="AL40" s="4">
        <v>976</v>
      </c>
      <c r="AM40" s="4">
        <v>1552</v>
      </c>
      <c r="AN40" s="5">
        <f ca="1">IFERROR(__xludf.DUMMYFUNCTION("""COMPUTED_VALUE"""),100)</f>
        <v>100</v>
      </c>
    </row>
    <row r="41" spans="1:40" x14ac:dyDescent="0.35">
      <c r="A41" s="1">
        <v>40</v>
      </c>
      <c r="B41" s="7">
        <v>43930</v>
      </c>
      <c r="C41">
        <v>11</v>
      </c>
      <c r="D41">
        <v>7</v>
      </c>
      <c r="E41">
        <v>48</v>
      </c>
      <c r="F41">
        <v>101</v>
      </c>
      <c r="G41" s="5">
        <f ca="1">IFERROR(__xludf.DUMMYFUNCTION("""COMPUTED_VALUE"""),337)</f>
        <v>337</v>
      </c>
      <c r="H41" s="5">
        <f ca="1">IFERROR(__xludf.DUMMYFUNCTION("""COMPUTED_VALUE"""),167)</f>
        <v>167</v>
      </c>
      <c r="I41">
        <v>-47</v>
      </c>
      <c r="J41">
        <v>-17</v>
      </c>
      <c r="K41">
        <v>-48</v>
      </c>
      <c r="L41">
        <v>-61</v>
      </c>
      <c r="M41">
        <v>-45</v>
      </c>
      <c r="N41">
        <v>20</v>
      </c>
      <c r="O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1003</v>
      </c>
      <c r="AE41">
        <v>91</v>
      </c>
      <c r="AF41">
        <v>912</v>
      </c>
      <c r="AG41" s="2">
        <v>9.0727816550000007E-2</v>
      </c>
      <c r="AH41" t="s">
        <v>31</v>
      </c>
      <c r="AI41" s="4">
        <v>155</v>
      </c>
      <c r="AJ41" s="4">
        <v>82</v>
      </c>
      <c r="AK41" s="4">
        <v>405</v>
      </c>
      <c r="AL41" s="4">
        <v>1077</v>
      </c>
      <c r="AM41" s="4">
        <v>1719</v>
      </c>
      <c r="AN41" s="5">
        <f ca="1">IFERROR(__xludf.DUMMYFUNCTION("""COMPUTED_VALUE"""),149)</f>
        <v>149</v>
      </c>
    </row>
    <row r="42" spans="1:40" x14ac:dyDescent="0.35">
      <c r="A42" s="1">
        <v>41</v>
      </c>
      <c r="B42" s="7">
        <v>43931</v>
      </c>
      <c r="C42">
        <v>1</v>
      </c>
      <c r="D42">
        <v>0</v>
      </c>
      <c r="E42">
        <v>28</v>
      </c>
      <c r="F42">
        <v>62</v>
      </c>
      <c r="G42" s="5">
        <f ca="1">IFERROR(__xludf.DUMMYFUNCTION("""COMPUTED_VALUE"""),219)</f>
        <v>219</v>
      </c>
      <c r="H42" s="5">
        <f ca="1">IFERROR(__xludf.DUMMYFUNCTION("""COMPUTED_VALUE"""),91)</f>
        <v>91</v>
      </c>
      <c r="I42">
        <v>-68</v>
      </c>
      <c r="J42">
        <v>-46</v>
      </c>
      <c r="K42">
        <v>-61</v>
      </c>
      <c r="L42">
        <v>-79</v>
      </c>
      <c r="M42">
        <v>-73</v>
      </c>
      <c r="N42">
        <v>34</v>
      </c>
      <c r="O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1304</v>
      </c>
      <c r="AE42">
        <v>93</v>
      </c>
      <c r="AF42">
        <v>1211</v>
      </c>
      <c r="AG42" s="2">
        <v>7.1319018400000003E-2</v>
      </c>
      <c r="AH42" t="s">
        <v>31</v>
      </c>
      <c r="AI42" s="4">
        <v>156</v>
      </c>
      <c r="AJ42" s="4">
        <v>82</v>
      </c>
      <c r="AK42" s="4">
        <v>433</v>
      </c>
      <c r="AL42" s="4">
        <v>1139</v>
      </c>
      <c r="AM42" s="4">
        <v>1810</v>
      </c>
      <c r="AN42" s="5">
        <f ca="1">IFERROR(__xludf.DUMMYFUNCTION("""COMPUTED_VALUE"""),90)</f>
        <v>90</v>
      </c>
    </row>
    <row r="43" spans="1:40" x14ac:dyDescent="0.35">
      <c r="A43" s="1">
        <v>42</v>
      </c>
      <c r="B43" s="7">
        <v>43932</v>
      </c>
      <c r="C43">
        <v>12</v>
      </c>
      <c r="D43">
        <v>60</v>
      </c>
      <c r="E43">
        <v>8</v>
      </c>
      <c r="F43">
        <v>13</v>
      </c>
      <c r="G43" s="5">
        <f ca="1">IFERROR(__xludf.DUMMYFUNCTION("""COMPUTED_VALUE"""),330)</f>
        <v>330</v>
      </c>
      <c r="H43" s="5">
        <f ca="1">IFERROR(__xludf.DUMMYFUNCTION("""COMPUTED_VALUE"""),93)</f>
        <v>93</v>
      </c>
      <c r="I43">
        <v>-63</v>
      </c>
      <c r="J43">
        <v>-34</v>
      </c>
      <c r="K43">
        <v>-61</v>
      </c>
      <c r="L43">
        <v>-69</v>
      </c>
      <c r="M43">
        <v>-43</v>
      </c>
      <c r="N43">
        <v>22</v>
      </c>
      <c r="O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916</v>
      </c>
      <c r="AE43">
        <v>179</v>
      </c>
      <c r="AF43">
        <v>737</v>
      </c>
      <c r="AG43" s="2">
        <v>0.19541484719999999</v>
      </c>
      <c r="AH43" t="s">
        <v>31</v>
      </c>
      <c r="AI43" s="4">
        <v>168</v>
      </c>
      <c r="AJ43" s="4">
        <v>142</v>
      </c>
      <c r="AK43" s="4">
        <v>441</v>
      </c>
      <c r="AL43" s="4">
        <v>1152</v>
      </c>
      <c r="AM43" s="4">
        <v>1903</v>
      </c>
      <c r="AN43" s="5">
        <f ca="1">IFERROR(__xludf.DUMMYFUNCTION("""COMPUTED_VALUE"""),21)</f>
        <v>21</v>
      </c>
    </row>
    <row r="44" spans="1:40" x14ac:dyDescent="0.35">
      <c r="A44" s="1">
        <v>43</v>
      </c>
      <c r="B44" s="7">
        <v>43933</v>
      </c>
      <c r="C44">
        <v>27</v>
      </c>
      <c r="D44">
        <v>0</v>
      </c>
      <c r="E44">
        <v>27</v>
      </c>
      <c r="F44">
        <v>125</v>
      </c>
      <c r="G44" s="5">
        <f ca="1">IFERROR(__xludf.DUMMYFUNCTION("""COMPUTED_VALUE"""),399)</f>
        <v>399</v>
      </c>
      <c r="H44" s="5">
        <f ca="1">IFERROR(__xludf.DUMMYFUNCTION("""COMPUTED_VALUE"""),179)</f>
        <v>179</v>
      </c>
      <c r="I44">
        <v>-67</v>
      </c>
      <c r="J44">
        <v>-39</v>
      </c>
      <c r="K44">
        <v>-71</v>
      </c>
      <c r="L44">
        <v>-70</v>
      </c>
      <c r="M44">
        <v>-33</v>
      </c>
      <c r="N44">
        <v>20</v>
      </c>
      <c r="O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844</v>
      </c>
      <c r="AE44">
        <v>160</v>
      </c>
      <c r="AF44">
        <v>684</v>
      </c>
      <c r="AG44" s="2">
        <v>0.1895734597</v>
      </c>
      <c r="AH44" t="s">
        <v>31</v>
      </c>
      <c r="AI44" s="4">
        <v>195</v>
      </c>
      <c r="AJ44" s="4">
        <v>142</v>
      </c>
      <c r="AK44" s="4">
        <v>468</v>
      </c>
      <c r="AL44" s="4">
        <v>1277</v>
      </c>
      <c r="AM44" s="4">
        <v>2082</v>
      </c>
      <c r="AN44" s="5">
        <f ca="1">IFERROR(__xludf.DUMMYFUNCTION("""COMPUTED_VALUE"""),152)</f>
        <v>152</v>
      </c>
    </row>
    <row r="45" spans="1:40" x14ac:dyDescent="0.35">
      <c r="A45" s="1">
        <v>44</v>
      </c>
      <c r="B45" s="7">
        <v>43934</v>
      </c>
      <c r="C45">
        <v>14</v>
      </c>
      <c r="D45">
        <v>0</v>
      </c>
      <c r="E45">
        <v>53</v>
      </c>
      <c r="F45">
        <v>93</v>
      </c>
      <c r="G45" s="5">
        <f ca="1">IFERROR(__xludf.DUMMYFUNCTION("""COMPUTED_VALUE"""),316)</f>
        <v>316</v>
      </c>
      <c r="H45" s="5">
        <f ca="1">IFERROR(__xludf.DUMMYFUNCTION("""COMPUTED_VALUE"""),160)</f>
        <v>160</v>
      </c>
      <c r="I45">
        <v>-55</v>
      </c>
      <c r="J45">
        <v>-31</v>
      </c>
      <c r="K45">
        <v>-53</v>
      </c>
      <c r="L45">
        <v>-69</v>
      </c>
      <c r="M45">
        <v>-50</v>
      </c>
      <c r="N45">
        <v>25</v>
      </c>
      <c r="O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840</v>
      </c>
      <c r="AE45">
        <v>107</v>
      </c>
      <c r="AF45">
        <v>733</v>
      </c>
      <c r="AG45" s="2">
        <v>0.1273809524</v>
      </c>
      <c r="AH45" t="s">
        <v>31</v>
      </c>
      <c r="AI45" s="4">
        <v>209</v>
      </c>
      <c r="AJ45" s="4">
        <v>142</v>
      </c>
      <c r="AK45" s="4">
        <v>521</v>
      </c>
      <c r="AL45" s="4">
        <v>1370</v>
      </c>
      <c r="AM45" s="4">
        <v>2242</v>
      </c>
      <c r="AN45" s="5">
        <f ca="1">IFERROR(__xludf.DUMMYFUNCTION("""COMPUTED_VALUE"""),146)</f>
        <v>146</v>
      </c>
    </row>
    <row r="46" spans="1:40" x14ac:dyDescent="0.35">
      <c r="A46" s="1">
        <v>45</v>
      </c>
      <c r="B46" s="7">
        <v>43935</v>
      </c>
      <c r="C46">
        <v>34</v>
      </c>
      <c r="D46">
        <v>21</v>
      </c>
      <c r="E46">
        <v>37</v>
      </c>
      <c r="F46">
        <v>15</v>
      </c>
      <c r="G46" s="5">
        <f ca="1">IFERROR(__xludf.DUMMYFUNCTION("""COMPUTED_VALUE"""),282)</f>
        <v>282</v>
      </c>
      <c r="H46" s="5">
        <f ca="1">IFERROR(__xludf.DUMMYFUNCTION("""COMPUTED_VALUE"""),107)</f>
        <v>107</v>
      </c>
      <c r="I46">
        <v>-55</v>
      </c>
      <c r="J46">
        <v>-28</v>
      </c>
      <c r="K46">
        <v>-53</v>
      </c>
      <c r="L46">
        <v>-68</v>
      </c>
      <c r="M46">
        <v>-51</v>
      </c>
      <c r="N46">
        <v>24</v>
      </c>
      <c r="O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1114</v>
      </c>
      <c r="AE46">
        <v>98</v>
      </c>
      <c r="AF46">
        <v>1016</v>
      </c>
      <c r="AG46" s="2">
        <v>8.7971274690000004E-2</v>
      </c>
      <c r="AH46" t="s">
        <v>31</v>
      </c>
      <c r="AI46" s="4">
        <v>243</v>
      </c>
      <c r="AJ46" s="4">
        <v>163</v>
      </c>
      <c r="AK46" s="4">
        <v>558</v>
      </c>
      <c r="AL46" s="4">
        <v>1385</v>
      </c>
      <c r="AM46" s="4">
        <v>2349</v>
      </c>
      <c r="AN46" s="5">
        <f ca="1">IFERROR(__xludf.DUMMYFUNCTION("""COMPUTED_VALUE"""),52)</f>
        <v>52</v>
      </c>
    </row>
    <row r="47" spans="1:40" x14ac:dyDescent="0.35">
      <c r="A47" s="1">
        <v>46</v>
      </c>
      <c r="B47" s="7">
        <v>43936</v>
      </c>
      <c r="C47">
        <v>3</v>
      </c>
      <c r="D47">
        <v>1</v>
      </c>
      <c r="E47">
        <v>55</v>
      </c>
      <c r="F47">
        <v>39</v>
      </c>
      <c r="G47" s="5">
        <f ca="1">IFERROR(__xludf.DUMMYFUNCTION("""COMPUTED_VALUE"""),297)</f>
        <v>297</v>
      </c>
      <c r="H47" s="5">
        <f ca="1">IFERROR(__xludf.DUMMYFUNCTION("""COMPUTED_VALUE"""),98)</f>
        <v>98</v>
      </c>
      <c r="I47">
        <v>-56</v>
      </c>
      <c r="J47">
        <v>-30</v>
      </c>
      <c r="K47">
        <v>-55</v>
      </c>
      <c r="L47">
        <v>-68</v>
      </c>
      <c r="M47">
        <v>-51</v>
      </c>
      <c r="N47">
        <v>25</v>
      </c>
      <c r="O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981</v>
      </c>
      <c r="AE47">
        <v>223</v>
      </c>
      <c r="AF47">
        <v>758</v>
      </c>
      <c r="AG47" s="2">
        <v>0.2273190622</v>
      </c>
      <c r="AH47" t="s">
        <v>31</v>
      </c>
      <c r="AI47" s="4">
        <v>246</v>
      </c>
      <c r="AJ47" s="4">
        <v>164</v>
      </c>
      <c r="AK47" s="4">
        <v>613</v>
      </c>
      <c r="AL47" s="4">
        <v>1424</v>
      </c>
      <c r="AM47" s="4">
        <v>2447</v>
      </c>
      <c r="AN47" s="5">
        <f ca="1">IFERROR(__xludf.DUMMYFUNCTION("""COMPUTED_VALUE"""),94)</f>
        <v>94</v>
      </c>
    </row>
    <row r="48" spans="1:40" x14ac:dyDescent="0.35">
      <c r="A48" s="1">
        <v>47</v>
      </c>
      <c r="B48" s="7">
        <v>43937</v>
      </c>
      <c r="C48">
        <v>2</v>
      </c>
      <c r="D48">
        <v>38</v>
      </c>
      <c r="E48">
        <v>6</v>
      </c>
      <c r="F48">
        <v>177</v>
      </c>
      <c r="G48" s="5">
        <f ca="1">IFERROR(__xludf.DUMMYFUNCTION("""COMPUTED_VALUE"""),380)</f>
        <v>380</v>
      </c>
      <c r="H48" s="5">
        <f ca="1">IFERROR(__xludf.DUMMYFUNCTION("""COMPUTED_VALUE"""),223)</f>
        <v>223</v>
      </c>
      <c r="I48">
        <v>-55</v>
      </c>
      <c r="J48">
        <v>-29</v>
      </c>
      <c r="K48">
        <v>-51</v>
      </c>
      <c r="L48">
        <v>-69</v>
      </c>
      <c r="M48">
        <v>-51</v>
      </c>
      <c r="N48">
        <v>24</v>
      </c>
      <c r="O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888</v>
      </c>
      <c r="AE48">
        <v>153</v>
      </c>
      <c r="AF48">
        <v>735</v>
      </c>
      <c r="AG48" s="2">
        <v>0.17229729730000001</v>
      </c>
      <c r="AH48" t="s">
        <v>31</v>
      </c>
      <c r="AI48" s="4">
        <v>248</v>
      </c>
      <c r="AJ48" s="4">
        <v>202</v>
      </c>
      <c r="AK48" s="4">
        <v>619</v>
      </c>
      <c r="AL48" s="4">
        <v>1601</v>
      </c>
      <c r="AM48" s="4">
        <v>2670</v>
      </c>
      <c r="AN48" s="5">
        <f ca="1">IFERROR(__xludf.DUMMYFUNCTION("""COMPUTED_VALUE"""),183)</f>
        <v>183</v>
      </c>
    </row>
    <row r="49" spans="1:40" x14ac:dyDescent="0.35">
      <c r="A49" s="1">
        <v>48</v>
      </c>
      <c r="B49" s="7">
        <v>43938</v>
      </c>
      <c r="C49">
        <v>2</v>
      </c>
      <c r="D49">
        <v>1</v>
      </c>
      <c r="E49">
        <v>24</v>
      </c>
      <c r="F49">
        <v>126</v>
      </c>
      <c r="G49" s="5">
        <f ca="1">IFERROR(__xludf.DUMMYFUNCTION("""COMPUTED_VALUE"""),407)</f>
        <v>407</v>
      </c>
      <c r="H49" s="5">
        <f ca="1">IFERROR(__xludf.DUMMYFUNCTION("""COMPUTED_VALUE"""),153)</f>
        <v>153</v>
      </c>
      <c r="I49">
        <v>-55</v>
      </c>
      <c r="J49">
        <v>-28</v>
      </c>
      <c r="K49">
        <v>-47</v>
      </c>
      <c r="L49">
        <v>-70</v>
      </c>
      <c r="M49">
        <v>-50</v>
      </c>
      <c r="N49">
        <v>26</v>
      </c>
      <c r="O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1214</v>
      </c>
      <c r="AE49">
        <v>79</v>
      </c>
      <c r="AF49">
        <v>1135</v>
      </c>
      <c r="AG49" s="2">
        <v>6.5074135089999999E-2</v>
      </c>
      <c r="AH49" t="s">
        <v>31</v>
      </c>
      <c r="AI49" s="4">
        <v>250</v>
      </c>
      <c r="AJ49" s="4">
        <v>203</v>
      </c>
      <c r="AK49" s="4">
        <v>643</v>
      </c>
      <c r="AL49" s="4">
        <v>1727</v>
      </c>
      <c r="AM49" s="4">
        <v>2823</v>
      </c>
      <c r="AN49" s="5">
        <f ca="1">IFERROR(__xludf.DUMMYFUNCTION("""COMPUTED_VALUE"""),150)</f>
        <v>150</v>
      </c>
    </row>
    <row r="50" spans="1:40" x14ac:dyDescent="0.35">
      <c r="A50" s="1">
        <v>49</v>
      </c>
      <c r="B50" s="7">
        <v>43939</v>
      </c>
      <c r="C50">
        <v>7</v>
      </c>
      <c r="D50">
        <v>3</v>
      </c>
      <c r="E50">
        <v>27</v>
      </c>
      <c r="F50">
        <v>42</v>
      </c>
      <c r="G50" s="5">
        <f ca="1">IFERROR(__xludf.DUMMYFUNCTION("""COMPUTED_VALUE"""),325)</f>
        <v>325</v>
      </c>
      <c r="H50" s="5">
        <f ca="1">IFERROR(__xludf.DUMMYFUNCTION("""COMPUTED_VALUE"""),79)</f>
        <v>79</v>
      </c>
      <c r="I50">
        <v>-62</v>
      </c>
      <c r="J50">
        <v>-34</v>
      </c>
      <c r="K50">
        <v>-59</v>
      </c>
      <c r="L50">
        <v>-66</v>
      </c>
      <c r="M50">
        <v>-37</v>
      </c>
      <c r="N50">
        <v>20</v>
      </c>
      <c r="O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1123</v>
      </c>
      <c r="AE50">
        <v>131</v>
      </c>
      <c r="AF50">
        <v>992</v>
      </c>
      <c r="AG50" s="2">
        <v>0.1166518255</v>
      </c>
      <c r="AH50" t="s">
        <v>31</v>
      </c>
      <c r="AI50" s="4">
        <v>257</v>
      </c>
      <c r="AJ50" s="4">
        <v>206</v>
      </c>
      <c r="AK50" s="4">
        <v>670</v>
      </c>
      <c r="AL50" s="4">
        <v>1769</v>
      </c>
      <c r="AM50" s="4">
        <v>2902</v>
      </c>
      <c r="AN50" s="5">
        <f ca="1">IFERROR(__xludf.DUMMYFUNCTION("""COMPUTED_VALUE"""),69)</f>
        <v>69</v>
      </c>
    </row>
    <row r="51" spans="1:40" x14ac:dyDescent="0.35">
      <c r="A51" s="1">
        <v>50</v>
      </c>
      <c r="B51" s="7">
        <v>43940</v>
      </c>
      <c r="C51">
        <v>35</v>
      </c>
      <c r="D51">
        <v>1</v>
      </c>
      <c r="E51">
        <v>25</v>
      </c>
      <c r="F51">
        <v>70</v>
      </c>
      <c r="G51" s="5">
        <f ca="1">IFERROR(__xludf.DUMMYFUNCTION("""COMPUTED_VALUE"""),327)</f>
        <v>327</v>
      </c>
      <c r="H51" s="5">
        <f ca="1">IFERROR(__xludf.DUMMYFUNCTION("""COMPUTED_VALUE"""),131)</f>
        <v>131</v>
      </c>
      <c r="I51">
        <v>-64</v>
      </c>
      <c r="J51">
        <v>-36</v>
      </c>
      <c r="K51">
        <v>-67</v>
      </c>
      <c r="L51">
        <v>-67</v>
      </c>
      <c r="M51">
        <v>-29</v>
      </c>
      <c r="N51">
        <v>18</v>
      </c>
      <c r="O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1248</v>
      </c>
      <c r="AE51">
        <v>79</v>
      </c>
      <c r="AF51">
        <v>1169</v>
      </c>
      <c r="AG51" s="2">
        <v>6.3301282050000005E-2</v>
      </c>
      <c r="AH51" t="s">
        <v>31</v>
      </c>
      <c r="AI51" s="4">
        <v>292</v>
      </c>
      <c r="AJ51" s="4">
        <v>207</v>
      </c>
      <c r="AK51" s="4">
        <v>695</v>
      </c>
      <c r="AL51" s="4">
        <v>1839</v>
      </c>
      <c r="AM51" s="4">
        <v>3033</v>
      </c>
      <c r="AN51" s="5">
        <f ca="1">IFERROR(__xludf.DUMMYFUNCTION("""COMPUTED_VALUE"""),95)</f>
        <v>95</v>
      </c>
    </row>
    <row r="52" spans="1:40" x14ac:dyDescent="0.35">
      <c r="A52" s="1">
        <v>51</v>
      </c>
      <c r="B52" s="7">
        <v>43941</v>
      </c>
      <c r="C52">
        <v>5</v>
      </c>
      <c r="D52">
        <v>30</v>
      </c>
      <c r="E52">
        <v>57</v>
      </c>
      <c r="F52">
        <v>-13</v>
      </c>
      <c r="G52" s="5">
        <f ca="1">IFERROR(__xludf.DUMMYFUNCTION("""COMPUTED_VALUE"""),185)</f>
        <v>185</v>
      </c>
      <c r="H52" s="5">
        <f ca="1">IFERROR(__xludf.DUMMYFUNCTION("""COMPUTED_VALUE"""),79)</f>
        <v>79</v>
      </c>
      <c r="I52">
        <v>-56</v>
      </c>
      <c r="J52">
        <v>-32</v>
      </c>
      <c r="K52">
        <v>-53</v>
      </c>
      <c r="L52">
        <v>-69</v>
      </c>
      <c r="M52">
        <v>-49</v>
      </c>
      <c r="N52">
        <v>24</v>
      </c>
      <c r="O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1606</v>
      </c>
      <c r="AE52">
        <v>167</v>
      </c>
      <c r="AF52">
        <v>1439</v>
      </c>
      <c r="AG52" s="2">
        <v>0.10398505600000001</v>
      </c>
      <c r="AH52" t="s">
        <v>31</v>
      </c>
      <c r="AI52" s="4">
        <v>297</v>
      </c>
      <c r="AJ52" s="4">
        <v>237</v>
      </c>
      <c r="AK52" s="4">
        <v>752</v>
      </c>
      <c r="AL52" s="4">
        <v>1826</v>
      </c>
      <c r="AM52" s="4">
        <v>3112</v>
      </c>
      <c r="AN52" s="5">
        <f ca="1">IFERROR(__xludf.DUMMYFUNCTION("""COMPUTED_VALUE"""),44)</f>
        <v>44</v>
      </c>
    </row>
    <row r="53" spans="1:40" x14ac:dyDescent="0.35">
      <c r="A53" s="1">
        <v>52</v>
      </c>
      <c r="B53" s="7">
        <v>43942</v>
      </c>
      <c r="C53">
        <v>8</v>
      </c>
      <c r="D53">
        <v>49</v>
      </c>
      <c r="E53">
        <v>1</v>
      </c>
      <c r="F53">
        <v>109</v>
      </c>
      <c r="G53" s="5">
        <f ca="1">IFERROR(__xludf.DUMMYFUNCTION("""COMPUTED_VALUE"""),375)</f>
        <v>375</v>
      </c>
      <c r="H53" s="5">
        <f ca="1">IFERROR(__xludf.DUMMYFUNCTION("""COMPUTED_VALUE"""),167)</f>
        <v>167</v>
      </c>
      <c r="I53">
        <v>-58</v>
      </c>
      <c r="J53">
        <v>-33</v>
      </c>
      <c r="K53">
        <v>-56</v>
      </c>
      <c r="L53">
        <v>-69</v>
      </c>
      <c r="M53">
        <v>-51</v>
      </c>
      <c r="N53">
        <v>24</v>
      </c>
      <c r="O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1599</v>
      </c>
      <c r="AE53">
        <v>120</v>
      </c>
      <c r="AF53">
        <v>1479</v>
      </c>
      <c r="AG53" s="2">
        <v>7.5046904319999996E-2</v>
      </c>
      <c r="AH53" t="s">
        <v>31</v>
      </c>
      <c r="AI53" s="4">
        <v>305</v>
      </c>
      <c r="AJ53" s="4">
        <v>286</v>
      </c>
      <c r="AK53" s="4">
        <v>753</v>
      </c>
      <c r="AL53" s="4">
        <v>1935</v>
      </c>
      <c r="AM53" s="4">
        <v>3279</v>
      </c>
      <c r="AN53" s="5">
        <f ca="1">IFERROR(__xludf.DUMMYFUNCTION("""COMPUTED_VALUE"""),110)</f>
        <v>110</v>
      </c>
    </row>
    <row r="54" spans="1:40" x14ac:dyDescent="0.35">
      <c r="A54" s="1">
        <v>53</v>
      </c>
      <c r="B54" s="7">
        <v>43943</v>
      </c>
      <c r="C54">
        <v>3</v>
      </c>
      <c r="D54">
        <v>5</v>
      </c>
      <c r="E54">
        <v>62</v>
      </c>
      <c r="F54">
        <v>50</v>
      </c>
      <c r="G54" s="5">
        <f ca="1">IFERROR(__xludf.DUMMYFUNCTION("""COMPUTED_VALUE"""),283)</f>
        <v>283</v>
      </c>
      <c r="H54" s="5">
        <f ca="1">IFERROR(__xludf.DUMMYFUNCTION("""COMPUTED_VALUE"""),120)</f>
        <v>120</v>
      </c>
      <c r="I54">
        <v>-56</v>
      </c>
      <c r="J54">
        <v>-31</v>
      </c>
      <c r="K54">
        <v>-54</v>
      </c>
      <c r="L54">
        <v>-67</v>
      </c>
      <c r="M54">
        <v>-50</v>
      </c>
      <c r="N54">
        <v>23</v>
      </c>
      <c r="O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1552</v>
      </c>
      <c r="AE54">
        <v>107</v>
      </c>
      <c r="AF54">
        <v>1445</v>
      </c>
      <c r="AG54" s="2">
        <v>6.8943298969999997E-2</v>
      </c>
      <c r="AH54" t="s">
        <v>31</v>
      </c>
      <c r="AI54" s="4">
        <v>308</v>
      </c>
      <c r="AJ54" s="4">
        <v>291</v>
      </c>
      <c r="AK54" s="4">
        <v>815</v>
      </c>
      <c r="AL54" s="4">
        <v>1985</v>
      </c>
      <c r="AM54" s="4">
        <v>3399</v>
      </c>
      <c r="AN54" s="5">
        <f ca="1">IFERROR(__xludf.DUMMYFUNCTION("""COMPUTED_VALUE"""),112)</f>
        <v>112</v>
      </c>
    </row>
    <row r="55" spans="1:40" x14ac:dyDescent="0.35">
      <c r="A55" s="1">
        <v>54</v>
      </c>
      <c r="B55" s="7">
        <v>43944</v>
      </c>
      <c r="C55">
        <v>8</v>
      </c>
      <c r="D55">
        <v>1</v>
      </c>
      <c r="E55">
        <v>73</v>
      </c>
      <c r="F55">
        <v>25</v>
      </c>
      <c r="G55" s="5">
        <f ca="1">IFERROR(__xludf.DUMMYFUNCTION("""COMPUTED_VALUE"""),357)</f>
        <v>357</v>
      </c>
      <c r="H55" s="5">
        <f ca="1">IFERROR(__xludf.DUMMYFUNCTION("""COMPUTED_VALUE"""),107)</f>
        <v>107</v>
      </c>
      <c r="I55">
        <v>-54</v>
      </c>
      <c r="J55">
        <v>-24</v>
      </c>
      <c r="K55">
        <v>-52</v>
      </c>
      <c r="L55">
        <v>-65</v>
      </c>
      <c r="M55">
        <v>-50</v>
      </c>
      <c r="N55">
        <v>22</v>
      </c>
      <c r="O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1714</v>
      </c>
      <c r="AE55">
        <v>99</v>
      </c>
      <c r="AF55">
        <v>1615</v>
      </c>
      <c r="AG55" s="2">
        <v>5.7759626600000002E-2</v>
      </c>
      <c r="AH55" t="s">
        <v>31</v>
      </c>
      <c r="AI55" s="4">
        <v>316</v>
      </c>
      <c r="AJ55" s="4">
        <v>292</v>
      </c>
      <c r="AK55" s="4">
        <v>888</v>
      </c>
      <c r="AL55" s="4">
        <v>2010</v>
      </c>
      <c r="AM55" s="4">
        <v>3506</v>
      </c>
      <c r="AN55" s="5">
        <f ca="1">IFERROR(__xludf.DUMMYFUNCTION("""COMPUTED_VALUE"""),98)</f>
        <v>98</v>
      </c>
    </row>
    <row r="56" spans="1:40" x14ac:dyDescent="0.35">
      <c r="A56" s="1">
        <v>55</v>
      </c>
      <c r="B56" s="7">
        <v>43945</v>
      </c>
      <c r="C56">
        <v>15</v>
      </c>
      <c r="D56">
        <v>35</v>
      </c>
      <c r="E56">
        <v>71</v>
      </c>
      <c r="F56">
        <v>-22</v>
      </c>
      <c r="G56" s="5">
        <f ca="1">IFERROR(__xludf.DUMMYFUNCTION("""COMPUTED_VALUE"""),436)</f>
        <v>436</v>
      </c>
      <c r="H56" s="5">
        <f ca="1">IFERROR(__xludf.DUMMYFUNCTION("""COMPUTED_VALUE"""),99)</f>
        <v>99</v>
      </c>
      <c r="I56">
        <v>-64</v>
      </c>
      <c r="J56">
        <v>-37</v>
      </c>
      <c r="K56">
        <v>-59</v>
      </c>
      <c r="L56">
        <v>-73</v>
      </c>
      <c r="M56">
        <v>-55</v>
      </c>
      <c r="N56">
        <v>29</v>
      </c>
      <c r="O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1599</v>
      </c>
      <c r="AE56">
        <v>76</v>
      </c>
      <c r="AF56">
        <v>1523</v>
      </c>
      <c r="AG56" s="2">
        <v>4.7529706069999997E-2</v>
      </c>
      <c r="AH56" t="s">
        <v>31</v>
      </c>
      <c r="AI56" s="4">
        <v>331</v>
      </c>
      <c r="AJ56" s="4">
        <v>327</v>
      </c>
      <c r="AK56" s="4">
        <v>959</v>
      </c>
      <c r="AL56" s="4">
        <v>1988</v>
      </c>
      <c r="AM56" s="4">
        <v>3605</v>
      </c>
      <c r="AN56" s="5">
        <f ca="1">IFERROR(__xludf.DUMMYFUNCTION("""COMPUTED_VALUE"""),49)</f>
        <v>49</v>
      </c>
    </row>
    <row r="57" spans="1:40" x14ac:dyDescent="0.35">
      <c r="A57" s="1">
        <v>56</v>
      </c>
      <c r="B57" s="7">
        <v>43946</v>
      </c>
      <c r="C57">
        <v>19</v>
      </c>
      <c r="D57">
        <v>7</v>
      </c>
      <c r="E57">
        <v>91</v>
      </c>
      <c r="F57">
        <v>-41</v>
      </c>
      <c r="G57" s="5">
        <f ca="1">IFERROR(__xludf.DUMMYFUNCTION("""COMPUTED_VALUE"""),396)</f>
        <v>396</v>
      </c>
      <c r="H57" s="5">
        <f ca="1">IFERROR(__xludf.DUMMYFUNCTION("""COMPUTED_VALUE"""),76)</f>
        <v>76</v>
      </c>
      <c r="I57">
        <v>-65</v>
      </c>
      <c r="J57">
        <v>-35</v>
      </c>
      <c r="K57">
        <v>-63</v>
      </c>
      <c r="L57">
        <v>-69</v>
      </c>
      <c r="M57">
        <v>-41</v>
      </c>
      <c r="N57">
        <v>22</v>
      </c>
      <c r="O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1278</v>
      </c>
      <c r="AE57">
        <v>65</v>
      </c>
      <c r="AF57">
        <v>1213</v>
      </c>
      <c r="AG57" s="2">
        <v>5.0860719870000001E-2</v>
      </c>
      <c r="AH57" t="s">
        <v>31</v>
      </c>
      <c r="AI57" s="4">
        <v>350</v>
      </c>
      <c r="AJ57" s="4">
        <v>334</v>
      </c>
      <c r="AK57" s="4">
        <v>1050</v>
      </c>
      <c r="AL57" s="4">
        <v>1947</v>
      </c>
      <c r="AM57" s="4">
        <v>3681</v>
      </c>
      <c r="AN57" s="5">
        <f ca="1">IFERROR(__xludf.DUMMYFUNCTION("""COMPUTED_VALUE"""),50)</f>
        <v>50</v>
      </c>
    </row>
    <row r="58" spans="1:40" x14ac:dyDescent="0.35">
      <c r="A58" s="1">
        <v>57</v>
      </c>
      <c r="B58" s="7">
        <v>43947</v>
      </c>
      <c r="C58">
        <v>7</v>
      </c>
      <c r="D58">
        <v>4</v>
      </c>
      <c r="E58">
        <v>49</v>
      </c>
      <c r="F58">
        <v>5</v>
      </c>
      <c r="G58" s="5">
        <f ca="1">IFERROR(__xludf.DUMMYFUNCTION("""COMPUTED_VALUE"""),275)</f>
        <v>275</v>
      </c>
      <c r="H58" s="5">
        <f ca="1">IFERROR(__xludf.DUMMYFUNCTION("""COMPUTED_VALUE"""),65)</f>
        <v>65</v>
      </c>
      <c r="I58">
        <v>-68</v>
      </c>
      <c r="J58">
        <v>-43</v>
      </c>
      <c r="K58">
        <v>-73</v>
      </c>
      <c r="L58">
        <v>-72</v>
      </c>
      <c r="M58">
        <v>-33</v>
      </c>
      <c r="N58">
        <v>21</v>
      </c>
      <c r="O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803</v>
      </c>
      <c r="AE58">
        <v>86</v>
      </c>
      <c r="AF58">
        <v>717</v>
      </c>
      <c r="AG58" s="2">
        <v>0.1070983811</v>
      </c>
      <c r="AH58" t="s">
        <v>31</v>
      </c>
      <c r="AI58" s="4">
        <v>357</v>
      </c>
      <c r="AJ58" s="4">
        <v>338</v>
      </c>
      <c r="AK58" s="4">
        <v>1099</v>
      </c>
      <c r="AL58" s="4">
        <v>1952</v>
      </c>
      <c r="AM58" s="4">
        <v>3746</v>
      </c>
      <c r="AN58" s="5">
        <f ca="1">IFERROR(__xludf.DUMMYFUNCTION("""COMPUTED_VALUE"""),54)</f>
        <v>54</v>
      </c>
    </row>
    <row r="59" spans="1:40" x14ac:dyDescent="0.35">
      <c r="A59" s="1">
        <v>58</v>
      </c>
      <c r="B59" s="7">
        <v>43948</v>
      </c>
      <c r="C59">
        <v>18</v>
      </c>
      <c r="D59">
        <v>0</v>
      </c>
      <c r="E59">
        <v>70</v>
      </c>
      <c r="F59">
        <v>-2</v>
      </c>
      <c r="G59" s="5">
        <f ca="1">IFERROR(__xludf.DUMMYFUNCTION("""COMPUTED_VALUE"""),214)</f>
        <v>214</v>
      </c>
      <c r="H59" s="5">
        <f ca="1">IFERROR(__xludf.DUMMYFUNCTION("""COMPUTED_VALUE"""),86)</f>
        <v>86</v>
      </c>
      <c r="I59">
        <v>-60</v>
      </c>
      <c r="J59">
        <v>-38</v>
      </c>
      <c r="K59">
        <v>-58</v>
      </c>
      <c r="L59">
        <v>-71</v>
      </c>
      <c r="M59">
        <v>-50</v>
      </c>
      <c r="N59">
        <v>26</v>
      </c>
      <c r="O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1434</v>
      </c>
      <c r="AE59">
        <v>118</v>
      </c>
      <c r="AF59">
        <v>1316</v>
      </c>
      <c r="AG59" s="2">
        <v>8.2287308229999995E-2</v>
      </c>
      <c r="AH59" t="s">
        <v>31</v>
      </c>
      <c r="AI59" s="4">
        <v>375</v>
      </c>
      <c r="AJ59" s="4">
        <v>338</v>
      </c>
      <c r="AK59" s="4">
        <v>1169</v>
      </c>
      <c r="AL59" s="4">
        <v>1950</v>
      </c>
      <c r="AM59" s="4">
        <v>3832</v>
      </c>
      <c r="AN59" s="5">
        <f ca="1">IFERROR(__xludf.DUMMYFUNCTION("""COMPUTED_VALUE"""),68)</f>
        <v>68</v>
      </c>
    </row>
    <row r="60" spans="1:40" x14ac:dyDescent="0.35">
      <c r="A60" s="1">
        <v>59</v>
      </c>
      <c r="B60" s="7">
        <v>43949</v>
      </c>
      <c r="C60">
        <v>4</v>
      </c>
      <c r="D60">
        <v>3</v>
      </c>
      <c r="E60">
        <v>37</v>
      </c>
      <c r="F60">
        <v>74</v>
      </c>
      <c r="G60" s="5">
        <f ca="1">IFERROR(__xludf.DUMMYFUNCTION("""COMPUTED_VALUE"""),415)</f>
        <v>415</v>
      </c>
      <c r="H60" s="5">
        <f ca="1">IFERROR(__xludf.DUMMYFUNCTION("""COMPUTED_VALUE"""),118)</f>
        <v>118</v>
      </c>
      <c r="I60">
        <v>-60</v>
      </c>
      <c r="J60">
        <v>-34</v>
      </c>
      <c r="K60">
        <v>-58</v>
      </c>
      <c r="L60">
        <v>-70</v>
      </c>
      <c r="M60">
        <v>-51</v>
      </c>
      <c r="N60">
        <v>25</v>
      </c>
      <c r="O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1904</v>
      </c>
      <c r="AE60">
        <v>83</v>
      </c>
      <c r="AF60">
        <v>1821</v>
      </c>
      <c r="AG60" s="2">
        <v>4.3592436970000002E-2</v>
      </c>
      <c r="AH60" t="s">
        <v>31</v>
      </c>
      <c r="AI60" s="4">
        <v>379</v>
      </c>
      <c r="AJ60" s="4">
        <v>341</v>
      </c>
      <c r="AK60" s="4">
        <v>1206</v>
      </c>
      <c r="AL60" s="4">
        <v>2024</v>
      </c>
      <c r="AM60" s="4">
        <v>3950</v>
      </c>
      <c r="AN60" s="5">
        <f ca="1">IFERROR(__xludf.DUMMYFUNCTION("""COMPUTED_VALUE"""),111)</f>
        <v>111</v>
      </c>
    </row>
    <row r="61" spans="1:40" x14ac:dyDescent="0.35">
      <c r="A61" s="1">
        <v>60</v>
      </c>
      <c r="B61" s="7">
        <v>43950</v>
      </c>
      <c r="C61">
        <v>2</v>
      </c>
      <c r="D61">
        <v>71</v>
      </c>
      <c r="E61">
        <v>32</v>
      </c>
      <c r="F61">
        <v>-22</v>
      </c>
      <c r="G61" s="5">
        <f ca="1">IFERROR(__xludf.DUMMYFUNCTION("""COMPUTED_VALUE"""),260)</f>
        <v>260</v>
      </c>
      <c r="H61" s="5">
        <f ca="1">IFERROR(__xludf.DUMMYFUNCTION("""COMPUTED_VALUE"""),83)</f>
        <v>83</v>
      </c>
      <c r="I61">
        <v>-59</v>
      </c>
      <c r="J61">
        <v>-35</v>
      </c>
      <c r="K61">
        <v>-58</v>
      </c>
      <c r="L61">
        <v>-70</v>
      </c>
      <c r="M61">
        <v>-50</v>
      </c>
      <c r="N61">
        <v>24</v>
      </c>
      <c r="O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2276</v>
      </c>
      <c r="AE61">
        <v>105</v>
      </c>
      <c r="AF61">
        <v>2171</v>
      </c>
      <c r="AG61" s="2">
        <v>4.6133567659999999E-2</v>
      </c>
      <c r="AH61" t="s">
        <v>31</v>
      </c>
      <c r="AI61" s="4">
        <v>381</v>
      </c>
      <c r="AJ61" s="4">
        <v>412</v>
      </c>
      <c r="AK61" s="4">
        <v>1238</v>
      </c>
      <c r="AL61" s="4">
        <v>2002</v>
      </c>
      <c r="AM61" s="4">
        <v>4033</v>
      </c>
      <c r="AN61" s="5">
        <f ca="1">IFERROR(__xludf.DUMMYFUNCTION("""COMPUTED_VALUE"""),10)</f>
        <v>10</v>
      </c>
    </row>
    <row r="62" spans="1:40" x14ac:dyDescent="0.35">
      <c r="A62" s="1">
        <v>61</v>
      </c>
      <c r="B62" s="7">
        <v>43951</v>
      </c>
      <c r="C62">
        <v>0</v>
      </c>
      <c r="D62">
        <v>0</v>
      </c>
      <c r="E62">
        <v>34</v>
      </c>
      <c r="F62">
        <v>71</v>
      </c>
      <c r="G62" s="5">
        <f ca="1">IFERROR(__xludf.DUMMYFUNCTION("""COMPUTED_VALUE"""),347)</f>
        <v>347</v>
      </c>
      <c r="H62" s="5">
        <f ca="1">IFERROR(__xludf.DUMMYFUNCTION("""COMPUTED_VALUE"""),105)</f>
        <v>105</v>
      </c>
      <c r="I62">
        <v>-57</v>
      </c>
      <c r="J62">
        <v>-28</v>
      </c>
      <c r="K62">
        <v>-54</v>
      </c>
      <c r="L62">
        <v>-68</v>
      </c>
      <c r="M62">
        <v>-49</v>
      </c>
      <c r="N62">
        <v>24</v>
      </c>
      <c r="O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2339</v>
      </c>
      <c r="AE62">
        <v>145</v>
      </c>
      <c r="AF62">
        <v>2194</v>
      </c>
      <c r="AG62" s="2">
        <v>6.1992304400000003E-2</v>
      </c>
      <c r="AH62" t="s">
        <v>31</v>
      </c>
      <c r="AI62" s="4">
        <v>381</v>
      </c>
      <c r="AJ62" s="4">
        <v>412</v>
      </c>
      <c r="AK62" s="4">
        <v>1272</v>
      </c>
      <c r="AL62" s="4">
        <v>2073</v>
      </c>
      <c r="AM62" s="4">
        <v>4138</v>
      </c>
      <c r="AN62" s="5">
        <f ca="1">IFERROR(__xludf.DUMMYFUNCTION("""COMPUTED_VALUE"""),105)</f>
        <v>105</v>
      </c>
    </row>
    <row r="63" spans="1:40" x14ac:dyDescent="0.35">
      <c r="A63" s="1">
        <v>62</v>
      </c>
      <c r="B63" s="7">
        <v>43952</v>
      </c>
      <c r="C63">
        <v>12</v>
      </c>
      <c r="D63">
        <v>15</v>
      </c>
      <c r="E63">
        <v>40</v>
      </c>
      <c r="F63">
        <v>78</v>
      </c>
      <c r="G63" s="5">
        <f ca="1">IFERROR(__xludf.DUMMYFUNCTION("""COMPUTED_VALUE"""),433)</f>
        <v>433</v>
      </c>
      <c r="H63" s="5">
        <f ca="1">IFERROR(__xludf.DUMMYFUNCTION("""COMPUTED_VALUE"""),145)</f>
        <v>145</v>
      </c>
      <c r="I63">
        <v>-61</v>
      </c>
      <c r="J63">
        <v>-28</v>
      </c>
      <c r="K63">
        <v>-54</v>
      </c>
      <c r="L63">
        <v>-76</v>
      </c>
      <c r="M63">
        <v>-70</v>
      </c>
      <c r="N63">
        <v>32</v>
      </c>
      <c r="O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2496</v>
      </c>
      <c r="AE63">
        <v>72</v>
      </c>
      <c r="AF63">
        <v>2424</v>
      </c>
      <c r="AG63" s="2">
        <v>2.884615385E-2</v>
      </c>
      <c r="AH63" t="s">
        <v>31</v>
      </c>
      <c r="AI63" s="4">
        <v>393</v>
      </c>
      <c r="AJ63" s="4">
        <v>427</v>
      </c>
      <c r="AK63" s="4">
        <v>1312</v>
      </c>
      <c r="AL63" s="4">
        <v>2151</v>
      </c>
      <c r="AM63" s="4">
        <v>4283</v>
      </c>
      <c r="AN63" s="5">
        <f ca="1">IFERROR(__xludf.DUMMYFUNCTION("""COMPUTED_VALUE"""),118)</f>
        <v>118</v>
      </c>
    </row>
    <row r="64" spans="1:40" x14ac:dyDescent="0.35">
      <c r="A64" s="1">
        <v>63</v>
      </c>
      <c r="B64" s="7">
        <v>43953</v>
      </c>
      <c r="C64">
        <v>7</v>
      </c>
      <c r="D64">
        <v>135</v>
      </c>
      <c r="E64">
        <v>-8</v>
      </c>
      <c r="F64">
        <v>-62</v>
      </c>
      <c r="G64" s="5">
        <f ca="1">IFERROR(__xludf.DUMMYFUNCTION("""COMPUTED_VALUE"""),292)</f>
        <v>292</v>
      </c>
      <c r="H64" s="5">
        <f ca="1">IFERROR(__xludf.DUMMYFUNCTION("""COMPUTED_VALUE"""),72)</f>
        <v>72</v>
      </c>
      <c r="I64">
        <v>-62</v>
      </c>
      <c r="J64">
        <v>-29</v>
      </c>
      <c r="K64">
        <v>-59</v>
      </c>
      <c r="L64">
        <v>-67</v>
      </c>
      <c r="M64">
        <v>-39</v>
      </c>
      <c r="N64">
        <v>21</v>
      </c>
      <c r="O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2211</v>
      </c>
      <c r="AE64">
        <v>62</v>
      </c>
      <c r="AF64">
        <v>2149</v>
      </c>
      <c r="AG64" s="2">
        <v>2.8041610129999998E-2</v>
      </c>
      <c r="AH64" t="s">
        <v>31</v>
      </c>
      <c r="AI64" s="4">
        <v>400</v>
      </c>
      <c r="AJ64" s="4">
        <v>562</v>
      </c>
      <c r="AK64" s="4">
        <v>1304</v>
      </c>
      <c r="AL64" s="4">
        <v>2089</v>
      </c>
      <c r="AM64" s="4">
        <v>4355</v>
      </c>
      <c r="AN64" s="5">
        <f ca="1">IFERROR(__xludf.DUMMYFUNCTION("""COMPUTED_VALUE"""),-70)</f>
        <v>-70</v>
      </c>
    </row>
    <row r="65" spans="1:40" x14ac:dyDescent="0.35">
      <c r="A65" s="1">
        <v>64</v>
      </c>
      <c r="B65" s="7">
        <v>43954</v>
      </c>
      <c r="C65">
        <v>10</v>
      </c>
      <c r="D65">
        <v>60</v>
      </c>
      <c r="E65">
        <v>19</v>
      </c>
      <c r="F65">
        <v>-27</v>
      </c>
      <c r="G65" s="5">
        <f ca="1">IFERROR(__xludf.DUMMYFUNCTION("""COMPUTED_VALUE"""),349)</f>
        <v>349</v>
      </c>
      <c r="H65" s="5">
        <f ca="1">IFERROR(__xludf.DUMMYFUNCTION("""COMPUTED_VALUE"""),62)</f>
        <v>62</v>
      </c>
      <c r="I65">
        <v>-64</v>
      </c>
      <c r="J65">
        <v>-34</v>
      </c>
      <c r="K65">
        <v>-68</v>
      </c>
      <c r="L65">
        <v>-68</v>
      </c>
      <c r="M65">
        <v>-29</v>
      </c>
      <c r="N65">
        <v>19</v>
      </c>
      <c r="O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1127</v>
      </c>
      <c r="AE65">
        <v>55</v>
      </c>
      <c r="AF65">
        <v>1072</v>
      </c>
      <c r="AG65" s="2">
        <v>4.8802129549999997E-2</v>
      </c>
      <c r="AH65" t="s">
        <v>31</v>
      </c>
      <c r="AI65" s="4">
        <v>410</v>
      </c>
      <c r="AJ65" s="4">
        <v>622</v>
      </c>
      <c r="AK65" s="4">
        <v>1323</v>
      </c>
      <c r="AL65" s="4">
        <v>2062</v>
      </c>
      <c r="AM65" s="4">
        <v>4417</v>
      </c>
      <c r="AN65" s="5">
        <f ca="1">IFERROR(__xludf.DUMMYFUNCTION("""COMPUTED_VALUE"""),-8)</f>
        <v>-8</v>
      </c>
    </row>
    <row r="66" spans="1:40" x14ac:dyDescent="0.35">
      <c r="A66" s="1">
        <v>65</v>
      </c>
      <c r="B66" s="7">
        <v>43955</v>
      </c>
      <c r="C66">
        <v>2</v>
      </c>
      <c r="D66">
        <v>28</v>
      </c>
      <c r="E66">
        <v>7</v>
      </c>
      <c r="F66">
        <v>18</v>
      </c>
      <c r="G66" s="5">
        <f ca="1">IFERROR(__xludf.DUMMYFUNCTION("""COMPUTED_VALUE"""),395)</f>
        <v>395</v>
      </c>
      <c r="H66" s="5">
        <f ca="1">IFERROR(__xludf.DUMMYFUNCTION("""COMPUTED_VALUE"""),55)</f>
        <v>55</v>
      </c>
      <c r="I66">
        <v>-56</v>
      </c>
      <c r="J66">
        <v>-31</v>
      </c>
      <c r="K66">
        <v>-54</v>
      </c>
      <c r="L66">
        <v>-68</v>
      </c>
      <c r="M66">
        <v>-48</v>
      </c>
      <c r="N66">
        <v>24</v>
      </c>
      <c r="O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2594</v>
      </c>
      <c r="AE66">
        <v>169</v>
      </c>
      <c r="AF66">
        <v>2425</v>
      </c>
      <c r="AG66" s="2">
        <v>6.5150346949999993E-2</v>
      </c>
      <c r="AH66" t="s">
        <v>31</v>
      </c>
      <c r="AI66" s="4">
        <v>412</v>
      </c>
      <c r="AJ66" s="4">
        <v>650</v>
      </c>
      <c r="AK66" s="4">
        <v>1330</v>
      </c>
      <c r="AL66" s="4">
        <v>2080</v>
      </c>
      <c r="AM66" s="4">
        <v>4472</v>
      </c>
      <c r="AN66" s="5">
        <f ca="1">IFERROR(__xludf.DUMMYFUNCTION("""COMPUTED_VALUE"""),25)</f>
        <v>25</v>
      </c>
    </row>
    <row r="67" spans="1:40" x14ac:dyDescent="0.35">
      <c r="A67" s="1">
        <v>66</v>
      </c>
      <c r="B67" s="7">
        <v>43956</v>
      </c>
      <c r="C67">
        <v>2</v>
      </c>
      <c r="D67">
        <v>61</v>
      </c>
      <c r="E67">
        <v>40</v>
      </c>
      <c r="F67">
        <v>66</v>
      </c>
      <c r="G67" s="5">
        <f ca="1">IFERROR(__xludf.DUMMYFUNCTION("""COMPUTED_VALUE"""),484)</f>
        <v>484</v>
      </c>
      <c r="H67" s="5">
        <f ca="1">IFERROR(__xludf.DUMMYFUNCTION("""COMPUTED_VALUE"""),169)</f>
        <v>169</v>
      </c>
      <c r="I67">
        <v>-57</v>
      </c>
      <c r="J67">
        <v>-29</v>
      </c>
      <c r="K67">
        <v>-54</v>
      </c>
      <c r="L67">
        <v>-68</v>
      </c>
      <c r="M67">
        <v>-50</v>
      </c>
      <c r="N67">
        <v>24</v>
      </c>
      <c r="O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2520</v>
      </c>
      <c r="AE67">
        <v>68</v>
      </c>
      <c r="AF67">
        <v>2452</v>
      </c>
      <c r="AG67" s="2">
        <v>2.6984126979999998E-2</v>
      </c>
      <c r="AH67" t="s">
        <v>31</v>
      </c>
      <c r="AI67" s="4">
        <v>414</v>
      </c>
      <c r="AJ67" s="4">
        <v>711</v>
      </c>
      <c r="AK67" s="4">
        <v>1370</v>
      </c>
      <c r="AL67" s="4">
        <v>2146</v>
      </c>
      <c r="AM67" s="4">
        <v>4641</v>
      </c>
      <c r="AN67" s="5">
        <f ca="1">IFERROR(__xludf.DUMMYFUNCTION("""COMPUTED_VALUE"""),106)</f>
        <v>106</v>
      </c>
    </row>
    <row r="68" spans="1:40" x14ac:dyDescent="0.35">
      <c r="A68" s="1">
        <v>67</v>
      </c>
      <c r="B68" s="7">
        <v>43957</v>
      </c>
      <c r="C68">
        <v>6</v>
      </c>
      <c r="D68">
        <v>2</v>
      </c>
      <c r="E68">
        <v>11</v>
      </c>
      <c r="F68">
        <v>49</v>
      </c>
      <c r="G68" s="5">
        <f ca="1">IFERROR(__xludf.DUMMYFUNCTION("""COMPUTED_VALUE"""),367)</f>
        <v>367</v>
      </c>
      <c r="H68" s="5">
        <f ca="1">IFERROR(__xludf.DUMMYFUNCTION("""COMPUTED_VALUE"""),68)</f>
        <v>68</v>
      </c>
      <c r="I68">
        <v>-57</v>
      </c>
      <c r="J68">
        <v>-31</v>
      </c>
      <c r="K68">
        <v>-56</v>
      </c>
      <c r="L68">
        <v>-68</v>
      </c>
      <c r="M68">
        <v>-49</v>
      </c>
      <c r="N68">
        <v>24</v>
      </c>
      <c r="O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2985</v>
      </c>
      <c r="AE68">
        <v>66</v>
      </c>
      <c r="AF68">
        <v>2919</v>
      </c>
      <c r="AG68" s="2">
        <v>2.2110552759999999E-2</v>
      </c>
      <c r="AH68" t="s">
        <v>31</v>
      </c>
      <c r="AI68" s="4">
        <v>420</v>
      </c>
      <c r="AJ68" s="4">
        <v>713</v>
      </c>
      <c r="AK68" s="4">
        <v>1381</v>
      </c>
      <c r="AL68" s="4">
        <v>2195</v>
      </c>
      <c r="AM68" s="4">
        <v>4709</v>
      </c>
      <c r="AN68" s="5">
        <f ca="1">IFERROR(__xludf.DUMMYFUNCTION("""COMPUTED_VALUE"""),60)</f>
        <v>60</v>
      </c>
    </row>
    <row r="69" spans="1:40" x14ac:dyDescent="0.35">
      <c r="A69" s="1">
        <v>68</v>
      </c>
      <c r="B69" s="7">
        <v>43958</v>
      </c>
      <c r="C69">
        <v>10</v>
      </c>
      <c r="D69">
        <v>5</v>
      </c>
      <c r="E69">
        <v>50</v>
      </c>
      <c r="F69">
        <v>1</v>
      </c>
      <c r="G69" s="5">
        <f ca="1">IFERROR(__xludf.DUMMYFUNCTION("""COMPUTED_VALUE"""),338)</f>
        <v>338</v>
      </c>
      <c r="H69" s="5">
        <f ca="1">IFERROR(__xludf.DUMMYFUNCTION("""COMPUTED_VALUE"""),66)</f>
        <v>66</v>
      </c>
      <c r="I69">
        <v>-61</v>
      </c>
      <c r="J69">
        <v>-29</v>
      </c>
      <c r="K69">
        <v>-94</v>
      </c>
      <c r="L69">
        <v>-73</v>
      </c>
      <c r="M69">
        <v>-70</v>
      </c>
      <c r="N69">
        <v>30</v>
      </c>
      <c r="O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1733</v>
      </c>
      <c r="AE69">
        <v>126</v>
      </c>
      <c r="AF69">
        <v>1607</v>
      </c>
      <c r="AG69" s="2">
        <v>7.2706289669999993E-2</v>
      </c>
      <c r="AH69" t="s">
        <v>31</v>
      </c>
      <c r="AI69" s="4">
        <v>430</v>
      </c>
      <c r="AJ69" s="4">
        <v>718</v>
      </c>
      <c r="AK69" s="4">
        <v>1431</v>
      </c>
      <c r="AL69" s="4">
        <v>2196</v>
      </c>
      <c r="AM69" s="4">
        <v>4775</v>
      </c>
      <c r="AN69" s="5">
        <f ca="1">IFERROR(__xludf.DUMMYFUNCTION("""COMPUTED_VALUE"""),51)</f>
        <v>51</v>
      </c>
    </row>
    <row r="70" spans="1:40" x14ac:dyDescent="0.35">
      <c r="A70" s="1">
        <v>69</v>
      </c>
      <c r="B70" s="7">
        <v>43959</v>
      </c>
      <c r="C70">
        <v>1</v>
      </c>
      <c r="D70">
        <v>45</v>
      </c>
      <c r="E70">
        <v>-5</v>
      </c>
      <c r="F70">
        <v>85</v>
      </c>
      <c r="G70" s="5">
        <f ca="1">IFERROR(__xludf.DUMMYFUNCTION("""COMPUTED_VALUE"""),336)</f>
        <v>336</v>
      </c>
      <c r="H70" s="5">
        <f ca="1">IFERROR(__xludf.DUMMYFUNCTION("""COMPUTED_VALUE"""),126)</f>
        <v>126</v>
      </c>
      <c r="I70">
        <v>-56</v>
      </c>
      <c r="J70">
        <v>-24</v>
      </c>
      <c r="K70">
        <v>-94</v>
      </c>
      <c r="L70">
        <v>-65</v>
      </c>
      <c r="M70">
        <v>-48</v>
      </c>
      <c r="N70">
        <v>26</v>
      </c>
      <c r="O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2500</v>
      </c>
      <c r="AE70">
        <v>57</v>
      </c>
      <c r="AF70">
        <v>2443</v>
      </c>
      <c r="AG70" s="2">
        <v>2.2800000000000001E-2</v>
      </c>
      <c r="AH70" t="s">
        <v>31</v>
      </c>
      <c r="AI70" s="4">
        <v>431</v>
      </c>
      <c r="AJ70" s="4">
        <v>763</v>
      </c>
      <c r="AK70" s="4">
        <v>1426</v>
      </c>
      <c r="AL70" s="4">
        <v>2281</v>
      </c>
      <c r="AM70" s="4">
        <v>4901</v>
      </c>
      <c r="AN70" s="5">
        <f ca="1">IFERROR(__xludf.DUMMYFUNCTION("""COMPUTED_VALUE"""),80)</f>
        <v>80</v>
      </c>
    </row>
    <row r="71" spans="1:40" x14ac:dyDescent="0.35">
      <c r="A71" s="1">
        <v>70</v>
      </c>
      <c r="B71" s="7">
        <v>43960</v>
      </c>
      <c r="C71">
        <v>6</v>
      </c>
      <c r="D71">
        <v>4</v>
      </c>
      <c r="E71">
        <v>16</v>
      </c>
      <c r="F71">
        <v>31</v>
      </c>
      <c r="G71" s="5">
        <f ca="1">IFERROR(__xludf.DUMMYFUNCTION("""COMPUTED_VALUE"""),533)</f>
        <v>533</v>
      </c>
      <c r="H71" s="5">
        <f ca="1">IFERROR(__xludf.DUMMYFUNCTION("""COMPUTED_VALUE"""),57)</f>
        <v>57</v>
      </c>
      <c r="I71">
        <v>-60</v>
      </c>
      <c r="J71">
        <v>-25</v>
      </c>
      <c r="K71">
        <v>-95</v>
      </c>
      <c r="L71">
        <v>-62</v>
      </c>
      <c r="M71">
        <v>-36</v>
      </c>
      <c r="N71">
        <v>20</v>
      </c>
      <c r="O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2629</v>
      </c>
      <c r="AE71">
        <v>182</v>
      </c>
      <c r="AF71">
        <v>2447</v>
      </c>
      <c r="AG71" s="2">
        <v>6.9227843289999993E-2</v>
      </c>
      <c r="AH71" t="s">
        <v>31</v>
      </c>
      <c r="AI71" s="4">
        <v>437</v>
      </c>
      <c r="AJ71" s="4">
        <v>767</v>
      </c>
      <c r="AK71" s="4">
        <v>1442</v>
      </c>
      <c r="AL71" s="4">
        <v>2312</v>
      </c>
      <c r="AM71" s="4">
        <v>4958</v>
      </c>
      <c r="AN71" s="5">
        <f ca="1">IFERROR(__xludf.DUMMYFUNCTION("""COMPUTED_VALUE"""),47)</f>
        <v>47</v>
      </c>
    </row>
    <row r="72" spans="1:40" x14ac:dyDescent="0.35">
      <c r="A72" s="1">
        <v>71</v>
      </c>
      <c r="B72" s="7">
        <v>43961</v>
      </c>
      <c r="C72">
        <v>7</v>
      </c>
      <c r="D72">
        <v>36</v>
      </c>
      <c r="E72">
        <v>91</v>
      </c>
      <c r="F72">
        <v>48</v>
      </c>
      <c r="G72" s="5">
        <f ca="1">IFERROR(__xludf.DUMMYFUNCTION("""COMPUTED_VALUE"""),387)</f>
        <v>387</v>
      </c>
      <c r="H72" s="5">
        <f ca="1">IFERROR(__xludf.DUMMYFUNCTION("""COMPUTED_VALUE"""),182)</f>
        <v>182</v>
      </c>
      <c r="I72">
        <v>-63</v>
      </c>
      <c r="J72">
        <v>-31</v>
      </c>
      <c r="K72">
        <v>-96</v>
      </c>
      <c r="L72">
        <v>-64</v>
      </c>
      <c r="M72">
        <v>-28</v>
      </c>
      <c r="N72">
        <v>19</v>
      </c>
      <c r="O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1490</v>
      </c>
      <c r="AE72">
        <v>55</v>
      </c>
      <c r="AF72">
        <v>1435</v>
      </c>
      <c r="AG72" s="2">
        <v>3.6912751680000001E-2</v>
      </c>
      <c r="AH72" t="s">
        <v>31</v>
      </c>
      <c r="AI72" s="4">
        <v>444</v>
      </c>
      <c r="AJ72" s="4">
        <v>803</v>
      </c>
      <c r="AK72" s="4">
        <v>1533</v>
      </c>
      <c r="AL72" s="4">
        <v>2360</v>
      </c>
      <c r="AM72" s="4">
        <v>5140</v>
      </c>
      <c r="AN72" s="5">
        <f ca="1">IFERROR(__xludf.DUMMYFUNCTION("""COMPUTED_VALUE"""),139)</f>
        <v>139</v>
      </c>
    </row>
    <row r="73" spans="1:40" x14ac:dyDescent="0.35">
      <c r="A73" s="1">
        <v>72</v>
      </c>
      <c r="B73" s="7">
        <v>43962</v>
      </c>
      <c r="C73">
        <v>9</v>
      </c>
      <c r="D73">
        <v>33</v>
      </c>
      <c r="E73">
        <v>115</v>
      </c>
      <c r="F73">
        <v>-102</v>
      </c>
      <c r="G73" s="5">
        <f ca="1">IFERROR(__xludf.DUMMYFUNCTION("""COMPUTED_VALUE"""),233)</f>
        <v>233</v>
      </c>
      <c r="H73" s="5">
        <f ca="1">IFERROR(__xludf.DUMMYFUNCTION("""COMPUTED_VALUE"""),55)</f>
        <v>55</v>
      </c>
      <c r="I73">
        <v>-52</v>
      </c>
      <c r="J73">
        <v>-21</v>
      </c>
      <c r="K73">
        <v>-94</v>
      </c>
      <c r="L73">
        <v>-63</v>
      </c>
      <c r="M73">
        <v>-46</v>
      </c>
      <c r="N73">
        <v>24</v>
      </c>
      <c r="O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2575</v>
      </c>
      <c r="AE73">
        <v>108</v>
      </c>
      <c r="AF73">
        <v>2467</v>
      </c>
      <c r="AG73" s="2">
        <v>4.194174757E-2</v>
      </c>
      <c r="AH73" t="s">
        <v>31</v>
      </c>
      <c r="AI73" s="4">
        <v>453</v>
      </c>
      <c r="AJ73" s="4">
        <v>836</v>
      </c>
      <c r="AK73" s="4">
        <v>1648</v>
      </c>
      <c r="AL73" s="4">
        <v>2258</v>
      </c>
      <c r="AM73" s="4">
        <v>5195</v>
      </c>
      <c r="AN73" s="5">
        <f ca="1">IFERROR(__xludf.DUMMYFUNCTION("""COMPUTED_VALUE"""),13)</f>
        <v>13</v>
      </c>
    </row>
    <row r="74" spans="1:40" x14ac:dyDescent="0.35">
      <c r="A74" s="1">
        <v>73</v>
      </c>
      <c r="B74" s="7">
        <v>43963</v>
      </c>
      <c r="C74">
        <v>4</v>
      </c>
      <c r="D74">
        <v>426</v>
      </c>
      <c r="E74">
        <v>93</v>
      </c>
      <c r="F74">
        <v>-415</v>
      </c>
      <c r="G74" s="5">
        <f ca="1">IFERROR(__xludf.DUMMYFUNCTION("""COMPUTED_VALUE"""),484)</f>
        <v>484</v>
      </c>
      <c r="H74" s="5">
        <f ca="1">IFERROR(__xludf.DUMMYFUNCTION("""COMPUTED_VALUE"""),108)</f>
        <v>108</v>
      </c>
      <c r="I74">
        <v>-55</v>
      </c>
      <c r="J74">
        <v>-24</v>
      </c>
      <c r="K74">
        <v>-94</v>
      </c>
      <c r="L74">
        <v>-64</v>
      </c>
      <c r="M74">
        <v>-49</v>
      </c>
      <c r="N74">
        <v>24</v>
      </c>
      <c r="O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3119</v>
      </c>
      <c r="AE74">
        <v>134</v>
      </c>
      <c r="AF74">
        <v>2985</v>
      </c>
      <c r="AG74" s="2">
        <v>4.2962487979999998E-2</v>
      </c>
      <c r="AH74" t="s">
        <v>31</v>
      </c>
      <c r="AI74" s="4">
        <v>457</v>
      </c>
      <c r="AJ74" s="4">
        <v>1262</v>
      </c>
      <c r="AK74" s="4">
        <v>1741</v>
      </c>
      <c r="AL74" s="4">
        <v>1843</v>
      </c>
      <c r="AM74" s="4">
        <v>5303</v>
      </c>
      <c r="AN74" s="5">
        <f ca="1">IFERROR(__xludf.DUMMYFUNCTION("""COMPUTED_VALUE"""),-322)</f>
        <v>-322</v>
      </c>
    </row>
    <row r="75" spans="1:40" x14ac:dyDescent="0.35">
      <c r="A75" s="1">
        <v>74</v>
      </c>
      <c r="B75" s="7">
        <v>43964</v>
      </c>
      <c r="C75">
        <v>4</v>
      </c>
      <c r="D75">
        <v>15</v>
      </c>
      <c r="E75">
        <v>125</v>
      </c>
      <c r="F75">
        <v>-10</v>
      </c>
      <c r="G75" s="5">
        <f ca="1">IFERROR(__xludf.DUMMYFUNCTION("""COMPUTED_VALUE"""),689)</f>
        <v>689</v>
      </c>
      <c r="H75" s="5">
        <f ca="1">IFERROR(__xludf.DUMMYFUNCTION("""COMPUTED_VALUE"""),134)</f>
        <v>134</v>
      </c>
      <c r="I75">
        <v>-54</v>
      </c>
      <c r="J75">
        <v>-22</v>
      </c>
      <c r="K75">
        <v>-94</v>
      </c>
      <c r="L75">
        <v>-63</v>
      </c>
      <c r="M75">
        <v>-48</v>
      </c>
      <c r="N75">
        <v>24</v>
      </c>
      <c r="O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2601</v>
      </c>
      <c r="AE75">
        <v>180</v>
      </c>
      <c r="AF75">
        <v>2421</v>
      </c>
      <c r="AG75" s="2">
        <v>6.9204152249999998E-2</v>
      </c>
      <c r="AH75" t="s">
        <v>31</v>
      </c>
      <c r="AI75" s="4">
        <v>461</v>
      </c>
      <c r="AJ75" s="4">
        <v>1277</v>
      </c>
      <c r="AK75" s="4">
        <v>1866</v>
      </c>
      <c r="AL75" s="4">
        <v>1833</v>
      </c>
      <c r="AM75" s="4">
        <v>5437</v>
      </c>
      <c r="AN75" s="5">
        <f ca="1">IFERROR(__xludf.DUMMYFUNCTION("""COMPUTED_VALUE"""),115)</f>
        <v>115</v>
      </c>
    </row>
    <row r="76" spans="1:40" x14ac:dyDescent="0.35">
      <c r="A76" s="1">
        <v>75</v>
      </c>
      <c r="B76" s="7">
        <v>43965</v>
      </c>
      <c r="C76">
        <v>5</v>
      </c>
      <c r="D76">
        <v>2</v>
      </c>
      <c r="E76">
        <v>129</v>
      </c>
      <c r="F76">
        <v>44</v>
      </c>
      <c r="G76" s="5">
        <f ca="1">IFERROR(__xludf.DUMMYFUNCTION("""COMPUTED_VALUE"""),568)</f>
        <v>568</v>
      </c>
      <c r="H76" s="5">
        <f ca="1">IFERROR(__xludf.DUMMYFUNCTION("""COMPUTED_VALUE"""),180)</f>
        <v>180</v>
      </c>
      <c r="I76">
        <v>-53</v>
      </c>
      <c r="J76">
        <v>-20</v>
      </c>
      <c r="K76">
        <v>-92</v>
      </c>
      <c r="L76">
        <v>-64</v>
      </c>
      <c r="M76">
        <v>-48</v>
      </c>
      <c r="N76">
        <v>23</v>
      </c>
      <c r="O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2500</v>
      </c>
      <c r="AE76">
        <v>62</v>
      </c>
      <c r="AF76">
        <v>2438</v>
      </c>
      <c r="AG76" s="2">
        <v>2.4799999999999999E-2</v>
      </c>
      <c r="AH76" t="s">
        <v>31</v>
      </c>
      <c r="AI76" s="4">
        <v>466</v>
      </c>
      <c r="AJ76" s="4">
        <v>1279</v>
      </c>
      <c r="AK76" s="4">
        <v>1995</v>
      </c>
      <c r="AL76" s="4">
        <v>1877</v>
      </c>
      <c r="AM76" s="4">
        <v>5617</v>
      </c>
      <c r="AN76" s="5">
        <f ca="1">IFERROR(__xludf.DUMMYFUNCTION("""COMPUTED_VALUE"""),173)</f>
        <v>173</v>
      </c>
    </row>
    <row r="77" spans="1:40" x14ac:dyDescent="0.35">
      <c r="A77" s="1">
        <v>76</v>
      </c>
      <c r="B77" s="7">
        <v>43966</v>
      </c>
      <c r="C77">
        <v>8</v>
      </c>
      <c r="D77">
        <v>7</v>
      </c>
      <c r="E77">
        <v>24</v>
      </c>
      <c r="F77">
        <v>23</v>
      </c>
      <c r="G77" s="5">
        <f ca="1">IFERROR(__xludf.DUMMYFUNCTION("""COMPUTED_VALUE"""),490)</f>
        <v>490</v>
      </c>
      <c r="H77" s="5">
        <f ca="1">IFERROR(__xludf.DUMMYFUNCTION("""COMPUTED_VALUE"""),62)</f>
        <v>62</v>
      </c>
      <c r="I77">
        <v>-50</v>
      </c>
      <c r="J77">
        <v>-14</v>
      </c>
      <c r="K77">
        <v>-91</v>
      </c>
      <c r="L77">
        <v>-65</v>
      </c>
      <c r="M77">
        <v>-46</v>
      </c>
      <c r="N77">
        <v>23</v>
      </c>
      <c r="O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2433</v>
      </c>
      <c r="AE77">
        <v>116</v>
      </c>
      <c r="AF77">
        <v>2317</v>
      </c>
      <c r="AG77" s="2">
        <v>4.7677764079999997E-2</v>
      </c>
      <c r="AH77" t="s">
        <v>31</v>
      </c>
      <c r="AI77" s="4">
        <v>474</v>
      </c>
      <c r="AJ77" s="4">
        <v>1286</v>
      </c>
      <c r="AK77" s="4">
        <v>2019</v>
      </c>
      <c r="AL77" s="4">
        <v>1900</v>
      </c>
      <c r="AM77" s="4">
        <v>5679</v>
      </c>
      <c r="AN77" s="5">
        <f ca="1">IFERROR(__xludf.DUMMYFUNCTION("""COMPUTED_VALUE"""),47)</f>
        <v>47</v>
      </c>
    </row>
    <row r="78" spans="1:40" x14ac:dyDescent="0.35">
      <c r="A78" s="1">
        <v>77</v>
      </c>
      <c r="B78" s="7">
        <v>43967</v>
      </c>
      <c r="C78">
        <v>1</v>
      </c>
      <c r="D78">
        <v>6</v>
      </c>
      <c r="E78">
        <v>101</v>
      </c>
      <c r="F78">
        <v>8</v>
      </c>
      <c r="G78" s="5">
        <f ca="1">IFERROR(__xludf.DUMMYFUNCTION("""COMPUTED_VALUE"""),529)</f>
        <v>529</v>
      </c>
      <c r="H78" s="5">
        <f ca="1">IFERROR(__xludf.DUMMYFUNCTION("""COMPUTED_VALUE"""),116)</f>
        <v>116</v>
      </c>
      <c r="I78">
        <v>-54</v>
      </c>
      <c r="J78">
        <v>-14</v>
      </c>
      <c r="K78">
        <v>-93</v>
      </c>
      <c r="L78">
        <v>-60</v>
      </c>
      <c r="M78">
        <v>-33</v>
      </c>
      <c r="N78">
        <v>18</v>
      </c>
      <c r="O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2006</v>
      </c>
      <c r="AE78">
        <v>127</v>
      </c>
      <c r="AF78">
        <v>1879</v>
      </c>
      <c r="AG78" s="2">
        <v>6.3310069790000006E-2</v>
      </c>
      <c r="AH78" t="s">
        <v>31</v>
      </c>
      <c r="AI78" s="4">
        <v>475</v>
      </c>
      <c r="AJ78" s="4">
        <v>1292</v>
      </c>
      <c r="AK78" s="4">
        <v>2120</v>
      </c>
      <c r="AL78" s="4">
        <v>1908</v>
      </c>
      <c r="AM78" s="4">
        <v>5795</v>
      </c>
      <c r="AN78" s="5">
        <f ca="1">IFERROR(__xludf.DUMMYFUNCTION("""COMPUTED_VALUE"""),109)</f>
        <v>109</v>
      </c>
    </row>
    <row r="79" spans="1:40" x14ac:dyDescent="0.35">
      <c r="A79" s="1">
        <v>78</v>
      </c>
      <c r="B79" s="7">
        <v>43968</v>
      </c>
      <c r="C79">
        <v>3</v>
      </c>
      <c r="D79">
        <v>3</v>
      </c>
      <c r="E79">
        <v>97</v>
      </c>
      <c r="F79">
        <v>24</v>
      </c>
      <c r="G79" s="5">
        <f ca="1">IFERROR(__xludf.DUMMYFUNCTION("""COMPUTED_VALUE"""),489)</f>
        <v>489</v>
      </c>
      <c r="H79" s="5">
        <f ca="1">IFERROR(__xludf.DUMMYFUNCTION("""COMPUTED_VALUE"""),127)</f>
        <v>127</v>
      </c>
      <c r="I79">
        <v>-56</v>
      </c>
      <c r="J79">
        <v>-18</v>
      </c>
      <c r="K79">
        <v>-94</v>
      </c>
      <c r="L79">
        <v>-62</v>
      </c>
      <c r="M79">
        <v>-24</v>
      </c>
      <c r="N79">
        <v>17</v>
      </c>
      <c r="O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1673</v>
      </c>
      <c r="AE79">
        <v>88</v>
      </c>
      <c r="AF79">
        <v>1585</v>
      </c>
      <c r="AG79" s="2">
        <v>5.2600119549999998E-2</v>
      </c>
      <c r="AH79" t="s">
        <v>31</v>
      </c>
      <c r="AI79" s="4">
        <v>478</v>
      </c>
      <c r="AJ79" s="4">
        <v>1295</v>
      </c>
      <c r="AK79" s="4">
        <v>2217</v>
      </c>
      <c r="AL79" s="4">
        <v>1932</v>
      </c>
      <c r="AM79" s="4">
        <v>5922</v>
      </c>
      <c r="AN79" s="5">
        <f ca="1">IFERROR(__xludf.DUMMYFUNCTION("""COMPUTED_VALUE"""),121)</f>
        <v>121</v>
      </c>
    </row>
    <row r="80" spans="1:40" x14ac:dyDescent="0.35">
      <c r="A80" s="1">
        <v>79</v>
      </c>
      <c r="B80" s="7">
        <v>43969</v>
      </c>
      <c r="C80">
        <v>5</v>
      </c>
      <c r="D80">
        <v>6</v>
      </c>
      <c r="E80">
        <v>49</v>
      </c>
      <c r="F80">
        <v>14</v>
      </c>
      <c r="G80" s="5">
        <f ca="1">IFERROR(__xludf.DUMMYFUNCTION("""COMPUTED_VALUE"""),496)</f>
        <v>496</v>
      </c>
      <c r="H80" s="5">
        <f ca="1">IFERROR(__xludf.DUMMYFUNCTION("""COMPUTED_VALUE"""),74)</f>
        <v>74</v>
      </c>
      <c r="I80">
        <v>-51</v>
      </c>
      <c r="J80">
        <v>-22</v>
      </c>
      <c r="K80">
        <v>-92</v>
      </c>
      <c r="L80">
        <v>-64</v>
      </c>
      <c r="M80">
        <v>-46</v>
      </c>
      <c r="N80">
        <v>23</v>
      </c>
      <c r="O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2194</v>
      </c>
      <c r="AE80">
        <v>43</v>
      </c>
      <c r="AF80">
        <v>2151</v>
      </c>
      <c r="AG80" s="2">
        <v>1.9598906110000001E-2</v>
      </c>
      <c r="AH80" t="s">
        <v>31</v>
      </c>
      <c r="AI80" s="4">
        <v>483</v>
      </c>
      <c r="AJ80" s="4">
        <v>1301</v>
      </c>
      <c r="AK80" s="4">
        <v>2266</v>
      </c>
      <c r="AL80" s="4">
        <v>1946</v>
      </c>
      <c r="AM80" s="4">
        <v>5996</v>
      </c>
      <c r="AN80" s="5">
        <f ca="1">IFERROR(__xludf.DUMMYFUNCTION("""COMPUTED_VALUE"""),63)</f>
        <v>63</v>
      </c>
    </row>
    <row r="81" spans="1:40" x14ac:dyDescent="0.35">
      <c r="A81" s="1">
        <v>80</v>
      </c>
      <c r="B81" s="7">
        <v>43970</v>
      </c>
      <c r="C81">
        <v>4</v>
      </c>
      <c r="D81">
        <v>116</v>
      </c>
      <c r="E81">
        <v>-53</v>
      </c>
      <c r="F81">
        <v>-10</v>
      </c>
      <c r="G81" s="5">
        <f ca="1">IFERROR(__xludf.DUMMYFUNCTION("""COMPUTED_VALUE"""),486)</f>
        <v>486</v>
      </c>
      <c r="H81" s="5">
        <f ca="1">IFERROR(__xludf.DUMMYFUNCTION("""COMPUTED_VALUE"""),57)</f>
        <v>57</v>
      </c>
      <c r="I81">
        <v>-47</v>
      </c>
      <c r="J81">
        <v>-8</v>
      </c>
      <c r="K81">
        <v>-92</v>
      </c>
      <c r="L81">
        <v>-61</v>
      </c>
      <c r="M81">
        <v>-47</v>
      </c>
      <c r="N81">
        <v>22</v>
      </c>
      <c r="O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2530</v>
      </c>
      <c r="AE81">
        <v>97</v>
      </c>
      <c r="AF81">
        <v>2433</v>
      </c>
      <c r="AG81" s="2">
        <v>3.8339920950000002E-2</v>
      </c>
      <c r="AH81" t="s">
        <v>31</v>
      </c>
      <c r="AI81" s="4">
        <v>487</v>
      </c>
      <c r="AJ81" s="4">
        <v>1417</v>
      </c>
      <c r="AK81" s="4">
        <v>2213</v>
      </c>
      <c r="AL81" s="4">
        <v>1936</v>
      </c>
      <c r="AM81" s="4">
        <v>6053</v>
      </c>
      <c r="AN81" s="5">
        <f ca="1">IFERROR(__xludf.DUMMYFUNCTION("""COMPUTED_VALUE"""),-63)</f>
        <v>-63</v>
      </c>
    </row>
    <row r="82" spans="1:40" x14ac:dyDescent="0.35">
      <c r="A82" s="1">
        <v>81</v>
      </c>
      <c r="B82" s="7">
        <v>43971</v>
      </c>
      <c r="C82">
        <v>6</v>
      </c>
      <c r="D82">
        <v>8</v>
      </c>
      <c r="E82">
        <v>50</v>
      </c>
      <c r="F82">
        <v>33</v>
      </c>
      <c r="G82" s="5">
        <f ca="1">IFERROR(__xludf.DUMMYFUNCTION("""COMPUTED_VALUE"""),693)</f>
        <v>693</v>
      </c>
      <c r="H82" s="5">
        <f ca="1">IFERROR(__xludf.DUMMYFUNCTION("""COMPUTED_VALUE"""),97)</f>
        <v>97</v>
      </c>
      <c r="I82">
        <v>-48</v>
      </c>
      <c r="J82">
        <v>-14</v>
      </c>
      <c r="K82">
        <v>-91</v>
      </c>
      <c r="L82">
        <v>-61</v>
      </c>
      <c r="M82">
        <v>-47</v>
      </c>
      <c r="N82">
        <v>22</v>
      </c>
      <c r="O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2457</v>
      </c>
      <c r="AE82">
        <v>72</v>
      </c>
      <c r="AF82">
        <v>2385</v>
      </c>
      <c r="AG82" s="2">
        <v>2.9304029299999999E-2</v>
      </c>
      <c r="AH82" t="s">
        <v>31</v>
      </c>
      <c r="AI82" s="4">
        <v>493</v>
      </c>
      <c r="AJ82" s="4">
        <v>1425</v>
      </c>
      <c r="AK82" s="4">
        <v>2263</v>
      </c>
      <c r="AL82" s="4">
        <v>1969</v>
      </c>
      <c r="AM82" s="4">
        <v>6150</v>
      </c>
      <c r="AN82" s="5">
        <f ca="1">IFERROR(__xludf.DUMMYFUNCTION("""COMPUTED_VALUE"""),83)</f>
        <v>83</v>
      </c>
    </row>
    <row r="83" spans="1:40" x14ac:dyDescent="0.35">
      <c r="A83" s="1">
        <v>82</v>
      </c>
      <c r="B83" s="7">
        <v>43972</v>
      </c>
      <c r="C83">
        <v>5</v>
      </c>
      <c r="D83">
        <v>111</v>
      </c>
      <c r="E83">
        <v>-32</v>
      </c>
      <c r="F83">
        <v>-14</v>
      </c>
      <c r="G83" s="5">
        <f ca="1">IFERROR(__xludf.DUMMYFUNCTION("""COMPUTED_VALUE"""),973)</f>
        <v>973</v>
      </c>
      <c r="H83" s="5">
        <f ca="1">IFERROR(__xludf.DUMMYFUNCTION("""COMPUTED_VALUE"""),70)</f>
        <v>70</v>
      </c>
      <c r="I83">
        <v>-46</v>
      </c>
      <c r="J83">
        <v>-1</v>
      </c>
      <c r="K83">
        <v>-90</v>
      </c>
      <c r="L83">
        <v>-65</v>
      </c>
      <c r="M83">
        <v>-69</v>
      </c>
      <c r="N83">
        <v>26</v>
      </c>
      <c r="O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1907</v>
      </c>
      <c r="AE83">
        <v>97</v>
      </c>
      <c r="AF83">
        <v>1810</v>
      </c>
      <c r="AG83" s="2">
        <v>5.0865233349999997E-2</v>
      </c>
      <c r="AH83" t="s">
        <v>31</v>
      </c>
      <c r="AI83" s="4">
        <v>498</v>
      </c>
      <c r="AJ83" s="4">
        <v>1536</v>
      </c>
      <c r="AK83" s="4">
        <v>2231</v>
      </c>
      <c r="AL83" s="4">
        <v>1955</v>
      </c>
      <c r="AM83" s="4">
        <v>6220</v>
      </c>
      <c r="AN83" s="5">
        <f ca="1">IFERROR(__xludf.DUMMYFUNCTION("""COMPUTED_VALUE"""),-46)</f>
        <v>-46</v>
      </c>
    </row>
    <row r="84" spans="1:40" x14ac:dyDescent="0.35">
      <c r="A84" s="1">
        <v>83</v>
      </c>
      <c r="B84" s="7">
        <v>43973</v>
      </c>
      <c r="C84">
        <v>3</v>
      </c>
      <c r="D84">
        <v>22</v>
      </c>
      <c r="E84">
        <v>51</v>
      </c>
      <c r="F84">
        <v>20</v>
      </c>
      <c r="G84" s="5">
        <f ca="1">IFERROR(__xludf.DUMMYFUNCTION("""COMPUTED_VALUE"""),634)</f>
        <v>634</v>
      </c>
      <c r="H84" s="5">
        <f ca="1">IFERROR(__xludf.DUMMYFUNCTION("""COMPUTED_VALUE"""),96)</f>
        <v>96</v>
      </c>
      <c r="I84">
        <v>-46</v>
      </c>
      <c r="J84">
        <v>-4</v>
      </c>
      <c r="K84">
        <v>-90</v>
      </c>
      <c r="L84">
        <v>-63</v>
      </c>
      <c r="M84">
        <v>-60</v>
      </c>
      <c r="N84">
        <v>27</v>
      </c>
      <c r="O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3214</v>
      </c>
      <c r="AE84">
        <v>127</v>
      </c>
      <c r="AF84">
        <v>3087</v>
      </c>
      <c r="AG84" s="2">
        <v>3.951462352E-2</v>
      </c>
      <c r="AH84" t="s">
        <v>31</v>
      </c>
      <c r="AI84" s="4">
        <v>501</v>
      </c>
      <c r="AJ84" s="4">
        <v>1558</v>
      </c>
      <c r="AK84" s="4">
        <v>2282</v>
      </c>
      <c r="AL84" s="4">
        <v>1975</v>
      </c>
      <c r="AM84" s="4">
        <v>6316</v>
      </c>
      <c r="AN84" s="5">
        <f ca="1">IFERROR(__xludf.DUMMYFUNCTION("""COMPUTED_VALUE"""),71)</f>
        <v>71</v>
      </c>
    </row>
    <row r="85" spans="1:40" x14ac:dyDescent="0.35">
      <c r="A85" s="1">
        <v>84</v>
      </c>
      <c r="B85" s="7">
        <v>43974</v>
      </c>
      <c r="C85">
        <v>3</v>
      </c>
      <c r="D85">
        <v>29</v>
      </c>
      <c r="E85">
        <v>64</v>
      </c>
      <c r="F85">
        <v>31</v>
      </c>
      <c r="G85" s="5">
        <f ca="1">IFERROR(__xludf.DUMMYFUNCTION("""COMPUTED_VALUE"""),949)</f>
        <v>949</v>
      </c>
      <c r="H85" s="5">
        <f ca="1">IFERROR(__xludf.DUMMYFUNCTION("""COMPUTED_VALUE"""),127)</f>
        <v>127</v>
      </c>
      <c r="I85">
        <v>-54</v>
      </c>
      <c r="J85">
        <v>-6</v>
      </c>
      <c r="K85">
        <v>-92</v>
      </c>
      <c r="L85">
        <v>-57</v>
      </c>
      <c r="M85">
        <v>-48</v>
      </c>
      <c r="N85">
        <v>19</v>
      </c>
      <c r="O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1764</v>
      </c>
      <c r="AE85">
        <v>118</v>
      </c>
      <c r="AF85">
        <v>1646</v>
      </c>
      <c r="AG85" s="2">
        <v>6.6893424039999996E-2</v>
      </c>
      <c r="AH85" t="s">
        <v>31</v>
      </c>
      <c r="AI85" s="4">
        <v>504</v>
      </c>
      <c r="AJ85" s="4">
        <v>1587</v>
      </c>
      <c r="AK85" s="4">
        <v>2346</v>
      </c>
      <c r="AL85" s="4">
        <v>2006</v>
      </c>
      <c r="AM85" s="4">
        <v>6443</v>
      </c>
      <c r="AN85" s="5">
        <f ca="1">IFERROR(__xludf.DUMMYFUNCTION("""COMPUTED_VALUE"""),95)</f>
        <v>95</v>
      </c>
    </row>
    <row r="86" spans="1:40" x14ac:dyDescent="0.35">
      <c r="A86" s="1">
        <v>85</v>
      </c>
      <c r="B86" s="7">
        <v>43975</v>
      </c>
      <c r="C86">
        <v>1</v>
      </c>
      <c r="D86">
        <v>7</v>
      </c>
      <c r="E86">
        <v>85</v>
      </c>
      <c r="F86">
        <v>25</v>
      </c>
      <c r="G86" s="5">
        <f ca="1">IFERROR(__xludf.DUMMYFUNCTION("""COMPUTED_VALUE"""),526)</f>
        <v>526</v>
      </c>
      <c r="H86" s="5">
        <f ca="1">IFERROR(__xludf.DUMMYFUNCTION("""COMPUTED_VALUE"""),118)</f>
        <v>118</v>
      </c>
      <c r="I86">
        <v>-65</v>
      </c>
      <c r="J86">
        <v>-34</v>
      </c>
      <c r="K86">
        <v>-93</v>
      </c>
      <c r="L86">
        <v>-61</v>
      </c>
      <c r="M86">
        <v>-37</v>
      </c>
      <c r="N86">
        <v>13</v>
      </c>
      <c r="O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871</v>
      </c>
      <c r="AE86">
        <v>67</v>
      </c>
      <c r="AF86">
        <v>804</v>
      </c>
      <c r="AG86" s="2">
        <v>7.692307692E-2</v>
      </c>
      <c r="AH86" t="s">
        <v>31</v>
      </c>
      <c r="AI86" s="4">
        <v>505</v>
      </c>
      <c r="AJ86" s="4">
        <v>1594</v>
      </c>
      <c r="AK86" s="4">
        <v>2431</v>
      </c>
      <c r="AL86" s="4">
        <v>2031</v>
      </c>
      <c r="AM86" s="4">
        <v>6561</v>
      </c>
      <c r="AN86" s="5">
        <f ca="1">IFERROR(__xludf.DUMMYFUNCTION("""COMPUTED_VALUE"""),110)</f>
        <v>110</v>
      </c>
    </row>
    <row r="87" spans="1:40" x14ac:dyDescent="0.35">
      <c r="A87" s="1">
        <v>86</v>
      </c>
      <c r="B87" s="7">
        <v>43976</v>
      </c>
      <c r="C87">
        <v>1</v>
      </c>
      <c r="D87">
        <v>54</v>
      </c>
      <c r="E87">
        <v>-1</v>
      </c>
      <c r="F87">
        <v>13</v>
      </c>
      <c r="G87" s="5">
        <f ca="1">IFERROR(__xludf.DUMMYFUNCTION("""COMPUTED_VALUE"""),479)</f>
        <v>479</v>
      </c>
      <c r="H87" s="5">
        <f ca="1">IFERROR(__xludf.DUMMYFUNCTION("""COMPUTED_VALUE"""),67)</f>
        <v>67</v>
      </c>
      <c r="I87">
        <v>-59</v>
      </c>
      <c r="J87">
        <v>-28</v>
      </c>
      <c r="K87">
        <v>-91</v>
      </c>
      <c r="L87">
        <v>-73</v>
      </c>
      <c r="M87">
        <v>-78</v>
      </c>
      <c r="N87">
        <v>26</v>
      </c>
      <c r="O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1321</v>
      </c>
      <c r="AE87">
        <v>93</v>
      </c>
      <c r="AF87">
        <v>1228</v>
      </c>
      <c r="AG87" s="2">
        <v>7.0401211199999994E-2</v>
      </c>
      <c r="AH87" t="s">
        <v>31</v>
      </c>
      <c r="AI87" s="4">
        <v>506</v>
      </c>
      <c r="AJ87" s="4">
        <v>1648</v>
      </c>
      <c r="AK87" s="4">
        <v>2430</v>
      </c>
      <c r="AL87" s="4">
        <v>2044</v>
      </c>
      <c r="AM87" s="4">
        <v>6628</v>
      </c>
      <c r="AN87" s="5">
        <f ca="1">IFERROR(__xludf.DUMMYFUNCTION("""COMPUTED_VALUE"""),12)</f>
        <v>12</v>
      </c>
    </row>
    <row r="88" spans="1:40" x14ac:dyDescent="0.35">
      <c r="A88" s="1">
        <v>87</v>
      </c>
      <c r="B88" s="7">
        <v>43977</v>
      </c>
      <c r="C88">
        <v>2</v>
      </c>
      <c r="D88">
        <v>30</v>
      </c>
      <c r="E88">
        <v>29</v>
      </c>
      <c r="F88">
        <v>0</v>
      </c>
      <c r="G88" s="5">
        <f ca="1">IFERROR(__xludf.DUMMYFUNCTION("""COMPUTED_VALUE"""),415)</f>
        <v>415</v>
      </c>
      <c r="H88" s="5">
        <f ca="1">IFERROR(__xludf.DUMMYFUNCTION("""COMPUTED_VALUE"""),61)</f>
        <v>61</v>
      </c>
      <c r="I88">
        <v>-54</v>
      </c>
      <c r="J88">
        <v>-21</v>
      </c>
      <c r="K88">
        <v>-91</v>
      </c>
      <c r="L88">
        <v>-66</v>
      </c>
      <c r="M88">
        <v>-58</v>
      </c>
      <c r="N88">
        <v>23</v>
      </c>
      <c r="O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1972</v>
      </c>
      <c r="AE88">
        <v>105</v>
      </c>
      <c r="AF88">
        <v>1867</v>
      </c>
      <c r="AG88" s="2">
        <v>5.3245436110000002E-2</v>
      </c>
      <c r="AH88" t="s">
        <v>31</v>
      </c>
      <c r="AI88" s="4">
        <v>508</v>
      </c>
      <c r="AJ88" s="4">
        <v>1678</v>
      </c>
      <c r="AK88" s="4">
        <v>2459</v>
      </c>
      <c r="AL88" s="4">
        <v>2044</v>
      </c>
      <c r="AM88" s="4">
        <v>6689</v>
      </c>
      <c r="AN88" s="5">
        <f ca="1">IFERROR(__xludf.DUMMYFUNCTION("""COMPUTED_VALUE"""),29)</f>
        <v>29</v>
      </c>
    </row>
    <row r="89" spans="1:40" x14ac:dyDescent="0.35">
      <c r="A89" s="1">
        <v>88</v>
      </c>
      <c r="B89" s="7">
        <v>43978</v>
      </c>
      <c r="C89">
        <v>2</v>
      </c>
      <c r="D89">
        <v>20</v>
      </c>
      <c r="E89">
        <v>125</v>
      </c>
      <c r="F89">
        <v>-10</v>
      </c>
      <c r="G89" s="5">
        <f ca="1">IFERROR(__xludf.DUMMYFUNCTION("""COMPUTED_VALUE"""),686)</f>
        <v>686</v>
      </c>
      <c r="H89" s="5">
        <f ca="1">IFERROR(__xludf.DUMMYFUNCTION("""COMPUTED_VALUE"""),137)</f>
        <v>137</v>
      </c>
      <c r="I89">
        <v>-52</v>
      </c>
      <c r="J89">
        <v>-21</v>
      </c>
      <c r="K89">
        <v>-91</v>
      </c>
      <c r="L89">
        <v>-65</v>
      </c>
      <c r="M89">
        <v>-52</v>
      </c>
      <c r="N89">
        <v>23</v>
      </c>
      <c r="O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2271</v>
      </c>
      <c r="AE89">
        <v>103</v>
      </c>
      <c r="AF89">
        <v>2168</v>
      </c>
      <c r="AG89" s="2">
        <v>4.53544694E-2</v>
      </c>
      <c r="AH89" t="s">
        <v>31</v>
      </c>
      <c r="AI89" s="4">
        <v>510</v>
      </c>
      <c r="AJ89" s="4">
        <v>1698</v>
      </c>
      <c r="AK89" s="4">
        <v>2584</v>
      </c>
      <c r="AL89" s="4">
        <v>2034</v>
      </c>
      <c r="AM89" s="4">
        <v>6826</v>
      </c>
      <c r="AN89" s="5">
        <f ca="1">IFERROR(__xludf.DUMMYFUNCTION("""COMPUTED_VALUE"""),115)</f>
        <v>115</v>
      </c>
    </row>
    <row r="90" spans="1:40" x14ac:dyDescent="0.35">
      <c r="A90" s="1">
        <v>89</v>
      </c>
      <c r="B90" s="7">
        <v>43979</v>
      </c>
      <c r="C90">
        <v>4</v>
      </c>
      <c r="D90">
        <v>21</v>
      </c>
      <c r="E90">
        <v>57</v>
      </c>
      <c r="F90">
        <v>21</v>
      </c>
      <c r="G90" s="5">
        <f ca="1">IFERROR(__xludf.DUMMYFUNCTION("""COMPUTED_VALUE"""),687)</f>
        <v>687</v>
      </c>
      <c r="H90" s="5">
        <f ca="1">IFERROR(__xludf.DUMMYFUNCTION("""COMPUTED_VALUE"""),103)</f>
        <v>103</v>
      </c>
      <c r="I90">
        <v>-50</v>
      </c>
      <c r="J90">
        <v>-17</v>
      </c>
      <c r="K90">
        <v>-91</v>
      </c>
      <c r="L90">
        <v>-64</v>
      </c>
      <c r="M90">
        <v>-49</v>
      </c>
      <c r="N90">
        <v>22</v>
      </c>
      <c r="O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2768</v>
      </c>
      <c r="AE90">
        <v>124</v>
      </c>
      <c r="AF90">
        <v>2644</v>
      </c>
      <c r="AG90" s="2">
        <v>4.4797687859999998E-2</v>
      </c>
      <c r="AH90" t="s">
        <v>31</v>
      </c>
      <c r="AI90" s="4">
        <v>514</v>
      </c>
      <c r="AJ90" s="4">
        <v>1719</v>
      </c>
      <c r="AK90" s="4">
        <v>2641</v>
      </c>
      <c r="AL90" s="4">
        <v>2055</v>
      </c>
      <c r="AM90" s="4">
        <v>6929</v>
      </c>
      <c r="AN90" s="5">
        <f ca="1">IFERROR(__xludf.DUMMYFUNCTION("""COMPUTED_VALUE"""),78)</f>
        <v>78</v>
      </c>
    </row>
    <row r="91" spans="1:40" x14ac:dyDescent="0.35">
      <c r="A91" s="1">
        <v>90</v>
      </c>
      <c r="B91" s="7">
        <v>43980</v>
      </c>
      <c r="C91">
        <v>3</v>
      </c>
      <c r="D91">
        <v>88</v>
      </c>
      <c r="E91">
        <v>81</v>
      </c>
      <c r="F91">
        <v>-48</v>
      </c>
      <c r="G91" s="5">
        <f ca="1">IFERROR(__xludf.DUMMYFUNCTION("""COMPUTED_VALUE"""),678)</f>
        <v>678</v>
      </c>
      <c r="H91" s="5">
        <f ca="1">IFERROR(__xludf.DUMMYFUNCTION("""COMPUTED_VALUE"""),124)</f>
        <v>124</v>
      </c>
      <c r="I91">
        <v>-49</v>
      </c>
      <c r="J91">
        <v>-16</v>
      </c>
      <c r="K91">
        <v>-90</v>
      </c>
      <c r="L91">
        <v>-64</v>
      </c>
      <c r="M91">
        <v>-47</v>
      </c>
      <c r="N91">
        <v>24</v>
      </c>
      <c r="O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2392</v>
      </c>
      <c r="AE91">
        <v>100</v>
      </c>
      <c r="AF91">
        <v>2292</v>
      </c>
      <c r="AG91" s="2">
        <v>4.1806020069999998E-2</v>
      </c>
      <c r="AH91" t="s">
        <v>31</v>
      </c>
      <c r="AI91" s="4">
        <v>517</v>
      </c>
      <c r="AJ91" s="4">
        <v>1807</v>
      </c>
      <c r="AK91" s="4">
        <v>2722</v>
      </c>
      <c r="AL91" s="4">
        <v>2007</v>
      </c>
      <c r="AM91" s="4">
        <v>7053</v>
      </c>
      <c r="AN91" s="5">
        <f ca="1">IFERROR(__xludf.DUMMYFUNCTION("""COMPUTED_VALUE"""),33)</f>
        <v>33</v>
      </c>
    </row>
    <row r="92" spans="1:40" x14ac:dyDescent="0.35">
      <c r="A92" s="1">
        <v>91</v>
      </c>
      <c r="B92" s="7">
        <v>43981</v>
      </c>
      <c r="C92">
        <v>2</v>
      </c>
      <c r="D92">
        <v>196</v>
      </c>
      <c r="E92">
        <v>59</v>
      </c>
      <c r="F92">
        <v>-159</v>
      </c>
      <c r="G92" s="5">
        <f ca="1">IFERROR(__xludf.DUMMYFUNCTION("""COMPUTED_VALUE"""),557)</f>
        <v>557</v>
      </c>
      <c r="H92" s="5">
        <f ca="1">IFERROR(__xludf.DUMMYFUNCTION("""COMPUTED_VALUE"""),98)</f>
        <v>98</v>
      </c>
      <c r="I92">
        <v>-54</v>
      </c>
      <c r="J92">
        <v>-18</v>
      </c>
      <c r="K92">
        <v>-91</v>
      </c>
      <c r="L92">
        <v>-60</v>
      </c>
      <c r="M92">
        <v>-33</v>
      </c>
      <c r="N92">
        <v>17</v>
      </c>
      <c r="O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2808</v>
      </c>
      <c r="AE92">
        <v>119</v>
      </c>
      <c r="AF92">
        <v>2689</v>
      </c>
      <c r="AG92" s="2">
        <v>4.2378917379999999E-2</v>
      </c>
      <c r="AH92" t="s">
        <v>31</v>
      </c>
      <c r="AI92" s="4">
        <v>519</v>
      </c>
      <c r="AJ92" s="4">
        <v>2003</v>
      </c>
      <c r="AK92" s="4">
        <v>2781</v>
      </c>
      <c r="AL92" s="4">
        <v>1848</v>
      </c>
      <c r="AM92" s="4">
        <v>7151</v>
      </c>
      <c r="AN92" s="5">
        <f ca="1">IFERROR(__xludf.DUMMYFUNCTION("""COMPUTED_VALUE"""),-100)</f>
        <v>-100</v>
      </c>
    </row>
    <row r="93" spans="1:40" x14ac:dyDescent="0.35">
      <c r="A93" s="1">
        <v>92</v>
      </c>
      <c r="B93" s="7">
        <v>43982</v>
      </c>
      <c r="C93">
        <v>1</v>
      </c>
      <c r="D93">
        <v>99</v>
      </c>
      <c r="E93">
        <v>46</v>
      </c>
      <c r="F93">
        <v>-25</v>
      </c>
      <c r="G93" s="5">
        <f ca="1">IFERROR(__xludf.DUMMYFUNCTION("""COMPUTED_VALUE"""),700)</f>
        <v>700</v>
      </c>
      <c r="H93" s="5">
        <f ca="1">IFERROR(__xludf.DUMMYFUNCTION("""COMPUTED_VALUE"""),121)</f>
        <v>121</v>
      </c>
      <c r="I93">
        <v>-56</v>
      </c>
      <c r="J93">
        <v>-23</v>
      </c>
      <c r="K93">
        <v>-93</v>
      </c>
      <c r="L93">
        <v>-60</v>
      </c>
      <c r="M93">
        <v>-22</v>
      </c>
      <c r="N93">
        <v>15</v>
      </c>
      <c r="O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1858</v>
      </c>
      <c r="AE93">
        <v>111</v>
      </c>
      <c r="AF93">
        <v>1747</v>
      </c>
      <c r="AG93" s="2">
        <v>5.9741657699999999E-2</v>
      </c>
      <c r="AH93" t="s">
        <v>31</v>
      </c>
      <c r="AI93" s="4">
        <v>520</v>
      </c>
      <c r="AJ93" s="4">
        <v>2102</v>
      </c>
      <c r="AK93" s="4">
        <v>2827</v>
      </c>
      <c r="AL93" s="4">
        <v>1823</v>
      </c>
      <c r="AM93" s="4">
        <v>7272</v>
      </c>
      <c r="AN93" s="5">
        <f ca="1">IFERROR(__xludf.DUMMYFUNCTION("""COMPUTED_VALUE"""),21)</f>
        <v>21</v>
      </c>
    </row>
    <row r="94" spans="1:40" x14ac:dyDescent="0.35">
      <c r="A94" s="1">
        <v>93</v>
      </c>
      <c r="B94" s="7">
        <v>43983</v>
      </c>
      <c r="C94">
        <v>1</v>
      </c>
      <c r="D94">
        <v>144</v>
      </c>
      <c r="E94">
        <v>-5</v>
      </c>
      <c r="F94">
        <v>-29</v>
      </c>
      <c r="G94" s="5">
        <f ca="1">IFERROR(__xludf.DUMMYFUNCTION("""COMPUTED_VALUE"""),467)</f>
        <v>467</v>
      </c>
      <c r="H94" s="5">
        <f ca="1">IFERROR(__xludf.DUMMYFUNCTION("""COMPUTED_VALUE"""),111)</f>
        <v>111</v>
      </c>
      <c r="I94">
        <v>-51</v>
      </c>
      <c r="J94">
        <v>-18</v>
      </c>
      <c r="K94">
        <v>-90</v>
      </c>
      <c r="L94">
        <v>-69</v>
      </c>
      <c r="M94">
        <v>-68</v>
      </c>
      <c r="N94">
        <v>27</v>
      </c>
      <c r="O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1789</v>
      </c>
      <c r="AE94">
        <v>73</v>
      </c>
      <c r="AF94">
        <v>1716</v>
      </c>
      <c r="AG94" s="2">
        <v>4.0804918949999998E-2</v>
      </c>
      <c r="AH94" t="s">
        <v>31</v>
      </c>
      <c r="AI94" s="4">
        <v>521</v>
      </c>
      <c r="AJ94" s="4">
        <v>2246</v>
      </c>
      <c r="AK94" s="4">
        <v>2822</v>
      </c>
      <c r="AL94" s="4">
        <v>1794</v>
      </c>
      <c r="AM94" s="4">
        <v>7383</v>
      </c>
      <c r="AN94" s="5">
        <f ca="1">IFERROR(__xludf.DUMMYFUNCTION("""COMPUTED_VALUE"""),-34)</f>
        <v>-34</v>
      </c>
    </row>
    <row r="95" spans="1:40" x14ac:dyDescent="0.35">
      <c r="A95" s="1">
        <v>94</v>
      </c>
      <c r="B95" s="7">
        <v>43984</v>
      </c>
      <c r="C95">
        <v>4</v>
      </c>
      <c r="D95">
        <v>159</v>
      </c>
      <c r="E95">
        <v>-36</v>
      </c>
      <c r="F95">
        <v>-51</v>
      </c>
      <c r="G95" s="5">
        <f ca="1">IFERROR(__xludf.DUMMYFUNCTION("""COMPUTED_VALUE"""),609)</f>
        <v>609</v>
      </c>
      <c r="H95" s="5">
        <f ca="1">IFERROR(__xludf.DUMMYFUNCTION("""COMPUTED_VALUE"""),76)</f>
        <v>76</v>
      </c>
      <c r="I95">
        <v>-46</v>
      </c>
      <c r="J95">
        <v>-14</v>
      </c>
      <c r="K95">
        <v>-91</v>
      </c>
      <c r="L95">
        <v>-58</v>
      </c>
      <c r="M95">
        <v>-41</v>
      </c>
      <c r="N95">
        <v>19</v>
      </c>
      <c r="O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2371</v>
      </c>
      <c r="AE95">
        <v>101</v>
      </c>
      <c r="AF95">
        <v>2270</v>
      </c>
      <c r="AG95" s="2">
        <v>4.2598059889999998E-2</v>
      </c>
      <c r="AH95" t="s">
        <v>31</v>
      </c>
      <c r="AI95" s="4">
        <v>525</v>
      </c>
      <c r="AJ95" s="4">
        <v>2405</v>
      </c>
      <c r="AK95" s="4">
        <v>2786</v>
      </c>
      <c r="AL95" s="4">
        <v>1743</v>
      </c>
      <c r="AM95" s="4">
        <v>7459</v>
      </c>
      <c r="AN95" s="5">
        <f ca="1">IFERROR(__xludf.DUMMYFUNCTION("""COMPUTED_VALUE"""),-87)</f>
        <v>-87</v>
      </c>
    </row>
    <row r="96" spans="1:40" x14ac:dyDescent="0.35">
      <c r="A96" s="1">
        <v>95</v>
      </c>
      <c r="B96" s="7">
        <v>43985</v>
      </c>
      <c r="C96">
        <v>4</v>
      </c>
      <c r="D96">
        <v>129</v>
      </c>
      <c r="E96">
        <v>-9</v>
      </c>
      <c r="F96">
        <v>-44</v>
      </c>
      <c r="G96" s="5">
        <f ca="1">IFERROR(__xludf.DUMMYFUNCTION("""COMPUTED_VALUE"""),684)</f>
        <v>684</v>
      </c>
      <c r="H96" s="5">
        <f ca="1">IFERROR(__xludf.DUMMYFUNCTION("""COMPUTED_VALUE"""),80)</f>
        <v>80</v>
      </c>
      <c r="I96">
        <v>-47</v>
      </c>
      <c r="J96">
        <v>-16</v>
      </c>
      <c r="K96">
        <v>-91</v>
      </c>
      <c r="L96">
        <v>-59</v>
      </c>
      <c r="M96">
        <v>-42</v>
      </c>
      <c r="N96">
        <v>20</v>
      </c>
      <c r="O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3422</v>
      </c>
      <c r="AE96">
        <v>62</v>
      </c>
      <c r="AF96">
        <v>3360</v>
      </c>
      <c r="AG96" s="2">
        <v>1.8118059610000001E-2</v>
      </c>
      <c r="AH96" t="s">
        <v>31</v>
      </c>
      <c r="AI96" s="4">
        <v>529</v>
      </c>
      <c r="AJ96" s="4">
        <v>2534</v>
      </c>
      <c r="AK96" s="4">
        <v>2777</v>
      </c>
      <c r="AL96" s="4">
        <v>1699</v>
      </c>
      <c r="AM96" s="4">
        <v>7539</v>
      </c>
      <c r="AN96" s="5">
        <f ca="1">IFERROR(__xludf.DUMMYFUNCTION("""COMPUTED_VALUE"""),-53)</f>
        <v>-53</v>
      </c>
    </row>
    <row r="97" spans="1:40" x14ac:dyDescent="0.35">
      <c r="A97" s="1">
        <v>96</v>
      </c>
      <c r="B97" s="7">
        <v>43986</v>
      </c>
      <c r="C97">
        <v>1</v>
      </c>
      <c r="D97">
        <v>73</v>
      </c>
      <c r="E97">
        <v>16</v>
      </c>
      <c r="F97">
        <v>-29</v>
      </c>
      <c r="G97" s="5">
        <f ca="1">IFERROR(__xludf.DUMMYFUNCTION("""COMPUTED_VALUE"""),585)</f>
        <v>585</v>
      </c>
      <c r="H97" s="5">
        <f ca="1">IFERROR(__xludf.DUMMYFUNCTION("""COMPUTED_VALUE"""),61)</f>
        <v>61</v>
      </c>
      <c r="I97">
        <v>-46</v>
      </c>
      <c r="J97">
        <v>-14</v>
      </c>
      <c r="K97">
        <v>-90</v>
      </c>
      <c r="L97">
        <v>-59</v>
      </c>
      <c r="M97">
        <v>-41</v>
      </c>
      <c r="N97">
        <v>20</v>
      </c>
      <c r="O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2738</v>
      </c>
      <c r="AE97">
        <v>83</v>
      </c>
      <c r="AF97">
        <v>2655</v>
      </c>
      <c r="AG97" s="2">
        <v>3.0314097880000002E-2</v>
      </c>
      <c r="AH97" t="s">
        <v>31</v>
      </c>
      <c r="AI97" s="4">
        <v>530</v>
      </c>
      <c r="AJ97" s="4">
        <v>2607</v>
      </c>
      <c r="AK97" s="4">
        <v>2793</v>
      </c>
      <c r="AL97" s="4">
        <v>1670</v>
      </c>
      <c r="AM97" s="4">
        <v>7600</v>
      </c>
      <c r="AN97" s="5">
        <f ca="1">IFERROR(__xludf.DUMMYFUNCTION("""COMPUTED_VALUE"""),-13)</f>
        <v>-13</v>
      </c>
    </row>
    <row r="98" spans="1:40" x14ac:dyDescent="0.35">
      <c r="A98" s="1">
        <v>97</v>
      </c>
      <c r="B98" s="7">
        <v>43987</v>
      </c>
      <c r="C98">
        <v>2</v>
      </c>
      <c r="D98">
        <v>144</v>
      </c>
      <c r="E98">
        <v>-25</v>
      </c>
      <c r="F98">
        <v>-37</v>
      </c>
      <c r="G98" s="5">
        <f ca="1">IFERROR(__xludf.DUMMYFUNCTION("""COMPUTED_VALUE"""),703)</f>
        <v>703</v>
      </c>
      <c r="H98" s="5">
        <f ca="1">IFERROR(__xludf.DUMMYFUNCTION("""COMPUTED_VALUE"""),84)</f>
        <v>84</v>
      </c>
      <c r="I98">
        <v>-44</v>
      </c>
      <c r="J98">
        <v>-13</v>
      </c>
      <c r="K98">
        <v>-88</v>
      </c>
      <c r="L98">
        <v>-58</v>
      </c>
      <c r="M98">
        <v>-38</v>
      </c>
      <c r="N98">
        <v>21</v>
      </c>
      <c r="O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2864</v>
      </c>
      <c r="AE98">
        <v>102</v>
      </c>
      <c r="AF98">
        <v>2762</v>
      </c>
      <c r="AG98" s="2">
        <v>3.5614525139999999E-2</v>
      </c>
      <c r="AH98" t="s">
        <v>31</v>
      </c>
      <c r="AI98" s="4">
        <v>532</v>
      </c>
      <c r="AJ98" s="4">
        <v>2751</v>
      </c>
      <c r="AK98" s="4">
        <v>2768</v>
      </c>
      <c r="AL98" s="4">
        <v>1633</v>
      </c>
      <c r="AM98" s="4">
        <v>7684</v>
      </c>
      <c r="AN98" s="5">
        <f ca="1">IFERROR(__xludf.DUMMYFUNCTION("""COMPUTED_VALUE"""),-62)</f>
        <v>-62</v>
      </c>
    </row>
    <row r="99" spans="1:40" x14ac:dyDescent="0.35">
      <c r="A99" s="1">
        <v>98</v>
      </c>
      <c r="B99" s="7">
        <v>43988</v>
      </c>
      <c r="C99">
        <v>3</v>
      </c>
      <c r="D99">
        <v>89</v>
      </c>
      <c r="E99">
        <v>8</v>
      </c>
      <c r="F99">
        <v>2</v>
      </c>
      <c r="G99" s="5">
        <f ca="1">IFERROR(__xludf.DUMMYFUNCTION("""COMPUTED_VALUE"""),993)</f>
        <v>993</v>
      </c>
      <c r="H99" s="5">
        <f ca="1">IFERROR(__xludf.DUMMYFUNCTION("""COMPUTED_VALUE"""),102)</f>
        <v>102</v>
      </c>
      <c r="I99">
        <v>-48</v>
      </c>
      <c r="J99">
        <v>-13</v>
      </c>
      <c r="K99">
        <v>-90</v>
      </c>
      <c r="L99">
        <v>-55</v>
      </c>
      <c r="M99">
        <v>-27</v>
      </c>
      <c r="N99">
        <v>15</v>
      </c>
      <c r="O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3334</v>
      </c>
      <c r="AE99">
        <v>160</v>
      </c>
      <c r="AF99">
        <v>3174</v>
      </c>
      <c r="AG99" s="2">
        <v>4.7990401920000002E-2</v>
      </c>
      <c r="AH99" t="s">
        <v>31</v>
      </c>
      <c r="AI99" s="4">
        <v>535</v>
      </c>
      <c r="AJ99" s="4">
        <v>2840</v>
      </c>
      <c r="AK99" s="4">
        <v>2776</v>
      </c>
      <c r="AL99" s="4">
        <v>1635</v>
      </c>
      <c r="AM99" s="4">
        <v>7786</v>
      </c>
      <c r="AN99" s="5">
        <f ca="1">IFERROR(__xludf.DUMMYFUNCTION("""COMPUTED_VALUE"""),10)</f>
        <v>10</v>
      </c>
    </row>
    <row r="100" spans="1:40" x14ac:dyDescent="0.35">
      <c r="A100" s="1">
        <v>99</v>
      </c>
      <c r="B100" s="7">
        <v>43989</v>
      </c>
      <c r="C100">
        <v>2</v>
      </c>
      <c r="D100">
        <v>330</v>
      </c>
      <c r="E100">
        <v>18</v>
      </c>
      <c r="F100">
        <v>-190</v>
      </c>
      <c r="G100" s="5">
        <f ca="1">IFERROR(__xludf.DUMMYFUNCTION("""COMPUTED_VALUE"""),672)</f>
        <v>672</v>
      </c>
      <c r="H100" s="5">
        <f ca="1">IFERROR(__xludf.DUMMYFUNCTION("""COMPUTED_VALUE"""),160)</f>
        <v>160</v>
      </c>
      <c r="I100">
        <v>-52</v>
      </c>
      <c r="J100">
        <v>-18</v>
      </c>
      <c r="K100">
        <v>-91</v>
      </c>
      <c r="L100">
        <v>-56</v>
      </c>
      <c r="M100">
        <v>-20</v>
      </c>
      <c r="N100">
        <v>14</v>
      </c>
      <c r="O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1808</v>
      </c>
      <c r="AE100">
        <v>96</v>
      </c>
      <c r="AF100">
        <v>1712</v>
      </c>
      <c r="AG100" s="2">
        <v>5.3097345130000001E-2</v>
      </c>
      <c r="AH100" t="s">
        <v>31</v>
      </c>
      <c r="AI100" s="4">
        <v>537</v>
      </c>
      <c r="AJ100" s="4">
        <v>3170</v>
      </c>
      <c r="AK100" s="4">
        <v>2794</v>
      </c>
      <c r="AL100" s="4">
        <v>1445</v>
      </c>
      <c r="AM100" s="4">
        <v>7946</v>
      </c>
      <c r="AN100" s="5">
        <f ca="1">IFERROR(__xludf.DUMMYFUNCTION("""COMPUTED_VALUE"""),-172)</f>
        <v>-172</v>
      </c>
    </row>
    <row r="101" spans="1:40" x14ac:dyDescent="0.35">
      <c r="A101" s="1">
        <v>100</v>
      </c>
      <c r="B101" s="7">
        <v>43990</v>
      </c>
      <c r="C101">
        <v>1</v>
      </c>
      <c r="D101">
        <v>35</v>
      </c>
      <c r="E101">
        <v>52</v>
      </c>
      <c r="F101">
        <v>3</v>
      </c>
      <c r="G101" s="5">
        <f ca="1">IFERROR(__xludf.DUMMYFUNCTION("""COMPUTED_VALUE"""),847)</f>
        <v>847</v>
      </c>
      <c r="H101" s="5">
        <f ca="1">IFERROR(__xludf.DUMMYFUNCTION("""COMPUTED_VALUE"""),91)</f>
        <v>91</v>
      </c>
      <c r="I101">
        <v>-41</v>
      </c>
      <c r="J101">
        <v>-14</v>
      </c>
      <c r="K101">
        <v>-88</v>
      </c>
      <c r="L101">
        <v>-53</v>
      </c>
      <c r="M101">
        <v>-35</v>
      </c>
      <c r="N101">
        <v>18</v>
      </c>
      <c r="O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2798</v>
      </c>
      <c r="AE101">
        <v>194</v>
      </c>
      <c r="AF101">
        <v>2604</v>
      </c>
      <c r="AG101" s="2">
        <v>6.9335239460000003E-2</v>
      </c>
      <c r="AH101" t="s">
        <v>31</v>
      </c>
      <c r="AI101" s="4">
        <v>538</v>
      </c>
      <c r="AJ101" s="4">
        <v>3205</v>
      </c>
      <c r="AK101" s="4">
        <v>2846</v>
      </c>
      <c r="AL101" s="4">
        <v>1448</v>
      </c>
      <c r="AM101" s="4">
        <v>8037</v>
      </c>
      <c r="AN101" s="5">
        <f ca="1">IFERROR(__xludf.DUMMYFUNCTION("""COMPUTED_VALUE"""),55)</f>
        <v>55</v>
      </c>
    </row>
    <row r="102" spans="1:40" x14ac:dyDescent="0.35">
      <c r="A102" s="1">
        <v>101</v>
      </c>
      <c r="B102" s="7">
        <v>43991</v>
      </c>
      <c r="C102">
        <v>9</v>
      </c>
      <c r="D102">
        <v>164</v>
      </c>
      <c r="E102">
        <v>72</v>
      </c>
      <c r="F102">
        <v>-6</v>
      </c>
      <c r="G102" s="5">
        <f ca="1">IFERROR(__xludf.DUMMYFUNCTION("""COMPUTED_VALUE"""),1043)</f>
        <v>1043</v>
      </c>
      <c r="H102" s="5">
        <f ca="1">IFERROR(__xludf.DUMMYFUNCTION("""COMPUTED_VALUE"""),239)</f>
        <v>239</v>
      </c>
      <c r="I102">
        <v>-44</v>
      </c>
      <c r="J102">
        <v>-16</v>
      </c>
      <c r="K102">
        <v>-89</v>
      </c>
      <c r="L102">
        <v>-54</v>
      </c>
      <c r="M102">
        <v>-37</v>
      </c>
      <c r="N102">
        <v>18</v>
      </c>
      <c r="O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3590</v>
      </c>
      <c r="AE102">
        <v>187</v>
      </c>
      <c r="AF102">
        <v>3403</v>
      </c>
      <c r="AG102" s="2">
        <v>5.208913649E-2</v>
      </c>
      <c r="AH102" t="s">
        <v>31</v>
      </c>
      <c r="AI102" s="4">
        <v>547</v>
      </c>
      <c r="AJ102" s="4">
        <v>3369</v>
      </c>
      <c r="AK102" s="4">
        <v>2918</v>
      </c>
      <c r="AL102" s="4">
        <v>1442</v>
      </c>
      <c r="AM102" s="4">
        <v>8276</v>
      </c>
      <c r="AN102" s="5">
        <f ca="1">IFERROR(__xludf.DUMMYFUNCTION("""COMPUTED_VALUE"""),66)</f>
        <v>66</v>
      </c>
    </row>
    <row r="103" spans="1:40" x14ac:dyDescent="0.35">
      <c r="A103" s="1">
        <v>102</v>
      </c>
      <c r="B103" s="7">
        <v>43992</v>
      </c>
      <c r="C103">
        <v>4</v>
      </c>
      <c r="D103">
        <v>148</v>
      </c>
      <c r="E103">
        <v>10</v>
      </c>
      <c r="F103">
        <v>-15</v>
      </c>
      <c r="G103" s="5">
        <f ca="1">IFERROR(__xludf.DUMMYFUNCTION("""COMPUTED_VALUE"""),1240)</f>
        <v>1240</v>
      </c>
      <c r="H103" s="5">
        <f ca="1">IFERROR(__xludf.DUMMYFUNCTION("""COMPUTED_VALUE"""),147)</f>
        <v>147</v>
      </c>
      <c r="I103">
        <v>-42</v>
      </c>
      <c r="J103">
        <v>-15</v>
      </c>
      <c r="K103">
        <v>-89</v>
      </c>
      <c r="L103">
        <v>-53</v>
      </c>
      <c r="M103">
        <v>-36</v>
      </c>
      <c r="N103">
        <v>18</v>
      </c>
      <c r="O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4064</v>
      </c>
      <c r="AE103">
        <v>129</v>
      </c>
      <c r="AF103">
        <v>3935</v>
      </c>
      <c r="AG103" s="2">
        <v>3.1742125980000001E-2</v>
      </c>
      <c r="AH103" t="s">
        <v>31</v>
      </c>
      <c r="AI103" s="4">
        <v>551</v>
      </c>
      <c r="AJ103" s="4">
        <v>3517</v>
      </c>
      <c r="AK103" s="4">
        <v>2928</v>
      </c>
      <c r="AL103" s="4">
        <v>1427</v>
      </c>
      <c r="AM103" s="4">
        <v>8423</v>
      </c>
      <c r="AN103" s="5">
        <f ca="1">IFERROR(__xludf.DUMMYFUNCTION("""COMPUTED_VALUE"""),-5)</f>
        <v>-5</v>
      </c>
    </row>
    <row r="104" spans="1:40" x14ac:dyDescent="0.35">
      <c r="A104" s="1">
        <v>103</v>
      </c>
      <c r="B104" s="7">
        <v>43993</v>
      </c>
      <c r="C104">
        <v>4</v>
      </c>
      <c r="D104">
        <v>147</v>
      </c>
      <c r="E104">
        <v>-41</v>
      </c>
      <c r="F104">
        <v>19</v>
      </c>
      <c r="G104" s="5">
        <f ca="1">IFERROR(__xludf.DUMMYFUNCTION("""COMPUTED_VALUE"""),979)</f>
        <v>979</v>
      </c>
      <c r="H104" s="5">
        <f ca="1">IFERROR(__xludf.DUMMYFUNCTION("""COMPUTED_VALUE"""),129)</f>
        <v>129</v>
      </c>
      <c r="I104">
        <v>-41</v>
      </c>
      <c r="J104">
        <v>-16</v>
      </c>
      <c r="K104">
        <v>-87</v>
      </c>
      <c r="L104">
        <v>-54</v>
      </c>
      <c r="M104">
        <v>-37</v>
      </c>
      <c r="N104">
        <v>18</v>
      </c>
      <c r="O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2827</v>
      </c>
      <c r="AE104">
        <v>76</v>
      </c>
      <c r="AF104">
        <v>2751</v>
      </c>
      <c r="AG104" s="2">
        <v>2.6883622209999999E-2</v>
      </c>
      <c r="AH104" t="s">
        <v>31</v>
      </c>
      <c r="AI104" s="4">
        <v>555</v>
      </c>
      <c r="AJ104" s="4">
        <v>3664</v>
      </c>
      <c r="AK104" s="4">
        <v>2887</v>
      </c>
      <c r="AL104" s="4">
        <v>1446</v>
      </c>
      <c r="AM104" s="4">
        <v>8552</v>
      </c>
      <c r="AN104" s="5">
        <f ca="1">IFERROR(__xludf.DUMMYFUNCTION("""COMPUTED_VALUE"""),-22)</f>
        <v>-22</v>
      </c>
    </row>
    <row r="105" spans="1:40" x14ac:dyDescent="0.35">
      <c r="A105" s="1">
        <v>104</v>
      </c>
      <c r="B105" s="7">
        <v>43994</v>
      </c>
      <c r="C105">
        <v>6</v>
      </c>
      <c r="D105">
        <v>116</v>
      </c>
      <c r="E105">
        <v>-24</v>
      </c>
      <c r="F105">
        <v>-22</v>
      </c>
      <c r="G105" s="5">
        <f ca="1">IFERROR(__xludf.DUMMYFUNCTION("""COMPUTED_VALUE"""),1111)</f>
        <v>1111</v>
      </c>
      <c r="H105" s="5">
        <f ca="1">IFERROR(__xludf.DUMMYFUNCTION("""COMPUTED_VALUE"""),76)</f>
        <v>76</v>
      </c>
      <c r="I105">
        <v>-38</v>
      </c>
      <c r="J105">
        <v>-13</v>
      </c>
      <c r="K105">
        <v>-85</v>
      </c>
      <c r="L105">
        <v>-54</v>
      </c>
      <c r="M105">
        <v>-35</v>
      </c>
      <c r="N105">
        <v>19</v>
      </c>
      <c r="O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3411</v>
      </c>
      <c r="AE105">
        <v>120</v>
      </c>
      <c r="AF105">
        <v>3291</v>
      </c>
      <c r="AG105" s="2">
        <v>3.5180299030000001E-2</v>
      </c>
      <c r="AH105" t="s">
        <v>31</v>
      </c>
      <c r="AI105" s="4">
        <v>561</v>
      </c>
      <c r="AJ105" s="4">
        <v>3780</v>
      </c>
      <c r="AK105" s="4">
        <v>2863</v>
      </c>
      <c r="AL105" s="4">
        <v>1424</v>
      </c>
      <c r="AM105" s="4">
        <v>8628</v>
      </c>
      <c r="AN105" s="5">
        <f ca="1">IFERROR(__xludf.DUMMYFUNCTION("""COMPUTED_VALUE"""),-46)</f>
        <v>-46</v>
      </c>
    </row>
    <row r="106" spans="1:40" x14ac:dyDescent="0.35">
      <c r="A106" s="1">
        <v>105</v>
      </c>
      <c r="B106" s="7">
        <v>43995</v>
      </c>
      <c r="C106">
        <v>3</v>
      </c>
      <c r="D106">
        <v>60</v>
      </c>
      <c r="E106">
        <v>62</v>
      </c>
      <c r="F106">
        <v>-5</v>
      </c>
      <c r="G106" s="5">
        <f ca="1">IFERROR(__xludf.DUMMYFUNCTION("""COMPUTED_VALUE"""),1014)</f>
        <v>1014</v>
      </c>
      <c r="H106" s="5">
        <f ca="1">IFERROR(__xludf.DUMMYFUNCTION("""COMPUTED_VALUE"""),120)</f>
        <v>120</v>
      </c>
      <c r="I106">
        <v>-44</v>
      </c>
      <c r="J106">
        <v>-14</v>
      </c>
      <c r="K106">
        <v>-86</v>
      </c>
      <c r="L106">
        <v>-51</v>
      </c>
      <c r="M106">
        <v>-23</v>
      </c>
      <c r="N106">
        <v>14</v>
      </c>
      <c r="O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4955</v>
      </c>
      <c r="AE106">
        <v>115</v>
      </c>
      <c r="AF106">
        <v>4840</v>
      </c>
      <c r="AG106" s="2">
        <v>2.3208879920000001E-2</v>
      </c>
      <c r="AH106" t="s">
        <v>31</v>
      </c>
      <c r="AI106" s="4">
        <v>564</v>
      </c>
      <c r="AJ106" s="4">
        <v>3840</v>
      </c>
      <c r="AK106" s="4">
        <v>2925</v>
      </c>
      <c r="AL106" s="4">
        <v>1419</v>
      </c>
      <c r="AM106" s="4">
        <v>8748</v>
      </c>
      <c r="AN106" s="5">
        <f ca="1">IFERROR(__xludf.DUMMYFUNCTION("""COMPUTED_VALUE"""),57)</f>
        <v>57</v>
      </c>
    </row>
    <row r="107" spans="1:40" x14ac:dyDescent="0.35">
      <c r="A107" s="1">
        <v>106</v>
      </c>
      <c r="B107" s="7">
        <v>43996</v>
      </c>
      <c r="C107">
        <v>7</v>
      </c>
      <c r="D107">
        <v>251</v>
      </c>
      <c r="E107">
        <v>-92</v>
      </c>
      <c r="F107">
        <v>-51</v>
      </c>
      <c r="G107" s="5">
        <f ca="1">IFERROR(__xludf.DUMMYFUNCTION("""COMPUTED_VALUE"""),857)</f>
        <v>857</v>
      </c>
      <c r="H107" s="5">
        <f ca="1">IFERROR(__xludf.DUMMYFUNCTION("""COMPUTED_VALUE"""),115)</f>
        <v>115</v>
      </c>
      <c r="I107">
        <v>-47</v>
      </c>
      <c r="J107">
        <v>-18</v>
      </c>
      <c r="K107">
        <v>-87</v>
      </c>
      <c r="L107">
        <v>-51</v>
      </c>
      <c r="M107">
        <v>-17</v>
      </c>
      <c r="N107">
        <v>13</v>
      </c>
      <c r="O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1851</v>
      </c>
      <c r="AE107">
        <v>105</v>
      </c>
      <c r="AF107">
        <v>1746</v>
      </c>
      <c r="AG107" s="2">
        <v>5.6726093999999998E-2</v>
      </c>
      <c r="AH107" t="s">
        <v>31</v>
      </c>
      <c r="AI107" s="4">
        <v>571</v>
      </c>
      <c r="AJ107" s="4">
        <v>4091</v>
      </c>
      <c r="AK107" s="4">
        <v>2833</v>
      </c>
      <c r="AL107" s="4">
        <v>1368</v>
      </c>
      <c r="AM107" s="4">
        <v>8863</v>
      </c>
      <c r="AN107" s="5">
        <f ca="1">IFERROR(__xludf.DUMMYFUNCTION("""COMPUTED_VALUE"""),-143)</f>
        <v>-143</v>
      </c>
    </row>
    <row r="108" spans="1:40" x14ac:dyDescent="0.35">
      <c r="A108" s="1">
        <v>107</v>
      </c>
      <c r="B108" s="7">
        <v>43997</v>
      </c>
      <c r="C108">
        <v>9</v>
      </c>
      <c r="D108">
        <v>107</v>
      </c>
      <c r="E108">
        <v>-33</v>
      </c>
      <c r="F108">
        <v>22</v>
      </c>
      <c r="G108" s="5">
        <f ca="1">IFERROR(__xludf.DUMMYFUNCTION("""COMPUTED_VALUE"""),1017)</f>
        <v>1017</v>
      </c>
      <c r="H108" s="5">
        <f ca="1">IFERROR(__xludf.DUMMYFUNCTION("""COMPUTED_VALUE"""),105)</f>
        <v>105</v>
      </c>
      <c r="I108">
        <v>-33</v>
      </c>
      <c r="J108">
        <v>-12</v>
      </c>
      <c r="K108">
        <v>-85</v>
      </c>
      <c r="L108">
        <v>-49</v>
      </c>
      <c r="M108">
        <v>-33</v>
      </c>
      <c r="N108">
        <v>16</v>
      </c>
      <c r="O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4605</v>
      </c>
      <c r="AE108">
        <v>94</v>
      </c>
      <c r="AF108">
        <v>4511</v>
      </c>
      <c r="AG108" s="2">
        <v>2.0412595009999999E-2</v>
      </c>
      <c r="AH108" t="s">
        <v>31</v>
      </c>
      <c r="AI108" s="4">
        <v>580</v>
      </c>
      <c r="AJ108" s="4">
        <v>4198</v>
      </c>
      <c r="AK108" s="4">
        <v>2800</v>
      </c>
      <c r="AL108" s="4">
        <v>1390</v>
      </c>
      <c r="AM108" s="4">
        <v>8968</v>
      </c>
      <c r="AN108" s="5">
        <f ca="1">IFERROR(__xludf.DUMMYFUNCTION("""COMPUTED_VALUE"""),-11)</f>
        <v>-11</v>
      </c>
    </row>
    <row r="109" spans="1:40" x14ac:dyDescent="0.35">
      <c r="A109" s="1">
        <v>108</v>
      </c>
      <c r="B109" s="7">
        <v>43998</v>
      </c>
      <c r="C109">
        <v>3</v>
      </c>
      <c r="D109">
        <v>131</v>
      </c>
      <c r="E109">
        <v>-36</v>
      </c>
      <c r="F109">
        <v>26</v>
      </c>
      <c r="G109" s="5">
        <f ca="1">IFERROR(__xludf.DUMMYFUNCTION("""COMPUTED_VALUE"""),1106)</f>
        <v>1106</v>
      </c>
      <c r="H109" s="5">
        <f ca="1">IFERROR(__xludf.DUMMYFUNCTION("""COMPUTED_VALUE"""),124)</f>
        <v>124</v>
      </c>
      <c r="I109">
        <v>-35</v>
      </c>
      <c r="J109">
        <v>-13</v>
      </c>
      <c r="K109">
        <v>-86</v>
      </c>
      <c r="L109">
        <v>-49</v>
      </c>
      <c r="M109">
        <v>-35</v>
      </c>
      <c r="N109">
        <v>16</v>
      </c>
      <c r="O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4702</v>
      </c>
      <c r="AE109">
        <v>147</v>
      </c>
      <c r="AF109">
        <v>4555</v>
      </c>
      <c r="AG109" s="2">
        <v>3.1263292220000002E-2</v>
      </c>
      <c r="AH109" t="s">
        <v>31</v>
      </c>
      <c r="AI109" s="4">
        <v>583</v>
      </c>
      <c r="AJ109" s="4">
        <v>4329</v>
      </c>
      <c r="AK109" s="4">
        <v>2764</v>
      </c>
      <c r="AL109" s="4">
        <v>1416</v>
      </c>
      <c r="AM109" s="4">
        <v>9092</v>
      </c>
      <c r="AN109" s="5">
        <f ca="1">IFERROR(__xludf.DUMMYFUNCTION("""COMPUTED_VALUE"""),-10)</f>
        <v>-10</v>
      </c>
    </row>
    <row r="110" spans="1:40" x14ac:dyDescent="0.35">
      <c r="A110" s="1">
        <v>109</v>
      </c>
      <c r="B110" s="7">
        <v>43999</v>
      </c>
      <c r="C110">
        <v>5</v>
      </c>
      <c r="D110">
        <v>115</v>
      </c>
      <c r="E110">
        <v>11</v>
      </c>
      <c r="F110">
        <v>-14</v>
      </c>
      <c r="G110" s="5">
        <f ca="1">IFERROR(__xludf.DUMMYFUNCTION("""COMPUTED_VALUE"""),1031)</f>
        <v>1031</v>
      </c>
      <c r="H110" s="5">
        <f ca="1">IFERROR(__xludf.DUMMYFUNCTION("""COMPUTED_VALUE"""),117)</f>
        <v>117</v>
      </c>
      <c r="I110">
        <v>-35</v>
      </c>
      <c r="J110">
        <v>-13</v>
      </c>
      <c r="K110">
        <v>-86</v>
      </c>
      <c r="L110">
        <v>-49</v>
      </c>
      <c r="M110">
        <v>-34</v>
      </c>
      <c r="N110">
        <v>16</v>
      </c>
      <c r="O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4740</v>
      </c>
      <c r="AE110">
        <v>176</v>
      </c>
      <c r="AF110">
        <v>4564</v>
      </c>
      <c r="AG110" s="2">
        <v>3.713080169E-2</v>
      </c>
      <c r="AH110" t="s">
        <v>31</v>
      </c>
      <c r="AI110" s="4">
        <v>588</v>
      </c>
      <c r="AJ110" s="4">
        <v>4444</v>
      </c>
      <c r="AK110" s="4">
        <v>2775</v>
      </c>
      <c r="AL110" s="4">
        <v>1402</v>
      </c>
      <c r="AM110" s="4">
        <v>9209</v>
      </c>
      <c r="AN110" s="5">
        <f ca="1">IFERROR(__xludf.DUMMYFUNCTION("""COMPUTED_VALUE"""),-3)</f>
        <v>-3</v>
      </c>
    </row>
    <row r="111" spans="1:40" x14ac:dyDescent="0.35">
      <c r="A111" s="1">
        <v>110</v>
      </c>
      <c r="B111" s="7">
        <v>44000</v>
      </c>
      <c r="C111">
        <v>6</v>
      </c>
      <c r="D111">
        <v>148</v>
      </c>
      <c r="E111">
        <v>47</v>
      </c>
      <c r="F111">
        <v>-25</v>
      </c>
      <c r="G111" s="5">
        <f ca="1">IFERROR(__xludf.DUMMYFUNCTION("""COMPUTED_VALUE"""),1331)</f>
        <v>1331</v>
      </c>
      <c r="H111" s="5">
        <f ca="1">IFERROR(__xludf.DUMMYFUNCTION("""COMPUTED_VALUE"""),176)</f>
        <v>176</v>
      </c>
      <c r="I111">
        <v>-34</v>
      </c>
      <c r="J111">
        <v>-14</v>
      </c>
      <c r="K111">
        <v>-85</v>
      </c>
      <c r="L111">
        <v>-50</v>
      </c>
      <c r="M111">
        <v>-35</v>
      </c>
      <c r="N111">
        <v>16</v>
      </c>
      <c r="O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4260</v>
      </c>
      <c r="AE111">
        <v>140</v>
      </c>
      <c r="AF111">
        <v>4120</v>
      </c>
      <c r="AG111" s="2">
        <v>3.2863849770000002E-2</v>
      </c>
      <c r="AH111" t="s">
        <v>31</v>
      </c>
      <c r="AI111" s="4">
        <v>594</v>
      </c>
      <c r="AJ111" s="4">
        <v>4592</v>
      </c>
      <c r="AK111" s="4">
        <v>2822</v>
      </c>
      <c r="AL111" s="4">
        <v>1377</v>
      </c>
      <c r="AM111" s="4">
        <v>9385</v>
      </c>
      <c r="AN111" s="5">
        <f ca="1">IFERROR(__xludf.DUMMYFUNCTION("""COMPUTED_VALUE"""),22)</f>
        <v>22</v>
      </c>
    </row>
    <row r="112" spans="1:40" x14ac:dyDescent="0.35">
      <c r="A112" s="1">
        <v>111</v>
      </c>
      <c r="B112" s="7">
        <v>44001</v>
      </c>
      <c r="C112">
        <v>5</v>
      </c>
      <c r="D112">
        <v>90</v>
      </c>
      <c r="E112">
        <v>40</v>
      </c>
      <c r="F112">
        <v>5</v>
      </c>
      <c r="G112" s="5">
        <f ca="1">IFERROR(__xludf.DUMMYFUNCTION("""COMPUTED_VALUE"""),1041)</f>
        <v>1041</v>
      </c>
      <c r="H112" s="5">
        <f ca="1">IFERROR(__xludf.DUMMYFUNCTION("""COMPUTED_VALUE"""),140)</f>
        <v>140</v>
      </c>
      <c r="I112">
        <v>-33</v>
      </c>
      <c r="J112">
        <v>-13</v>
      </c>
      <c r="K112">
        <v>-83</v>
      </c>
      <c r="L112">
        <v>-49</v>
      </c>
      <c r="M112">
        <v>-33</v>
      </c>
      <c r="N112">
        <v>17</v>
      </c>
      <c r="O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4794</v>
      </c>
      <c r="AE112">
        <v>178</v>
      </c>
      <c r="AF112">
        <v>4616</v>
      </c>
      <c r="AG112" s="2">
        <v>3.712974552E-2</v>
      </c>
      <c r="AH112" t="s">
        <v>31</v>
      </c>
      <c r="AI112" s="4">
        <v>599</v>
      </c>
      <c r="AJ112" s="4">
        <v>4682</v>
      </c>
      <c r="AK112" s="4">
        <v>2862</v>
      </c>
      <c r="AL112" s="4">
        <v>1382</v>
      </c>
      <c r="AM112" s="4">
        <v>9525</v>
      </c>
      <c r="AN112" s="5">
        <f ca="1">IFERROR(__xludf.DUMMYFUNCTION("""COMPUTED_VALUE"""),45)</f>
        <v>45</v>
      </c>
    </row>
    <row r="113" spans="1:40" x14ac:dyDescent="0.35">
      <c r="A113" s="1">
        <v>112</v>
      </c>
      <c r="B113" s="7">
        <v>44002</v>
      </c>
      <c r="C113">
        <v>4</v>
      </c>
      <c r="D113">
        <v>139</v>
      </c>
      <c r="E113">
        <v>77</v>
      </c>
      <c r="F113">
        <v>-42</v>
      </c>
      <c r="G113" s="5">
        <f ca="1">IFERROR(__xludf.DUMMYFUNCTION("""COMPUTED_VALUE"""),1226)</f>
        <v>1226</v>
      </c>
      <c r="H113" s="5">
        <f ca="1">IFERROR(__xludf.DUMMYFUNCTION("""COMPUTED_VALUE"""),178)</f>
        <v>178</v>
      </c>
      <c r="I113">
        <v>-37</v>
      </c>
      <c r="J113">
        <v>-12</v>
      </c>
      <c r="K113">
        <v>-83</v>
      </c>
      <c r="L113">
        <v>-45</v>
      </c>
      <c r="M113">
        <v>-21</v>
      </c>
      <c r="N113">
        <v>11</v>
      </c>
      <c r="O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3258</v>
      </c>
      <c r="AE113">
        <v>132</v>
      </c>
      <c r="AF113">
        <v>3126</v>
      </c>
      <c r="AG113" s="2">
        <v>4.0515653780000001E-2</v>
      </c>
      <c r="AH113" t="s">
        <v>31</v>
      </c>
      <c r="AI113" s="4">
        <v>603</v>
      </c>
      <c r="AJ113" s="4">
        <v>4821</v>
      </c>
      <c r="AK113" s="4">
        <v>2939</v>
      </c>
      <c r="AL113" s="4">
        <v>1340</v>
      </c>
      <c r="AM113" s="4">
        <v>9703</v>
      </c>
      <c r="AN113" s="5">
        <f ca="1">IFERROR(__xludf.DUMMYFUNCTION("""COMPUTED_VALUE"""),35)</f>
        <v>35</v>
      </c>
    </row>
    <row r="114" spans="1:40" x14ac:dyDescent="0.35">
      <c r="A114" s="1">
        <v>113</v>
      </c>
      <c r="B114" s="7">
        <v>44003</v>
      </c>
      <c r="C114">
        <v>12</v>
      </c>
      <c r="D114">
        <v>233</v>
      </c>
      <c r="E114">
        <v>-65</v>
      </c>
      <c r="F114">
        <v>-53</v>
      </c>
      <c r="G114" s="5">
        <f ca="1">IFERROR(__xludf.DUMMYFUNCTION("""COMPUTED_VALUE"""),862)</f>
        <v>862</v>
      </c>
      <c r="H114" s="5">
        <f ca="1">IFERROR(__xludf.DUMMYFUNCTION("""COMPUTED_VALUE"""),127)</f>
        <v>127</v>
      </c>
      <c r="I114">
        <v>-40</v>
      </c>
      <c r="J114">
        <v>-16</v>
      </c>
      <c r="K114">
        <v>-85</v>
      </c>
      <c r="L114">
        <v>-45</v>
      </c>
      <c r="M114">
        <v>-16</v>
      </c>
      <c r="N114">
        <v>12</v>
      </c>
      <c r="O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2806</v>
      </c>
      <c r="AE114">
        <v>132</v>
      </c>
      <c r="AF114">
        <v>2674</v>
      </c>
      <c r="AG114" s="2">
        <v>4.704205274E-2</v>
      </c>
      <c r="AH114" t="s">
        <v>31</v>
      </c>
      <c r="AI114" s="4">
        <v>615</v>
      </c>
      <c r="AJ114" s="4">
        <v>5054</v>
      </c>
      <c r="AK114" s="4">
        <v>2874</v>
      </c>
      <c r="AL114" s="4">
        <v>1287</v>
      </c>
      <c r="AM114" s="4">
        <v>9830</v>
      </c>
      <c r="AN114" s="5">
        <f ca="1">IFERROR(__xludf.DUMMYFUNCTION("""COMPUTED_VALUE"""),-118)</f>
        <v>-118</v>
      </c>
    </row>
    <row r="115" spans="1:40" x14ac:dyDescent="0.35">
      <c r="A115" s="1">
        <v>114</v>
      </c>
      <c r="B115" s="7">
        <v>44004</v>
      </c>
      <c r="C115">
        <v>3</v>
      </c>
      <c r="D115">
        <v>74</v>
      </c>
      <c r="E115">
        <v>27</v>
      </c>
      <c r="F115">
        <v>23</v>
      </c>
      <c r="G115" s="5">
        <f ca="1">IFERROR(__xludf.DUMMYFUNCTION("""COMPUTED_VALUE"""),954)</f>
        <v>954</v>
      </c>
      <c r="H115" s="5">
        <f ca="1">IFERROR(__xludf.DUMMYFUNCTION("""COMPUTED_VALUE"""),127)</f>
        <v>127</v>
      </c>
      <c r="I115">
        <v>-31</v>
      </c>
      <c r="J115">
        <v>-13</v>
      </c>
      <c r="K115">
        <v>-84</v>
      </c>
      <c r="L115">
        <v>-48</v>
      </c>
      <c r="M115">
        <v>-34</v>
      </c>
      <c r="N115">
        <v>16</v>
      </c>
      <c r="O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3627</v>
      </c>
      <c r="AE115">
        <v>171</v>
      </c>
      <c r="AF115">
        <v>3456</v>
      </c>
      <c r="AG115" s="2">
        <v>4.7146401990000003E-2</v>
      </c>
      <c r="AH115" t="s">
        <v>31</v>
      </c>
      <c r="AI115" s="4">
        <v>618</v>
      </c>
      <c r="AJ115" s="4">
        <v>5128</v>
      </c>
      <c r="AK115" s="4">
        <v>2901</v>
      </c>
      <c r="AL115" s="4">
        <v>1310</v>
      </c>
      <c r="AM115" s="4">
        <v>9957</v>
      </c>
      <c r="AN115" s="5">
        <f ca="1">IFERROR(__xludf.DUMMYFUNCTION("""COMPUTED_VALUE"""),50)</f>
        <v>50</v>
      </c>
    </row>
    <row r="116" spans="1:40" x14ac:dyDescent="0.35">
      <c r="A116" s="1">
        <v>115</v>
      </c>
      <c r="B116" s="7">
        <v>44005</v>
      </c>
      <c r="C116">
        <v>1</v>
      </c>
      <c r="D116">
        <v>100</v>
      </c>
      <c r="E116">
        <v>56</v>
      </c>
      <c r="F116">
        <v>9</v>
      </c>
      <c r="G116" s="5">
        <f ca="1">IFERROR(__xludf.DUMMYFUNCTION("""COMPUTED_VALUE"""),1051)</f>
        <v>1051</v>
      </c>
      <c r="H116" s="5">
        <f ca="1">IFERROR(__xludf.DUMMYFUNCTION("""COMPUTED_VALUE"""),166)</f>
        <v>166</v>
      </c>
      <c r="I116">
        <v>-33</v>
      </c>
      <c r="J116">
        <v>-13</v>
      </c>
      <c r="K116">
        <v>-85</v>
      </c>
      <c r="L116">
        <v>-48</v>
      </c>
      <c r="M116">
        <v>-35</v>
      </c>
      <c r="N116">
        <v>16</v>
      </c>
      <c r="O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5986</v>
      </c>
      <c r="AE116">
        <v>159</v>
      </c>
      <c r="AF116">
        <v>5827</v>
      </c>
      <c r="AG116" s="2">
        <v>2.6561977949999999E-2</v>
      </c>
      <c r="AH116" t="s">
        <v>31</v>
      </c>
      <c r="AI116" s="4">
        <v>619</v>
      </c>
      <c r="AJ116" s="4">
        <v>5228</v>
      </c>
      <c r="AK116" s="4">
        <v>2957</v>
      </c>
      <c r="AL116" s="4">
        <v>1319</v>
      </c>
      <c r="AM116" s="4">
        <v>10123</v>
      </c>
      <c r="AN116" s="5">
        <f ca="1">IFERROR(__xludf.DUMMYFUNCTION("""COMPUTED_VALUE"""),65)</f>
        <v>65</v>
      </c>
    </row>
    <row r="117" spans="1:40" x14ac:dyDescent="0.35">
      <c r="A117" s="1">
        <v>116</v>
      </c>
      <c r="B117" s="7">
        <v>44006</v>
      </c>
      <c r="C117">
        <v>9</v>
      </c>
      <c r="D117">
        <v>94</v>
      </c>
      <c r="E117">
        <v>21</v>
      </c>
      <c r="F117">
        <v>30</v>
      </c>
      <c r="G117" s="5">
        <f ca="1">IFERROR(__xludf.DUMMYFUNCTION("""COMPUTED_VALUE"""),1113)</f>
        <v>1113</v>
      </c>
      <c r="H117" s="5">
        <f ca="1">IFERROR(__xludf.DUMMYFUNCTION("""COMPUTED_VALUE"""),154)</f>
        <v>154</v>
      </c>
      <c r="I117">
        <v>-33</v>
      </c>
      <c r="J117">
        <v>-15</v>
      </c>
      <c r="K117">
        <v>-85</v>
      </c>
      <c r="L117">
        <v>-47</v>
      </c>
      <c r="M117">
        <v>-34</v>
      </c>
      <c r="N117">
        <v>16</v>
      </c>
      <c r="O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5142</v>
      </c>
      <c r="AE117">
        <v>195</v>
      </c>
      <c r="AF117">
        <v>4947</v>
      </c>
      <c r="AG117" s="2">
        <v>3.7922987159999998E-2</v>
      </c>
      <c r="AH117" t="s">
        <v>31</v>
      </c>
      <c r="AI117" s="4">
        <v>628</v>
      </c>
      <c r="AJ117" s="4">
        <v>5322</v>
      </c>
      <c r="AK117" s="4">
        <v>2978</v>
      </c>
      <c r="AL117" s="4">
        <v>1349</v>
      </c>
      <c r="AM117" s="4">
        <v>10277</v>
      </c>
      <c r="AN117" s="5">
        <f ca="1">IFERROR(__xludf.DUMMYFUNCTION("""COMPUTED_VALUE"""),51)</f>
        <v>51</v>
      </c>
    </row>
    <row r="118" spans="1:40" x14ac:dyDescent="0.35">
      <c r="A118" s="1">
        <v>117</v>
      </c>
      <c r="B118" s="7">
        <v>44007</v>
      </c>
      <c r="C118">
        <v>3</v>
      </c>
      <c r="D118">
        <v>113</v>
      </c>
      <c r="E118">
        <v>90</v>
      </c>
      <c r="F118">
        <v>-11</v>
      </c>
      <c r="G118" s="5">
        <f ca="1">IFERROR(__xludf.DUMMYFUNCTION("""COMPUTED_VALUE"""),1178)</f>
        <v>1178</v>
      </c>
      <c r="H118" s="5">
        <f ca="1">IFERROR(__xludf.DUMMYFUNCTION("""COMPUTED_VALUE"""),195)</f>
        <v>195</v>
      </c>
      <c r="I118">
        <v>-31</v>
      </c>
      <c r="J118">
        <v>-9</v>
      </c>
      <c r="K118">
        <v>-84</v>
      </c>
      <c r="L118">
        <v>-47</v>
      </c>
      <c r="M118">
        <v>-34</v>
      </c>
      <c r="N118">
        <v>15</v>
      </c>
      <c r="O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5444</v>
      </c>
      <c r="AE118">
        <v>168</v>
      </c>
      <c r="AF118">
        <v>5276</v>
      </c>
      <c r="AG118" s="2">
        <v>3.085966201E-2</v>
      </c>
      <c r="AH118" t="s">
        <v>31</v>
      </c>
      <c r="AI118" s="4">
        <v>631</v>
      </c>
      <c r="AJ118" s="4">
        <v>5435</v>
      </c>
      <c r="AK118" s="4">
        <v>3068</v>
      </c>
      <c r="AL118" s="4">
        <v>1338</v>
      </c>
      <c r="AM118" s="4">
        <v>10472</v>
      </c>
      <c r="AN118" s="5">
        <f ca="1">IFERROR(__xludf.DUMMYFUNCTION("""COMPUTED_VALUE"""),79)</f>
        <v>79</v>
      </c>
    </row>
    <row r="119" spans="1:40" x14ac:dyDescent="0.35">
      <c r="A119" s="1">
        <v>118</v>
      </c>
      <c r="B119" s="7">
        <v>44008</v>
      </c>
      <c r="C119">
        <v>1</v>
      </c>
      <c r="D119">
        <v>107</v>
      </c>
      <c r="E119">
        <v>68</v>
      </c>
      <c r="F119">
        <v>-8</v>
      </c>
      <c r="G119" s="5">
        <f ca="1">IFERROR(__xludf.DUMMYFUNCTION("""COMPUTED_VALUE"""),1240)</f>
        <v>1240</v>
      </c>
      <c r="H119" s="5">
        <f ca="1">IFERROR(__xludf.DUMMYFUNCTION("""COMPUTED_VALUE"""),168)</f>
        <v>168</v>
      </c>
      <c r="I119">
        <v>-28</v>
      </c>
      <c r="J119">
        <v>-6</v>
      </c>
      <c r="K119">
        <v>-83</v>
      </c>
      <c r="L119">
        <v>-46</v>
      </c>
      <c r="M119">
        <v>-32</v>
      </c>
      <c r="N119">
        <v>16</v>
      </c>
      <c r="O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5295</v>
      </c>
      <c r="AE119">
        <v>213</v>
      </c>
      <c r="AF119">
        <v>5082</v>
      </c>
      <c r="AG119" s="2">
        <v>4.0226628899999999E-2</v>
      </c>
      <c r="AH119" t="s">
        <v>31</v>
      </c>
      <c r="AI119" s="4">
        <v>632</v>
      </c>
      <c r="AJ119" s="4">
        <v>5542</v>
      </c>
      <c r="AK119" s="4">
        <v>3136</v>
      </c>
      <c r="AL119" s="4">
        <v>1330</v>
      </c>
      <c r="AM119" s="4">
        <v>10640</v>
      </c>
      <c r="AN119" s="5">
        <f ca="1">IFERROR(__xludf.DUMMYFUNCTION("""COMPUTED_VALUE"""),60)</f>
        <v>60</v>
      </c>
    </row>
    <row r="120" spans="1:40" x14ac:dyDescent="0.35">
      <c r="A120" s="1">
        <v>119</v>
      </c>
      <c r="B120" s="7">
        <v>44009</v>
      </c>
      <c r="C120">
        <v>0</v>
      </c>
      <c r="D120">
        <v>68</v>
      </c>
      <c r="E120">
        <v>120</v>
      </c>
      <c r="F120">
        <v>25</v>
      </c>
      <c r="G120" s="5">
        <f ca="1">IFERROR(__xludf.DUMMYFUNCTION("""COMPUTED_VALUE"""),1385)</f>
        <v>1385</v>
      </c>
      <c r="H120" s="5">
        <f ca="1">IFERROR(__xludf.DUMMYFUNCTION("""COMPUTED_VALUE"""),213)</f>
        <v>213</v>
      </c>
      <c r="I120">
        <v>-32</v>
      </c>
      <c r="J120">
        <v>-6</v>
      </c>
      <c r="K120">
        <v>-82</v>
      </c>
      <c r="L120">
        <v>-40</v>
      </c>
      <c r="M120">
        <v>-21</v>
      </c>
      <c r="N120">
        <v>10</v>
      </c>
      <c r="O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4440</v>
      </c>
      <c r="AE120">
        <v>148</v>
      </c>
      <c r="AF120">
        <v>4292</v>
      </c>
      <c r="AG120" s="2">
        <v>3.3333333329999999E-2</v>
      </c>
      <c r="AH120" t="s">
        <v>31</v>
      </c>
      <c r="AI120" s="4">
        <v>632</v>
      </c>
      <c r="AJ120" s="4">
        <v>5610</v>
      </c>
      <c r="AK120" s="4">
        <v>3256</v>
      </c>
      <c r="AL120" s="4">
        <v>1355</v>
      </c>
      <c r="AM120" s="4">
        <v>10853</v>
      </c>
      <c r="AN120" s="5">
        <f ca="1">IFERROR(__xludf.DUMMYFUNCTION("""COMPUTED_VALUE"""),145)</f>
        <v>145</v>
      </c>
    </row>
    <row r="121" spans="1:40" x14ac:dyDescent="0.35">
      <c r="A121" s="1">
        <v>120</v>
      </c>
      <c r="B121" s="7">
        <v>44010</v>
      </c>
      <c r="C121">
        <v>3</v>
      </c>
      <c r="D121">
        <v>255</v>
      </c>
      <c r="E121">
        <v>-93</v>
      </c>
      <c r="F121">
        <v>-33</v>
      </c>
      <c r="G121" s="5">
        <f ca="1">IFERROR(__xludf.DUMMYFUNCTION("""COMPUTED_VALUE"""),1198)</f>
        <v>1198</v>
      </c>
      <c r="H121" s="5">
        <f ca="1">IFERROR(__xludf.DUMMYFUNCTION("""COMPUTED_VALUE"""),132)</f>
        <v>132</v>
      </c>
      <c r="I121">
        <v>-38</v>
      </c>
      <c r="J121">
        <v>-12</v>
      </c>
      <c r="K121">
        <v>-83</v>
      </c>
      <c r="L121">
        <v>-43</v>
      </c>
      <c r="M121">
        <v>-15</v>
      </c>
      <c r="N121">
        <v>10</v>
      </c>
      <c r="O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2434</v>
      </c>
      <c r="AE121">
        <v>95</v>
      </c>
      <c r="AF121">
        <v>2339</v>
      </c>
      <c r="AG121" s="2">
        <v>3.9030402630000002E-2</v>
      </c>
      <c r="AH121" t="s">
        <v>31</v>
      </c>
      <c r="AI121" s="4">
        <v>635</v>
      </c>
      <c r="AJ121" s="4">
        <v>5865</v>
      </c>
      <c r="AK121" s="4">
        <v>3163</v>
      </c>
      <c r="AL121" s="4">
        <v>1322</v>
      </c>
      <c r="AM121" s="4">
        <v>10985</v>
      </c>
      <c r="AN121" s="5">
        <f ca="1">IFERROR(__xludf.DUMMYFUNCTION("""COMPUTED_VALUE"""),-126)</f>
        <v>-126</v>
      </c>
    </row>
    <row r="122" spans="1:40" x14ac:dyDescent="0.35">
      <c r="A122" s="1">
        <v>121</v>
      </c>
      <c r="B122" s="7">
        <v>44011</v>
      </c>
      <c r="C122">
        <v>1</v>
      </c>
      <c r="D122">
        <v>253</v>
      </c>
      <c r="E122">
        <v>136</v>
      </c>
      <c r="F122">
        <v>-295</v>
      </c>
      <c r="G122" s="5">
        <f ca="1">IFERROR(__xludf.DUMMYFUNCTION("""COMPUTED_VALUE"""),1082)</f>
        <v>1082</v>
      </c>
      <c r="H122" s="5">
        <f ca="1">IFERROR(__xludf.DUMMYFUNCTION("""COMPUTED_VALUE"""),95)</f>
        <v>95</v>
      </c>
      <c r="I122">
        <v>-28</v>
      </c>
      <c r="J122">
        <v>-7</v>
      </c>
      <c r="K122">
        <v>-83</v>
      </c>
      <c r="L122">
        <v>-45</v>
      </c>
      <c r="M122">
        <v>-32</v>
      </c>
      <c r="N122">
        <v>14</v>
      </c>
      <c r="O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4598</v>
      </c>
      <c r="AE122">
        <v>198</v>
      </c>
      <c r="AF122">
        <v>4400</v>
      </c>
      <c r="AG122" s="2">
        <v>4.3062200959999998E-2</v>
      </c>
      <c r="AH122" t="s">
        <v>31</v>
      </c>
      <c r="AI122" s="4">
        <v>636</v>
      </c>
      <c r="AJ122" s="4">
        <v>6118</v>
      </c>
      <c r="AK122" s="4">
        <v>3299</v>
      </c>
      <c r="AL122" s="4">
        <v>1027</v>
      </c>
      <c r="AM122" s="4">
        <v>11080</v>
      </c>
      <c r="AN122" s="5">
        <f ca="1">IFERROR(__xludf.DUMMYFUNCTION("""COMPUTED_VALUE"""),-159)</f>
        <v>-159</v>
      </c>
    </row>
    <row r="123" spans="1:40" x14ac:dyDescent="0.35">
      <c r="A123" s="1">
        <v>122</v>
      </c>
      <c r="B123" s="7">
        <v>44012</v>
      </c>
      <c r="C123">
        <v>5</v>
      </c>
      <c r="D123">
        <v>394</v>
      </c>
      <c r="E123">
        <v>-127</v>
      </c>
      <c r="F123">
        <v>-76</v>
      </c>
      <c r="G123" s="5">
        <f ca="1">IFERROR(__xludf.DUMMYFUNCTION("""COMPUTED_VALUE"""),1293)</f>
        <v>1293</v>
      </c>
      <c r="H123" s="5">
        <f ca="1">IFERROR(__xludf.DUMMYFUNCTION("""COMPUTED_VALUE"""),196)</f>
        <v>196</v>
      </c>
      <c r="I123">
        <v>-27</v>
      </c>
      <c r="J123">
        <v>-3</v>
      </c>
      <c r="K123">
        <v>-77</v>
      </c>
      <c r="L123">
        <v>-45</v>
      </c>
      <c r="M123">
        <v>-33</v>
      </c>
      <c r="N123">
        <v>14</v>
      </c>
      <c r="O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4618</v>
      </c>
      <c r="AE123">
        <v>204</v>
      </c>
      <c r="AF123">
        <v>4414</v>
      </c>
      <c r="AG123" s="2">
        <v>4.4174967519999997E-2</v>
      </c>
      <c r="AH123" t="s">
        <v>31</v>
      </c>
      <c r="AI123" s="4">
        <v>641</v>
      </c>
      <c r="AJ123" s="4">
        <v>6512</v>
      </c>
      <c r="AK123" s="4">
        <v>3172</v>
      </c>
      <c r="AL123" s="4">
        <v>951</v>
      </c>
      <c r="AM123" s="4">
        <v>11276</v>
      </c>
      <c r="AN123" s="5">
        <f ca="1">IFERROR(__xludf.DUMMYFUNCTION("""COMPUTED_VALUE"""),-203)</f>
        <v>-203</v>
      </c>
    </row>
    <row r="124" spans="1:40" x14ac:dyDescent="0.35">
      <c r="A124" s="1">
        <v>123</v>
      </c>
      <c r="B124" s="7">
        <v>44013</v>
      </c>
      <c r="C124">
        <v>3</v>
      </c>
      <c r="D124">
        <v>168</v>
      </c>
      <c r="E124">
        <v>97</v>
      </c>
      <c r="F124">
        <v>-62</v>
      </c>
      <c r="G124" s="5">
        <f ca="1">IFERROR(__xludf.DUMMYFUNCTION("""COMPUTED_VALUE"""),1385)</f>
        <v>1385</v>
      </c>
      <c r="H124" s="5">
        <f ca="1">IFERROR(__xludf.DUMMYFUNCTION("""COMPUTED_VALUE"""),206)</f>
        <v>206</v>
      </c>
      <c r="I124">
        <v>-27</v>
      </c>
      <c r="J124">
        <v>-4</v>
      </c>
      <c r="K124">
        <v>-77</v>
      </c>
      <c r="L124">
        <v>-44</v>
      </c>
      <c r="M124">
        <v>-33</v>
      </c>
      <c r="N124">
        <v>14</v>
      </c>
      <c r="O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4257</v>
      </c>
      <c r="AE124">
        <v>198</v>
      </c>
      <c r="AF124">
        <v>4059</v>
      </c>
      <c r="AG124" s="2">
        <v>4.6511627909999999E-2</v>
      </c>
      <c r="AH124" t="s">
        <v>31</v>
      </c>
      <c r="AI124" s="4">
        <v>644</v>
      </c>
      <c r="AJ124" s="4">
        <v>6680</v>
      </c>
      <c r="AK124" s="4">
        <v>3269</v>
      </c>
      <c r="AL124" s="4">
        <v>889</v>
      </c>
      <c r="AM124" s="4">
        <v>11482</v>
      </c>
      <c r="AN124" s="5">
        <f ca="1">IFERROR(__xludf.DUMMYFUNCTION("""COMPUTED_VALUE"""),35)</f>
        <v>35</v>
      </c>
    </row>
    <row r="125" spans="1:40" x14ac:dyDescent="0.35">
      <c r="A125" s="1">
        <v>124</v>
      </c>
      <c r="B125" s="7">
        <v>44014</v>
      </c>
      <c r="C125">
        <v>2</v>
      </c>
      <c r="D125">
        <v>191</v>
      </c>
      <c r="E125">
        <v>87</v>
      </c>
      <c r="F125">
        <v>-85</v>
      </c>
      <c r="G125" s="5">
        <f ca="1">IFERROR(__xludf.DUMMYFUNCTION("""COMPUTED_VALUE"""),1624)</f>
        <v>1624</v>
      </c>
      <c r="H125" s="5">
        <f ca="1">IFERROR(__xludf.DUMMYFUNCTION("""COMPUTED_VALUE"""),195)</f>
        <v>195</v>
      </c>
      <c r="I125">
        <v>-30</v>
      </c>
      <c r="J125">
        <v>-8</v>
      </c>
      <c r="K125">
        <v>-77</v>
      </c>
      <c r="L125">
        <v>-45</v>
      </c>
      <c r="M125">
        <v>-34</v>
      </c>
      <c r="N125">
        <v>15</v>
      </c>
      <c r="O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4255</v>
      </c>
      <c r="AE125">
        <v>144</v>
      </c>
      <c r="AF125">
        <v>4111</v>
      </c>
      <c r="AG125" s="2">
        <v>3.384253819E-2</v>
      </c>
      <c r="AH125" t="s">
        <v>31</v>
      </c>
      <c r="AI125" s="4">
        <v>646</v>
      </c>
      <c r="AJ125" s="4">
        <v>6871</v>
      </c>
      <c r="AK125" s="4">
        <v>3356</v>
      </c>
      <c r="AL125" s="4">
        <v>804</v>
      </c>
      <c r="AM125" s="4">
        <v>11677</v>
      </c>
      <c r="AN125" s="5">
        <f ca="1">IFERROR(__xludf.DUMMYFUNCTION("""COMPUTED_VALUE"""),2)</f>
        <v>2</v>
      </c>
    </row>
    <row r="126" spans="1:40" x14ac:dyDescent="0.35">
      <c r="A126" s="1">
        <v>125</v>
      </c>
      <c r="B126" s="7">
        <v>44015</v>
      </c>
      <c r="C126">
        <v>2</v>
      </c>
      <c r="D126">
        <v>238</v>
      </c>
      <c r="E126">
        <v>-25</v>
      </c>
      <c r="F126">
        <v>-68</v>
      </c>
      <c r="G126" s="5">
        <f ca="1">IFERROR(__xludf.DUMMYFUNCTION("""COMPUTED_VALUE"""),1301)</f>
        <v>1301</v>
      </c>
      <c r="H126" s="5">
        <f ca="1">IFERROR(__xludf.DUMMYFUNCTION("""COMPUTED_VALUE"""),147)</f>
        <v>147</v>
      </c>
      <c r="I126">
        <v>-24</v>
      </c>
      <c r="J126">
        <v>-3</v>
      </c>
      <c r="K126">
        <v>-72</v>
      </c>
      <c r="L126">
        <v>-43</v>
      </c>
      <c r="M126">
        <v>-32</v>
      </c>
      <c r="N126">
        <v>15</v>
      </c>
      <c r="O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5955</v>
      </c>
      <c r="AE126">
        <v>215</v>
      </c>
      <c r="AF126">
        <v>5740</v>
      </c>
      <c r="AG126" s="2">
        <v>3.6104114190000001E-2</v>
      </c>
      <c r="AH126" t="s">
        <v>31</v>
      </c>
      <c r="AI126" s="4">
        <v>648</v>
      </c>
      <c r="AJ126" s="4">
        <v>7109</v>
      </c>
      <c r="AK126" s="4">
        <v>3331</v>
      </c>
      <c r="AL126" s="4">
        <v>736</v>
      </c>
      <c r="AM126" s="4">
        <v>11824</v>
      </c>
      <c r="AN126" s="5">
        <f ca="1">IFERROR(__xludf.DUMMYFUNCTION("""COMPUTED_VALUE"""),-93)</f>
        <v>-93</v>
      </c>
    </row>
    <row r="127" spans="1:40" x14ac:dyDescent="0.35">
      <c r="A127" s="1">
        <v>126</v>
      </c>
      <c r="B127" s="7">
        <v>44016</v>
      </c>
      <c r="C127">
        <v>2</v>
      </c>
      <c r="D127">
        <v>268</v>
      </c>
      <c r="E127">
        <v>35</v>
      </c>
      <c r="F127">
        <v>-90</v>
      </c>
      <c r="G127" s="5">
        <f ca="1">IFERROR(__xludf.DUMMYFUNCTION("""COMPUTED_VALUE"""),1447)</f>
        <v>1447</v>
      </c>
      <c r="H127" s="5">
        <f ca="1">IFERROR(__xludf.DUMMYFUNCTION("""COMPUTED_VALUE"""),215)</f>
        <v>215</v>
      </c>
      <c r="I127">
        <v>-29</v>
      </c>
      <c r="J127">
        <v>-4</v>
      </c>
      <c r="K127">
        <v>-73</v>
      </c>
      <c r="L127">
        <v>-38</v>
      </c>
      <c r="M127">
        <v>-21</v>
      </c>
      <c r="N127">
        <v>10</v>
      </c>
      <c r="O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4305</v>
      </c>
      <c r="AE127">
        <v>256</v>
      </c>
      <c r="AF127">
        <v>4049</v>
      </c>
      <c r="AG127" s="2">
        <v>5.9465737509999998E-2</v>
      </c>
      <c r="AH127" t="s">
        <v>31</v>
      </c>
      <c r="AI127" s="4">
        <v>650</v>
      </c>
      <c r="AJ127" s="4">
        <v>7377</v>
      </c>
      <c r="AK127" s="4">
        <v>3366</v>
      </c>
      <c r="AL127" s="4">
        <v>646</v>
      </c>
      <c r="AM127" s="4">
        <v>12039</v>
      </c>
      <c r="AN127" s="5">
        <f ca="1">IFERROR(__xludf.DUMMYFUNCTION("""COMPUTED_VALUE"""),-55)</f>
        <v>-55</v>
      </c>
    </row>
    <row r="128" spans="1:40" x14ac:dyDescent="0.35">
      <c r="A128" s="1">
        <v>127</v>
      </c>
      <c r="B128" s="7">
        <v>44017</v>
      </c>
      <c r="C128">
        <v>8</v>
      </c>
      <c r="D128">
        <v>286</v>
      </c>
      <c r="E128">
        <v>24</v>
      </c>
      <c r="F128">
        <v>-62</v>
      </c>
      <c r="G128" s="5">
        <f ca="1">IFERROR(__xludf.DUMMYFUNCTION("""COMPUTED_VALUE"""),1607)</f>
        <v>1607</v>
      </c>
      <c r="H128" s="5">
        <f ca="1">IFERROR(__xludf.DUMMYFUNCTION("""COMPUTED_VALUE"""),256)</f>
        <v>256</v>
      </c>
      <c r="I128">
        <v>-33</v>
      </c>
      <c r="J128">
        <v>-9</v>
      </c>
      <c r="K128">
        <v>-75</v>
      </c>
      <c r="L128">
        <v>-39</v>
      </c>
      <c r="M128">
        <v>-17</v>
      </c>
      <c r="N128">
        <v>9</v>
      </c>
      <c r="O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3092</v>
      </c>
      <c r="AE128">
        <v>231</v>
      </c>
      <c r="AF128">
        <v>2861</v>
      </c>
      <c r="AG128" s="2">
        <v>7.4708926260000003E-2</v>
      </c>
      <c r="AH128" t="s">
        <v>31</v>
      </c>
      <c r="AI128" s="4">
        <v>658</v>
      </c>
      <c r="AJ128" s="4">
        <v>7663</v>
      </c>
      <c r="AK128" s="4">
        <v>3390</v>
      </c>
      <c r="AL128" s="4">
        <v>584</v>
      </c>
      <c r="AM128" s="4">
        <v>12295</v>
      </c>
      <c r="AN128" s="5">
        <f ca="1">IFERROR(__xludf.DUMMYFUNCTION("""COMPUTED_VALUE"""),-38)</f>
        <v>-38</v>
      </c>
    </row>
    <row r="129" spans="1:40" x14ac:dyDescent="0.35">
      <c r="A129" s="1">
        <v>128</v>
      </c>
      <c r="B129" s="7">
        <v>44018</v>
      </c>
      <c r="C129">
        <v>0</v>
      </c>
      <c r="D129">
        <v>370</v>
      </c>
      <c r="E129">
        <v>-50</v>
      </c>
      <c r="F129">
        <v>-89</v>
      </c>
      <c r="G129" s="5">
        <f ca="1">IFERROR(__xludf.DUMMYFUNCTION("""COMPUTED_VALUE"""),1209)</f>
        <v>1209</v>
      </c>
      <c r="H129" s="5">
        <f ca="1">IFERROR(__xludf.DUMMYFUNCTION("""COMPUTED_VALUE"""),231)</f>
        <v>231</v>
      </c>
      <c r="I129">
        <v>-25</v>
      </c>
      <c r="J129">
        <v>-6</v>
      </c>
      <c r="K129">
        <v>-75</v>
      </c>
      <c r="L129">
        <v>-43</v>
      </c>
      <c r="M129">
        <v>-32</v>
      </c>
      <c r="N129">
        <v>14</v>
      </c>
      <c r="O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4441</v>
      </c>
      <c r="AE129">
        <v>199</v>
      </c>
      <c r="AF129">
        <v>4242</v>
      </c>
      <c r="AG129" s="2">
        <v>4.4809727539999997E-2</v>
      </c>
      <c r="AH129" t="s">
        <v>31</v>
      </c>
      <c r="AI129" s="4">
        <v>658</v>
      </c>
      <c r="AJ129" s="4">
        <v>8033</v>
      </c>
      <c r="AK129" s="4">
        <v>3340</v>
      </c>
      <c r="AL129" s="4">
        <v>495</v>
      </c>
      <c r="AM129" s="4">
        <v>12526</v>
      </c>
      <c r="AN129" s="5">
        <f ca="1">IFERROR(__xludf.DUMMYFUNCTION("""COMPUTED_VALUE"""),-139)</f>
        <v>-139</v>
      </c>
    </row>
    <row r="130" spans="1:40" x14ac:dyDescent="0.35">
      <c r="A130" s="1">
        <v>129</v>
      </c>
      <c r="B130" s="7">
        <v>44019</v>
      </c>
      <c r="C130">
        <v>6</v>
      </c>
      <c r="D130">
        <v>244</v>
      </c>
      <c r="E130">
        <v>39</v>
      </c>
      <c r="F130">
        <v>-90</v>
      </c>
      <c r="G130" s="5">
        <f ca="1">IFERROR(__xludf.DUMMYFUNCTION("""COMPUTED_VALUE"""),1268)</f>
        <v>1268</v>
      </c>
      <c r="H130" s="5">
        <f ca="1">IFERROR(__xludf.DUMMYFUNCTION("""COMPUTED_VALUE"""),199)</f>
        <v>199</v>
      </c>
      <c r="I130">
        <v>-26</v>
      </c>
      <c r="J130">
        <v>-6</v>
      </c>
      <c r="K130">
        <v>-76</v>
      </c>
      <c r="L130">
        <v>-42</v>
      </c>
      <c r="M130">
        <v>-33</v>
      </c>
      <c r="N130">
        <v>14</v>
      </c>
      <c r="O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5473</v>
      </c>
      <c r="AE130">
        <v>308</v>
      </c>
      <c r="AF130">
        <v>5165</v>
      </c>
      <c r="AG130" s="2">
        <v>5.6276265300000003E-2</v>
      </c>
      <c r="AH130" t="s">
        <v>31</v>
      </c>
      <c r="AI130" s="4">
        <v>664</v>
      </c>
      <c r="AJ130" s="4">
        <v>8277</v>
      </c>
      <c r="AK130" s="4">
        <v>3379</v>
      </c>
      <c r="AL130" s="4">
        <v>405</v>
      </c>
      <c r="AM130" s="4">
        <v>12725</v>
      </c>
      <c r="AN130" s="5">
        <f ca="1">IFERROR(__xludf.DUMMYFUNCTION("""COMPUTED_VALUE"""),-51)</f>
        <v>-51</v>
      </c>
    </row>
    <row r="131" spans="1:40" x14ac:dyDescent="0.35">
      <c r="A131" s="1">
        <v>130</v>
      </c>
      <c r="B131" s="7">
        <v>44020</v>
      </c>
      <c r="C131">
        <v>3</v>
      </c>
      <c r="D131">
        <v>152</v>
      </c>
      <c r="E131">
        <v>177</v>
      </c>
      <c r="F131">
        <v>12</v>
      </c>
      <c r="G131" s="5">
        <f ca="1">IFERROR(__xludf.DUMMYFUNCTION("""COMPUTED_VALUE"""),1853)</f>
        <v>1853</v>
      </c>
      <c r="H131" s="5">
        <f ca="1">IFERROR(__xludf.DUMMYFUNCTION("""COMPUTED_VALUE"""),344)</f>
        <v>344</v>
      </c>
      <c r="I131">
        <v>-27</v>
      </c>
      <c r="J131">
        <v>-9</v>
      </c>
      <c r="K131">
        <v>-76</v>
      </c>
      <c r="L131">
        <v>-43</v>
      </c>
      <c r="M131">
        <v>-32</v>
      </c>
      <c r="N131">
        <v>14</v>
      </c>
      <c r="O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6486</v>
      </c>
      <c r="AE131">
        <v>293</v>
      </c>
      <c r="AF131">
        <v>6193</v>
      </c>
      <c r="AG131" s="2">
        <v>4.5174221399999999E-2</v>
      </c>
      <c r="AH131" t="s">
        <v>31</v>
      </c>
      <c r="AI131" s="4">
        <v>667</v>
      </c>
      <c r="AJ131" s="4">
        <v>8429</v>
      </c>
      <c r="AK131" s="4">
        <v>3556</v>
      </c>
      <c r="AL131" s="4">
        <v>417</v>
      </c>
      <c r="AM131" s="4">
        <v>13069</v>
      </c>
      <c r="AN131" s="5">
        <f ca="1">IFERROR(__xludf.DUMMYFUNCTION("""COMPUTED_VALUE"""),189)</f>
        <v>189</v>
      </c>
    </row>
    <row r="132" spans="1:40" x14ac:dyDescent="0.35">
      <c r="A132" s="1">
        <v>131</v>
      </c>
      <c r="B132" s="7">
        <v>44021</v>
      </c>
      <c r="C132">
        <v>10</v>
      </c>
      <c r="D132">
        <v>218</v>
      </c>
      <c r="E132">
        <v>28</v>
      </c>
      <c r="F132">
        <v>34</v>
      </c>
      <c r="G132" s="5">
        <f ca="1">IFERROR(__xludf.DUMMYFUNCTION("""COMPUTED_VALUE"""),2657)</f>
        <v>2657</v>
      </c>
      <c r="H132" s="5">
        <f ca="1">IFERROR(__xludf.DUMMYFUNCTION("""COMPUTED_VALUE"""),290)</f>
        <v>290</v>
      </c>
      <c r="I132">
        <v>-27</v>
      </c>
      <c r="J132">
        <v>-8</v>
      </c>
      <c r="K132">
        <v>-75</v>
      </c>
      <c r="L132">
        <v>-43</v>
      </c>
      <c r="M132">
        <v>-32</v>
      </c>
      <c r="N132">
        <v>14</v>
      </c>
      <c r="O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6423</v>
      </c>
      <c r="AE132">
        <v>236</v>
      </c>
      <c r="AF132">
        <v>6187</v>
      </c>
      <c r="AG132" s="2">
        <v>3.6742955010000002E-2</v>
      </c>
      <c r="AH132" t="s">
        <v>31</v>
      </c>
      <c r="AI132" s="4">
        <v>677</v>
      </c>
      <c r="AJ132" s="4">
        <v>8647</v>
      </c>
      <c r="AK132" s="4">
        <v>3584</v>
      </c>
      <c r="AL132" s="4">
        <v>451</v>
      </c>
      <c r="AM132" s="4">
        <v>13359</v>
      </c>
      <c r="AN132" s="5">
        <f ca="1">IFERROR(__xludf.DUMMYFUNCTION("""COMPUTED_VALUE"""),62)</f>
        <v>62</v>
      </c>
    </row>
    <row r="133" spans="1:40" x14ac:dyDescent="0.35">
      <c r="A133" s="1">
        <v>132</v>
      </c>
      <c r="B133" s="7">
        <v>44022</v>
      </c>
      <c r="C133">
        <v>7</v>
      </c>
      <c r="D133">
        <v>178</v>
      </c>
      <c r="E133">
        <v>29</v>
      </c>
      <c r="F133">
        <v>25</v>
      </c>
      <c r="G133" s="5">
        <f ca="1">IFERROR(__xludf.DUMMYFUNCTION("""COMPUTED_VALUE"""),1611)</f>
        <v>1611</v>
      </c>
      <c r="H133" s="5">
        <f ca="1">IFERROR(__xludf.DUMMYFUNCTION("""COMPUTED_VALUE"""),239)</f>
        <v>239</v>
      </c>
      <c r="I133">
        <v>-24</v>
      </c>
      <c r="J133">
        <v>-6</v>
      </c>
      <c r="K133">
        <v>-71</v>
      </c>
      <c r="L133">
        <v>-43</v>
      </c>
      <c r="M133">
        <v>-30</v>
      </c>
      <c r="N133">
        <v>15</v>
      </c>
      <c r="O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6584</v>
      </c>
      <c r="AE133">
        <v>359</v>
      </c>
      <c r="AF133">
        <v>6225</v>
      </c>
      <c r="AG133" s="2">
        <v>5.4526123939999997E-2</v>
      </c>
      <c r="AH133" t="s">
        <v>31</v>
      </c>
      <c r="AI133" s="4">
        <v>684</v>
      </c>
      <c r="AJ133" s="4">
        <v>8825</v>
      </c>
      <c r="AK133" s="4">
        <v>3613</v>
      </c>
      <c r="AL133" s="4">
        <v>476</v>
      </c>
      <c r="AM133" s="4">
        <v>13598</v>
      </c>
      <c r="AN133" s="5">
        <f ca="1">IFERROR(__xludf.DUMMYFUNCTION("""COMPUTED_VALUE"""),54)</f>
        <v>54</v>
      </c>
    </row>
    <row r="134" spans="1:40" x14ac:dyDescent="0.35">
      <c r="A134" s="1">
        <v>133</v>
      </c>
      <c r="B134" s="7">
        <v>44023</v>
      </c>
      <c r="C134">
        <v>6</v>
      </c>
      <c r="D134">
        <v>215</v>
      </c>
      <c r="E134">
        <v>119</v>
      </c>
      <c r="F134">
        <v>19</v>
      </c>
      <c r="G134" s="5">
        <f ca="1">IFERROR(__xludf.DUMMYFUNCTION("""COMPUTED_VALUE"""),1671)</f>
        <v>1671</v>
      </c>
      <c r="H134" s="5">
        <f ca="1">IFERROR(__xludf.DUMMYFUNCTION("""COMPUTED_VALUE"""),359)</f>
        <v>359</v>
      </c>
      <c r="I134">
        <v>-29</v>
      </c>
      <c r="J134">
        <v>-6</v>
      </c>
      <c r="K134">
        <v>-72</v>
      </c>
      <c r="L134">
        <v>-38</v>
      </c>
      <c r="M134">
        <v>-19</v>
      </c>
      <c r="N134">
        <v>10</v>
      </c>
      <c r="O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5690</v>
      </c>
      <c r="AE134">
        <v>404</v>
      </c>
      <c r="AF134">
        <v>5286</v>
      </c>
      <c r="AG134" s="2">
        <v>7.1001757469999996E-2</v>
      </c>
      <c r="AH134" t="s">
        <v>31</v>
      </c>
      <c r="AI134" s="4">
        <v>690</v>
      </c>
      <c r="AJ134" s="4">
        <v>9040</v>
      </c>
      <c r="AK134" s="4">
        <v>3732</v>
      </c>
      <c r="AL134" s="4">
        <v>495</v>
      </c>
      <c r="AM134" s="4">
        <v>13957</v>
      </c>
      <c r="AN134" s="5">
        <f ca="1">IFERROR(__xludf.DUMMYFUNCTION("""COMPUTED_VALUE"""),138)</f>
        <v>138</v>
      </c>
    </row>
    <row r="135" spans="1:40" x14ac:dyDescent="0.35">
      <c r="A135" s="1">
        <v>134</v>
      </c>
      <c r="B135" s="7">
        <v>44024</v>
      </c>
      <c r="C135">
        <v>12</v>
      </c>
      <c r="D135">
        <v>160</v>
      </c>
      <c r="E135">
        <v>173</v>
      </c>
      <c r="F135">
        <v>59</v>
      </c>
      <c r="G135" s="5">
        <f ca="1">IFERROR(__xludf.DUMMYFUNCTION("""COMPUTED_VALUE"""),1681)</f>
        <v>1681</v>
      </c>
      <c r="H135" s="5">
        <f ca="1">IFERROR(__xludf.DUMMYFUNCTION("""COMPUTED_VALUE"""),404)</f>
        <v>404</v>
      </c>
      <c r="I135">
        <v>-33</v>
      </c>
      <c r="J135">
        <v>-10</v>
      </c>
      <c r="K135">
        <v>-75</v>
      </c>
      <c r="L135">
        <v>-39</v>
      </c>
      <c r="M135">
        <v>-15</v>
      </c>
      <c r="N135">
        <v>9</v>
      </c>
      <c r="O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4102</v>
      </c>
      <c r="AE135">
        <v>279</v>
      </c>
      <c r="AF135">
        <v>3823</v>
      </c>
      <c r="AG135" s="2">
        <v>6.8015602150000007E-2</v>
      </c>
      <c r="AH135" t="s">
        <v>31</v>
      </c>
      <c r="AI135" s="4">
        <v>702</v>
      </c>
      <c r="AJ135" s="4">
        <v>9200</v>
      </c>
      <c r="AK135" s="4">
        <v>3905</v>
      </c>
      <c r="AL135" s="4">
        <v>554</v>
      </c>
      <c r="AM135" s="4">
        <v>14361</v>
      </c>
      <c r="AN135" s="5">
        <f ca="1">IFERROR(__xludf.DUMMYFUNCTION("""COMPUTED_VALUE"""),232)</f>
        <v>232</v>
      </c>
    </row>
    <row r="136" spans="1:40" x14ac:dyDescent="0.35">
      <c r="A136" s="1">
        <v>135</v>
      </c>
      <c r="B136" s="7">
        <v>44025</v>
      </c>
      <c r="C136">
        <v>8</v>
      </c>
      <c r="D136">
        <v>208</v>
      </c>
      <c r="E136">
        <v>19</v>
      </c>
      <c r="F136">
        <v>43</v>
      </c>
      <c r="G136" s="5">
        <f ca="1">IFERROR(__xludf.DUMMYFUNCTION("""COMPUTED_VALUE"""),1282)</f>
        <v>1282</v>
      </c>
      <c r="H136" s="5">
        <f ca="1">IFERROR(__xludf.DUMMYFUNCTION("""COMPUTED_VALUE"""),278)</f>
        <v>278</v>
      </c>
      <c r="I136">
        <v>-26</v>
      </c>
      <c r="J136">
        <v>-8</v>
      </c>
      <c r="K136">
        <v>-74</v>
      </c>
      <c r="L136">
        <v>-44</v>
      </c>
      <c r="M136">
        <v>-31</v>
      </c>
      <c r="N136">
        <v>14</v>
      </c>
      <c r="O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5998</v>
      </c>
      <c r="AE136">
        <v>275</v>
      </c>
      <c r="AF136">
        <v>5723</v>
      </c>
      <c r="AG136" s="2">
        <v>4.5848616209999998E-2</v>
      </c>
      <c r="AH136" t="s">
        <v>31</v>
      </c>
      <c r="AI136" s="4">
        <v>710</v>
      </c>
      <c r="AJ136" s="4">
        <v>9408</v>
      </c>
      <c r="AK136" s="4">
        <v>3924</v>
      </c>
      <c r="AL136" s="4">
        <v>597</v>
      </c>
      <c r="AM136" s="4">
        <v>14639</v>
      </c>
      <c r="AN136" s="5">
        <f ca="1">IFERROR(__xludf.DUMMYFUNCTION("""COMPUTED_VALUE"""),62)</f>
        <v>62</v>
      </c>
    </row>
    <row r="137" spans="1:40" x14ac:dyDescent="0.35">
      <c r="A137" s="1">
        <v>136</v>
      </c>
      <c r="B137" s="7">
        <v>44026</v>
      </c>
      <c r="C137">
        <v>4</v>
      </c>
      <c r="D137">
        <v>120</v>
      </c>
      <c r="E137">
        <v>129</v>
      </c>
      <c r="F137">
        <v>22</v>
      </c>
      <c r="G137" s="5">
        <f ca="1">IFERROR(__xludf.DUMMYFUNCTION("""COMPUTED_VALUE"""),1591)</f>
        <v>1591</v>
      </c>
      <c r="H137" s="5">
        <f ca="1">IFERROR(__xludf.DUMMYFUNCTION("""COMPUTED_VALUE"""),275)</f>
        <v>275</v>
      </c>
      <c r="I137">
        <v>-29</v>
      </c>
      <c r="J137">
        <v>-11</v>
      </c>
      <c r="K137">
        <v>-76</v>
      </c>
      <c r="L137">
        <v>-44</v>
      </c>
      <c r="M137">
        <v>-33</v>
      </c>
      <c r="N137">
        <v>15</v>
      </c>
      <c r="O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5414</v>
      </c>
      <c r="AE137">
        <v>258</v>
      </c>
      <c r="AF137">
        <v>5156</v>
      </c>
      <c r="AG137" s="2">
        <v>4.7654229770000001E-2</v>
      </c>
      <c r="AH137" t="s">
        <v>31</v>
      </c>
      <c r="AI137" s="4">
        <v>714</v>
      </c>
      <c r="AJ137" s="4">
        <v>9528</v>
      </c>
      <c r="AK137" s="4">
        <v>4053</v>
      </c>
      <c r="AL137" s="4">
        <v>619</v>
      </c>
      <c r="AM137" s="4">
        <v>14914</v>
      </c>
      <c r="AN137" s="5">
        <f ca="1">IFERROR(__xludf.DUMMYFUNCTION("""COMPUTED_VALUE"""),151)</f>
        <v>151</v>
      </c>
    </row>
    <row r="138" spans="1:40" x14ac:dyDescent="0.35">
      <c r="A138" s="1">
        <v>137</v>
      </c>
      <c r="B138" s="7">
        <v>44027</v>
      </c>
      <c r="C138">
        <v>6</v>
      </c>
      <c r="D138">
        <v>193</v>
      </c>
      <c r="E138">
        <v>-12</v>
      </c>
      <c r="F138">
        <v>72</v>
      </c>
      <c r="G138" s="5">
        <f ca="1">IFERROR(__xludf.DUMMYFUNCTION("""COMPUTED_VALUE"""),1522)</f>
        <v>1522</v>
      </c>
      <c r="H138" s="5">
        <f ca="1">IFERROR(__xludf.DUMMYFUNCTION("""COMPUTED_VALUE"""),259)</f>
        <v>259</v>
      </c>
      <c r="I138">
        <v>-28</v>
      </c>
      <c r="J138">
        <v>-12</v>
      </c>
      <c r="K138">
        <v>-75</v>
      </c>
      <c r="L138">
        <v>-44</v>
      </c>
      <c r="M138">
        <v>-32</v>
      </c>
      <c r="N138">
        <v>15</v>
      </c>
      <c r="O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6405</v>
      </c>
      <c r="AE138">
        <v>304</v>
      </c>
      <c r="AF138">
        <v>6101</v>
      </c>
      <c r="AG138" s="2">
        <v>4.7462919589999999E-2</v>
      </c>
      <c r="AH138" t="s">
        <v>31</v>
      </c>
      <c r="AI138" s="4">
        <v>720</v>
      </c>
      <c r="AJ138" s="4">
        <v>9721</v>
      </c>
      <c r="AK138" s="4">
        <v>4041</v>
      </c>
      <c r="AL138" s="4">
        <v>691</v>
      </c>
      <c r="AM138" s="4">
        <v>15173</v>
      </c>
      <c r="AN138" s="5">
        <f ca="1">IFERROR(__xludf.DUMMYFUNCTION("""COMPUTED_VALUE"""),60)</f>
        <v>60</v>
      </c>
    </row>
    <row r="139" spans="1:40" x14ac:dyDescent="0.35">
      <c r="A139" s="1">
        <v>138</v>
      </c>
      <c r="B139" s="7">
        <v>44028</v>
      </c>
      <c r="C139">
        <v>2</v>
      </c>
      <c r="D139">
        <v>136</v>
      </c>
      <c r="E139">
        <v>69</v>
      </c>
      <c r="F139">
        <v>86</v>
      </c>
      <c r="G139" s="5">
        <f ca="1">IFERROR(__xludf.DUMMYFUNCTION("""COMPUTED_VALUE"""),1574)</f>
        <v>1574</v>
      </c>
      <c r="H139" s="5">
        <f ca="1">IFERROR(__xludf.DUMMYFUNCTION("""COMPUTED_VALUE"""),293)</f>
        <v>293</v>
      </c>
      <c r="I139">
        <v>-28</v>
      </c>
      <c r="J139">
        <v>-10</v>
      </c>
      <c r="K139">
        <v>-73</v>
      </c>
      <c r="L139">
        <v>-43</v>
      </c>
      <c r="M139">
        <v>-31</v>
      </c>
      <c r="N139">
        <v>15</v>
      </c>
      <c r="O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6448</v>
      </c>
      <c r="AE139">
        <v>231</v>
      </c>
      <c r="AF139">
        <v>6217</v>
      </c>
      <c r="AG139" s="2">
        <v>3.582506203E-2</v>
      </c>
      <c r="AH139" t="s">
        <v>31</v>
      </c>
      <c r="AI139" s="4">
        <v>722</v>
      </c>
      <c r="AJ139" s="4">
        <v>9857</v>
      </c>
      <c r="AK139" s="4">
        <v>4110</v>
      </c>
      <c r="AL139" s="4">
        <v>777</v>
      </c>
      <c r="AM139" s="4">
        <v>15466</v>
      </c>
      <c r="AN139" s="5">
        <f ca="1">IFERROR(__xludf.DUMMYFUNCTION("""COMPUTED_VALUE"""),155)</f>
        <v>155</v>
      </c>
    </row>
    <row r="140" spans="1:40" x14ac:dyDescent="0.35">
      <c r="A140" s="1">
        <v>139</v>
      </c>
      <c r="B140" s="7">
        <v>44029</v>
      </c>
      <c r="C140">
        <v>9</v>
      </c>
      <c r="D140">
        <v>137</v>
      </c>
      <c r="E140">
        <v>46</v>
      </c>
      <c r="F140">
        <v>49</v>
      </c>
      <c r="G140" s="5">
        <f ca="1">IFERROR(__xludf.DUMMYFUNCTION("""COMPUTED_VALUE"""),1462)</f>
        <v>1462</v>
      </c>
      <c r="H140" s="5">
        <f ca="1">IFERROR(__xludf.DUMMYFUNCTION("""COMPUTED_VALUE"""),241)</f>
        <v>241</v>
      </c>
      <c r="I140">
        <v>-25</v>
      </c>
      <c r="J140">
        <v>-8</v>
      </c>
      <c r="K140">
        <v>-69</v>
      </c>
      <c r="L140">
        <v>-43</v>
      </c>
      <c r="M140">
        <v>-30</v>
      </c>
      <c r="N140">
        <v>15</v>
      </c>
      <c r="O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9056</v>
      </c>
      <c r="AE140">
        <v>331</v>
      </c>
      <c r="AF140">
        <v>8725</v>
      </c>
      <c r="AG140" s="2">
        <v>3.6550353360000003E-2</v>
      </c>
      <c r="AH140" t="s">
        <v>31</v>
      </c>
      <c r="AI140" s="4">
        <v>731</v>
      </c>
      <c r="AJ140" s="4">
        <v>9994</v>
      </c>
      <c r="AK140" s="4">
        <v>4156</v>
      </c>
      <c r="AL140" s="4">
        <v>826</v>
      </c>
      <c r="AM140" s="4">
        <v>15707</v>
      </c>
      <c r="AN140" s="5">
        <f ca="1">IFERROR(__xludf.DUMMYFUNCTION("""COMPUTED_VALUE"""),95)</f>
        <v>95</v>
      </c>
    </row>
    <row r="141" spans="1:40" x14ac:dyDescent="0.35">
      <c r="A141" s="1">
        <v>140</v>
      </c>
      <c r="B141" s="7">
        <v>44030</v>
      </c>
      <c r="C141">
        <v>9</v>
      </c>
      <c r="D141">
        <v>123</v>
      </c>
      <c r="E141">
        <v>133</v>
      </c>
      <c r="F141">
        <v>66</v>
      </c>
      <c r="G141" s="5">
        <f ca="1">IFERROR(__xludf.DUMMYFUNCTION("""COMPUTED_VALUE"""),1752)</f>
        <v>1752</v>
      </c>
      <c r="H141" s="5">
        <f ca="1">IFERROR(__xludf.DUMMYFUNCTION("""COMPUTED_VALUE"""),331)</f>
        <v>331</v>
      </c>
      <c r="I141">
        <v>-29</v>
      </c>
      <c r="J141">
        <v>-7</v>
      </c>
      <c r="K141">
        <v>-69</v>
      </c>
      <c r="L141">
        <v>-38</v>
      </c>
      <c r="M141">
        <v>-19</v>
      </c>
      <c r="N141">
        <v>10</v>
      </c>
      <c r="O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6781</v>
      </c>
      <c r="AE141">
        <v>312</v>
      </c>
      <c r="AF141">
        <v>6469</v>
      </c>
      <c r="AG141" s="2">
        <v>4.6010912840000001E-2</v>
      </c>
      <c r="AH141" t="s">
        <v>31</v>
      </c>
      <c r="AI141" s="4">
        <v>740</v>
      </c>
      <c r="AJ141" s="4">
        <v>10117</v>
      </c>
      <c r="AK141" s="4">
        <v>4289</v>
      </c>
      <c r="AL141" s="4">
        <v>892</v>
      </c>
      <c r="AM141" s="4">
        <v>16038</v>
      </c>
      <c r="AN141" s="5">
        <f ca="1">IFERROR(__xludf.DUMMYFUNCTION("""COMPUTED_VALUE"""),199)</f>
        <v>199</v>
      </c>
    </row>
    <row r="142" spans="1:40" x14ac:dyDescent="0.35">
      <c r="A142" s="1">
        <v>141</v>
      </c>
      <c r="B142" s="7">
        <v>44031</v>
      </c>
      <c r="C142">
        <v>8</v>
      </c>
      <c r="D142">
        <v>327</v>
      </c>
      <c r="E142">
        <v>-53</v>
      </c>
      <c r="F142">
        <v>31</v>
      </c>
      <c r="G142" s="5">
        <f ca="1">IFERROR(__xludf.DUMMYFUNCTION("""COMPUTED_VALUE"""),1639)</f>
        <v>1639</v>
      </c>
      <c r="H142" s="5">
        <f ca="1">IFERROR(__xludf.DUMMYFUNCTION("""COMPUTED_VALUE"""),313)</f>
        <v>313</v>
      </c>
      <c r="I142">
        <v>-33</v>
      </c>
      <c r="J142">
        <v>-11</v>
      </c>
      <c r="K142">
        <v>-72</v>
      </c>
      <c r="L142">
        <v>-39</v>
      </c>
      <c r="M142">
        <v>-14</v>
      </c>
      <c r="N142">
        <v>10</v>
      </c>
      <c r="O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3655</v>
      </c>
      <c r="AE142">
        <v>361</v>
      </c>
      <c r="AF142">
        <v>3294</v>
      </c>
      <c r="AG142" s="2">
        <v>9.876880985E-2</v>
      </c>
      <c r="AH142" t="s">
        <v>31</v>
      </c>
      <c r="AI142" s="4">
        <v>748</v>
      </c>
      <c r="AJ142" s="4">
        <v>10444</v>
      </c>
      <c r="AK142" s="4">
        <v>4236</v>
      </c>
      <c r="AL142" s="4">
        <v>923</v>
      </c>
      <c r="AM142" s="4">
        <v>16351</v>
      </c>
      <c r="AN142" s="5">
        <f ca="1">IFERROR(__xludf.DUMMYFUNCTION("""COMPUTED_VALUE"""),-22)</f>
        <v>-22</v>
      </c>
    </row>
    <row r="143" spans="1:40" x14ac:dyDescent="0.35">
      <c r="A143" s="1">
        <v>142</v>
      </c>
      <c r="B143" s="7">
        <v>44032</v>
      </c>
      <c r="C143">
        <v>1</v>
      </c>
      <c r="D143">
        <v>158</v>
      </c>
      <c r="E143">
        <v>99</v>
      </c>
      <c r="F143">
        <v>103</v>
      </c>
      <c r="G143" s="5">
        <f ca="1">IFERROR(__xludf.DUMMYFUNCTION("""COMPUTED_VALUE"""),1693)</f>
        <v>1693</v>
      </c>
      <c r="H143" s="5">
        <f ca="1">IFERROR(__xludf.DUMMYFUNCTION("""COMPUTED_VALUE"""),361)</f>
        <v>361</v>
      </c>
      <c r="I143">
        <v>-27</v>
      </c>
      <c r="J143">
        <v>-9</v>
      </c>
      <c r="K143">
        <v>-72</v>
      </c>
      <c r="L143">
        <v>-43</v>
      </c>
      <c r="M143">
        <v>-31</v>
      </c>
      <c r="N143">
        <v>15</v>
      </c>
      <c r="O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6088</v>
      </c>
      <c r="AE143">
        <v>441</v>
      </c>
      <c r="AF143">
        <v>5647</v>
      </c>
      <c r="AG143" s="2">
        <v>7.2437582129999997E-2</v>
      </c>
      <c r="AH143" t="s">
        <v>31</v>
      </c>
      <c r="AI143" s="4">
        <v>749</v>
      </c>
      <c r="AJ143" s="4">
        <v>10602</v>
      </c>
      <c r="AK143" s="4">
        <v>4335</v>
      </c>
      <c r="AL143" s="4">
        <v>1026</v>
      </c>
      <c r="AM143" s="4">
        <v>16712</v>
      </c>
      <c r="AN143" s="5">
        <f ca="1">IFERROR(__xludf.DUMMYFUNCTION("""COMPUTED_VALUE"""),202)</f>
        <v>202</v>
      </c>
    </row>
    <row r="144" spans="1:40" x14ac:dyDescent="0.35">
      <c r="A144" s="1">
        <v>143</v>
      </c>
      <c r="B144" s="7">
        <v>44033</v>
      </c>
      <c r="C144">
        <v>9</v>
      </c>
      <c r="D144">
        <v>262</v>
      </c>
      <c r="E144">
        <v>123</v>
      </c>
      <c r="F144">
        <v>47</v>
      </c>
      <c r="G144" s="5">
        <f ca="1">IFERROR(__xludf.DUMMYFUNCTION("""COMPUTED_VALUE"""),1655)</f>
        <v>1655</v>
      </c>
      <c r="H144" s="5">
        <f ca="1">IFERROR(__xludf.DUMMYFUNCTION("""COMPUTED_VALUE"""),441)</f>
        <v>441</v>
      </c>
      <c r="I144">
        <v>-30</v>
      </c>
      <c r="J144">
        <v>-12</v>
      </c>
      <c r="K144">
        <v>-73</v>
      </c>
      <c r="L144">
        <v>-43</v>
      </c>
      <c r="M144">
        <v>-33</v>
      </c>
      <c r="N144">
        <v>15</v>
      </c>
      <c r="O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8081</v>
      </c>
      <c r="AE144">
        <v>382</v>
      </c>
      <c r="AF144">
        <v>7699</v>
      </c>
      <c r="AG144" s="2">
        <v>4.72713773E-2</v>
      </c>
      <c r="AH144" t="s">
        <v>31</v>
      </c>
      <c r="AI144" s="4">
        <v>758</v>
      </c>
      <c r="AJ144" s="4">
        <v>10864</v>
      </c>
      <c r="AK144" s="4">
        <v>4458</v>
      </c>
      <c r="AL144" s="4">
        <v>1073</v>
      </c>
      <c r="AM144" s="4">
        <v>17153</v>
      </c>
      <c r="AN144" s="5">
        <f ca="1">IFERROR(__xludf.DUMMYFUNCTION("""COMPUTED_VALUE"""),170)</f>
        <v>170</v>
      </c>
    </row>
    <row r="145" spans="1:40" x14ac:dyDescent="0.35">
      <c r="A145" s="1">
        <v>144</v>
      </c>
      <c r="B145" s="7">
        <v>44034</v>
      </c>
      <c r="C145">
        <v>8</v>
      </c>
      <c r="D145">
        <v>323</v>
      </c>
      <c r="E145">
        <v>-75</v>
      </c>
      <c r="F145">
        <v>120</v>
      </c>
      <c r="G145" s="5">
        <f ca="1">IFERROR(__xludf.DUMMYFUNCTION("""COMPUTED_VALUE"""),1882)</f>
        <v>1882</v>
      </c>
      <c r="H145" s="5">
        <f ca="1">IFERROR(__xludf.DUMMYFUNCTION("""COMPUTED_VALUE"""),376)</f>
        <v>376</v>
      </c>
      <c r="I145">
        <v>-29</v>
      </c>
      <c r="J145">
        <v>-13</v>
      </c>
      <c r="K145">
        <v>-73</v>
      </c>
      <c r="L145">
        <v>-44</v>
      </c>
      <c r="M145">
        <v>-31</v>
      </c>
      <c r="N145">
        <v>15</v>
      </c>
      <c r="O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10061</v>
      </c>
      <c r="AE145">
        <v>416</v>
      </c>
      <c r="AF145">
        <v>9645</v>
      </c>
      <c r="AG145" s="2">
        <v>4.1347778549999999E-2</v>
      </c>
      <c r="AH145" t="s">
        <v>31</v>
      </c>
      <c r="AI145" s="4">
        <v>766</v>
      </c>
      <c r="AJ145" s="4">
        <v>11187</v>
      </c>
      <c r="AK145" s="4">
        <v>4383</v>
      </c>
      <c r="AL145" s="4">
        <v>1193</v>
      </c>
      <c r="AM145" s="4">
        <v>17529</v>
      </c>
      <c r="AN145" s="5">
        <f ca="1">IFERROR(__xludf.DUMMYFUNCTION("""COMPUTED_VALUE"""),45)</f>
        <v>45</v>
      </c>
    </row>
    <row r="146" spans="1:40" x14ac:dyDescent="0.35">
      <c r="A146" s="1">
        <v>145</v>
      </c>
      <c r="B146" s="7">
        <v>44035</v>
      </c>
      <c r="C146">
        <v>1</v>
      </c>
      <c r="D146">
        <v>115</v>
      </c>
      <c r="E146">
        <v>292</v>
      </c>
      <c r="F146">
        <v>8</v>
      </c>
      <c r="G146" s="5">
        <f ca="1">IFERROR(__xludf.DUMMYFUNCTION("""COMPUTED_VALUE"""),1906)</f>
        <v>1906</v>
      </c>
      <c r="H146" s="5">
        <f ca="1">IFERROR(__xludf.DUMMYFUNCTION("""COMPUTED_VALUE"""),416)</f>
        <v>416</v>
      </c>
      <c r="I146">
        <v>-29</v>
      </c>
      <c r="J146">
        <v>-12</v>
      </c>
      <c r="K146">
        <v>-72</v>
      </c>
      <c r="L146">
        <v>-45</v>
      </c>
      <c r="M146">
        <v>-31</v>
      </c>
      <c r="N146">
        <v>15</v>
      </c>
      <c r="O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8773</v>
      </c>
      <c r="AE146">
        <v>279</v>
      </c>
      <c r="AF146">
        <v>8494</v>
      </c>
      <c r="AG146" s="2">
        <v>3.1802120140000001E-2</v>
      </c>
      <c r="AH146" t="s">
        <v>31</v>
      </c>
      <c r="AI146" s="4">
        <v>767</v>
      </c>
      <c r="AJ146" s="4">
        <v>11302</v>
      </c>
      <c r="AK146" s="4">
        <v>4675</v>
      </c>
      <c r="AL146" s="4">
        <v>1201</v>
      </c>
      <c r="AM146" s="4">
        <v>17945</v>
      </c>
      <c r="AN146" s="5">
        <f ca="1">IFERROR(__xludf.DUMMYFUNCTION("""COMPUTED_VALUE"""),300)</f>
        <v>300</v>
      </c>
    </row>
    <row r="147" spans="1:40" x14ac:dyDescent="0.35">
      <c r="A147" s="1">
        <v>146</v>
      </c>
      <c r="B147" s="7">
        <v>44036</v>
      </c>
      <c r="C147">
        <v>1</v>
      </c>
      <c r="D147">
        <v>283</v>
      </c>
      <c r="E147">
        <v>-98</v>
      </c>
      <c r="F147">
        <v>99</v>
      </c>
      <c r="G147" s="5">
        <f ca="1">IFERROR(__xludf.DUMMYFUNCTION("""COMPUTED_VALUE"""),1761)</f>
        <v>1761</v>
      </c>
      <c r="H147" s="5">
        <f ca="1">IFERROR(__xludf.DUMMYFUNCTION("""COMPUTED_VALUE"""),285)</f>
        <v>285</v>
      </c>
      <c r="I147">
        <v>-24</v>
      </c>
      <c r="J147">
        <v>-6</v>
      </c>
      <c r="K147">
        <v>-67</v>
      </c>
      <c r="L147">
        <v>-42</v>
      </c>
      <c r="M147">
        <v>-29</v>
      </c>
      <c r="N147">
        <v>15</v>
      </c>
      <c r="O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9100</v>
      </c>
      <c r="AE147">
        <v>393</v>
      </c>
      <c r="AF147">
        <v>8707</v>
      </c>
      <c r="AG147" s="2">
        <v>4.3186813189999999E-2</v>
      </c>
      <c r="AH147" t="s">
        <v>31</v>
      </c>
      <c r="AI147" s="4">
        <v>768</v>
      </c>
      <c r="AJ147" s="4">
        <v>11585</v>
      </c>
      <c r="AK147" s="4">
        <v>4577</v>
      </c>
      <c r="AL147" s="4">
        <v>1300</v>
      </c>
      <c r="AM147" s="4">
        <v>18230</v>
      </c>
      <c r="AN147" s="5">
        <f ca="1">IFERROR(__xludf.DUMMYFUNCTION("""COMPUTED_VALUE"""),1)</f>
        <v>1</v>
      </c>
    </row>
    <row r="148" spans="1:40" x14ac:dyDescent="0.35">
      <c r="A148" s="1">
        <v>147</v>
      </c>
      <c r="B148" s="7">
        <v>44037</v>
      </c>
      <c r="C148">
        <v>1</v>
      </c>
      <c r="D148">
        <v>130</v>
      </c>
      <c r="E148">
        <v>152</v>
      </c>
      <c r="F148">
        <v>110</v>
      </c>
      <c r="G148" s="5">
        <f ca="1">IFERROR(__xludf.DUMMYFUNCTION("""COMPUTED_VALUE"""),1868)</f>
        <v>1868</v>
      </c>
      <c r="H148" s="5">
        <f ca="1">IFERROR(__xludf.DUMMYFUNCTION("""COMPUTED_VALUE"""),393)</f>
        <v>393</v>
      </c>
      <c r="I148">
        <v>-26</v>
      </c>
      <c r="J148">
        <v>-3</v>
      </c>
      <c r="K148">
        <v>-68</v>
      </c>
      <c r="L148">
        <v>-35</v>
      </c>
      <c r="M148">
        <v>-19</v>
      </c>
      <c r="N148">
        <v>10</v>
      </c>
      <c r="O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6887</v>
      </c>
      <c r="AE148">
        <v>611</v>
      </c>
      <c r="AF148">
        <v>6276</v>
      </c>
      <c r="AG148" s="2">
        <v>8.8717874259999996E-2</v>
      </c>
      <c r="AH148" t="s">
        <v>31</v>
      </c>
      <c r="AI148" s="4">
        <v>769</v>
      </c>
      <c r="AJ148" s="4">
        <v>11715</v>
      </c>
      <c r="AK148" s="4">
        <v>4729</v>
      </c>
      <c r="AL148" s="4">
        <v>1410</v>
      </c>
      <c r="AM148" s="4">
        <v>18623</v>
      </c>
      <c r="AN148" s="5">
        <f ca="1">IFERROR(__xludf.DUMMYFUNCTION("""COMPUTED_VALUE"""),262)</f>
        <v>262</v>
      </c>
    </row>
    <row r="149" spans="1:40" x14ac:dyDescent="0.35">
      <c r="A149" s="1">
        <v>148</v>
      </c>
      <c r="B149" s="7">
        <v>44038</v>
      </c>
      <c r="C149">
        <v>10</v>
      </c>
      <c r="D149">
        <v>174</v>
      </c>
      <c r="E149">
        <v>113</v>
      </c>
      <c r="F149">
        <v>81</v>
      </c>
      <c r="G149" s="5">
        <f ca="1">IFERROR(__xludf.DUMMYFUNCTION("""COMPUTED_VALUE"""),1492)</f>
        <v>1492</v>
      </c>
      <c r="H149" s="5">
        <f ca="1">IFERROR(__xludf.DUMMYFUNCTION("""COMPUTED_VALUE"""),378)</f>
        <v>378</v>
      </c>
      <c r="I149">
        <v>-32</v>
      </c>
      <c r="J149">
        <v>-9</v>
      </c>
      <c r="K149">
        <v>-72</v>
      </c>
      <c r="L149">
        <v>-37</v>
      </c>
      <c r="M149">
        <v>-14</v>
      </c>
      <c r="N149">
        <v>9</v>
      </c>
      <c r="O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3148</v>
      </c>
      <c r="AE149">
        <v>270</v>
      </c>
      <c r="AF149">
        <v>2878</v>
      </c>
      <c r="AG149" s="2">
        <v>8.576874206E-2</v>
      </c>
      <c r="AH149" t="s">
        <v>31</v>
      </c>
      <c r="AI149" s="4">
        <v>779</v>
      </c>
      <c r="AJ149" s="4">
        <v>11889</v>
      </c>
      <c r="AK149" s="4">
        <v>4842</v>
      </c>
      <c r="AL149" s="4">
        <v>1491</v>
      </c>
      <c r="AM149" s="4">
        <v>19001</v>
      </c>
      <c r="AN149" s="5">
        <f ca="1">IFERROR(__xludf.DUMMYFUNCTION("""COMPUTED_VALUE"""),194)</f>
        <v>194</v>
      </c>
    </row>
    <row r="150" spans="1:40" x14ac:dyDescent="0.35">
      <c r="A150" s="1">
        <v>149</v>
      </c>
      <c r="B150" s="7">
        <v>44039</v>
      </c>
      <c r="C150">
        <v>3</v>
      </c>
      <c r="D150">
        <v>107</v>
      </c>
      <c r="E150">
        <v>151</v>
      </c>
      <c r="F150">
        <v>211</v>
      </c>
      <c r="G150" s="5">
        <f ca="1">IFERROR(__xludf.DUMMYFUNCTION("""COMPUTED_VALUE"""),1525)</f>
        <v>1525</v>
      </c>
      <c r="H150" s="5">
        <f ca="1">IFERROR(__xludf.DUMMYFUNCTION("""COMPUTED_VALUE"""),472)</f>
        <v>472</v>
      </c>
      <c r="I150">
        <v>-26</v>
      </c>
      <c r="J150">
        <v>-8</v>
      </c>
      <c r="K150">
        <v>-71</v>
      </c>
      <c r="L150">
        <v>-42</v>
      </c>
      <c r="M150">
        <v>-31</v>
      </c>
      <c r="N150">
        <v>14</v>
      </c>
      <c r="O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8184</v>
      </c>
      <c r="AE150">
        <v>436</v>
      </c>
      <c r="AF150">
        <v>7748</v>
      </c>
      <c r="AG150" s="2">
        <v>5.3274682310000002E-2</v>
      </c>
      <c r="AH150" t="s">
        <v>31</v>
      </c>
      <c r="AI150" s="4">
        <v>782</v>
      </c>
      <c r="AJ150" s="4">
        <v>11996</v>
      </c>
      <c r="AK150" s="4">
        <v>4993</v>
      </c>
      <c r="AL150" s="4">
        <v>1702</v>
      </c>
      <c r="AM150" s="4">
        <v>19473</v>
      </c>
      <c r="AN150" s="5">
        <f ca="1">IFERROR(__xludf.DUMMYFUNCTION("""COMPUTED_VALUE"""),362)</f>
        <v>362</v>
      </c>
    </row>
    <row r="151" spans="1:40" x14ac:dyDescent="0.35">
      <c r="A151" s="1">
        <v>150</v>
      </c>
      <c r="B151" s="7">
        <v>44040</v>
      </c>
      <c r="C151">
        <v>13</v>
      </c>
      <c r="D151">
        <v>377</v>
      </c>
      <c r="E151">
        <v>-124</v>
      </c>
      <c r="F151">
        <v>146</v>
      </c>
      <c r="G151" s="5">
        <f ca="1">IFERROR(__xludf.DUMMYFUNCTION("""COMPUTED_VALUE"""),1748)</f>
        <v>1748</v>
      </c>
      <c r="H151" s="5">
        <f ca="1">IFERROR(__xludf.DUMMYFUNCTION("""COMPUTED_VALUE"""),412)</f>
        <v>412</v>
      </c>
      <c r="I151">
        <v>-27</v>
      </c>
      <c r="J151">
        <v>-6</v>
      </c>
      <c r="K151">
        <v>-73</v>
      </c>
      <c r="L151">
        <v>-41</v>
      </c>
      <c r="M151">
        <v>-32</v>
      </c>
      <c r="N151">
        <v>14</v>
      </c>
      <c r="O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8824</v>
      </c>
      <c r="AE151">
        <v>542</v>
      </c>
      <c r="AF151">
        <v>8282</v>
      </c>
      <c r="AG151" s="2">
        <v>6.1423390750000001E-2</v>
      </c>
      <c r="AH151" t="s">
        <v>31</v>
      </c>
      <c r="AI151" s="4">
        <v>795</v>
      </c>
      <c r="AJ151" s="4">
        <v>12373</v>
      </c>
      <c r="AK151" s="4">
        <v>4869</v>
      </c>
      <c r="AL151" s="4">
        <v>1848</v>
      </c>
      <c r="AM151" s="4">
        <v>19885</v>
      </c>
      <c r="AN151" s="5">
        <f ca="1">IFERROR(__xludf.DUMMYFUNCTION("""COMPUTED_VALUE"""),22)</f>
        <v>22</v>
      </c>
    </row>
    <row r="152" spans="1:40" x14ac:dyDescent="0.35">
      <c r="A152" s="1">
        <v>151</v>
      </c>
      <c r="B152" s="7">
        <v>44041</v>
      </c>
      <c r="C152">
        <v>25</v>
      </c>
      <c r="D152">
        <v>240</v>
      </c>
      <c r="E152">
        <v>224</v>
      </c>
      <c r="F152">
        <v>96</v>
      </c>
      <c r="G152" s="5">
        <f ca="1">IFERROR(__xludf.DUMMYFUNCTION("""COMPUTED_VALUE"""),2381)</f>
        <v>2381</v>
      </c>
      <c r="H152" s="5">
        <f ca="1">IFERROR(__xludf.DUMMYFUNCTION("""COMPUTED_VALUE"""),585)</f>
        <v>585</v>
      </c>
      <c r="I152">
        <v>-26</v>
      </c>
      <c r="J152">
        <v>-6</v>
      </c>
      <c r="K152">
        <v>-73</v>
      </c>
      <c r="L152">
        <v>-39</v>
      </c>
      <c r="M152">
        <v>-33</v>
      </c>
      <c r="N152">
        <v>14</v>
      </c>
      <c r="O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9120</v>
      </c>
      <c r="AE152">
        <v>340</v>
      </c>
      <c r="AF152">
        <v>8780</v>
      </c>
      <c r="AG152" s="2">
        <v>3.7280701749999999E-2</v>
      </c>
      <c r="AH152" t="s">
        <v>31</v>
      </c>
      <c r="AI152" s="4">
        <v>820</v>
      </c>
      <c r="AJ152" s="4">
        <v>12613</v>
      </c>
      <c r="AK152" s="4">
        <v>5093</v>
      </c>
      <c r="AL152" s="4">
        <v>1944</v>
      </c>
      <c r="AM152" s="4">
        <v>20470</v>
      </c>
      <c r="AN152" s="5">
        <f ca="1">IFERROR(__xludf.DUMMYFUNCTION("""COMPUTED_VALUE"""),320)</f>
        <v>320</v>
      </c>
    </row>
    <row r="153" spans="1:40" x14ac:dyDescent="0.35">
      <c r="A153" s="1">
        <v>152</v>
      </c>
      <c r="B153" s="7">
        <v>44042</v>
      </c>
      <c r="C153">
        <v>1</v>
      </c>
      <c r="D153">
        <v>188</v>
      </c>
      <c r="E153">
        <v>5</v>
      </c>
      <c r="F153">
        <v>105</v>
      </c>
      <c r="G153" s="5">
        <f ca="1">IFERROR(__xludf.DUMMYFUNCTION("""COMPUTED_VALUE"""),1904)</f>
        <v>1904</v>
      </c>
      <c r="H153" s="5">
        <f ca="1">IFERROR(__xludf.DUMMYFUNCTION("""COMPUTED_VALUE"""),299)</f>
        <v>299</v>
      </c>
      <c r="I153">
        <v>-23</v>
      </c>
      <c r="J153">
        <v>4</v>
      </c>
      <c r="K153">
        <v>-64</v>
      </c>
      <c r="L153">
        <v>-35</v>
      </c>
      <c r="M153">
        <v>-34</v>
      </c>
      <c r="N153">
        <v>11</v>
      </c>
      <c r="O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8520</v>
      </c>
      <c r="AE153">
        <v>585</v>
      </c>
      <c r="AF153">
        <v>7935</v>
      </c>
      <c r="AG153" s="2">
        <v>6.8661971830000001E-2</v>
      </c>
      <c r="AH153" t="s">
        <v>31</v>
      </c>
      <c r="AI153" s="4">
        <v>821</v>
      </c>
      <c r="AJ153" s="4">
        <v>12801</v>
      </c>
      <c r="AK153" s="4">
        <v>5098</v>
      </c>
      <c r="AL153" s="4">
        <v>2049</v>
      </c>
      <c r="AM153" s="4">
        <v>20769</v>
      </c>
      <c r="AN153" s="5">
        <f ca="1">IFERROR(__xludf.DUMMYFUNCTION("""COMPUTED_VALUE"""),110)</f>
        <v>110</v>
      </c>
    </row>
    <row r="154" spans="1:40" x14ac:dyDescent="0.35">
      <c r="A154" s="1">
        <v>153</v>
      </c>
      <c r="B154" s="7">
        <v>44043</v>
      </c>
      <c r="C154">
        <v>15</v>
      </c>
      <c r="D154">
        <v>407</v>
      </c>
      <c r="E154">
        <v>-124</v>
      </c>
      <c r="F154">
        <v>134</v>
      </c>
      <c r="G154" s="5">
        <f ca="1">IFERROR(__xludf.DUMMYFUNCTION("""COMPUTED_VALUE"""),2040)</f>
        <v>2040</v>
      </c>
      <c r="H154" s="5">
        <f ca="1">IFERROR(__xludf.DUMMYFUNCTION("""COMPUTED_VALUE"""),432)</f>
        <v>432</v>
      </c>
      <c r="I154">
        <v>-41</v>
      </c>
      <c r="J154">
        <v>-21</v>
      </c>
      <c r="K154">
        <v>-64</v>
      </c>
      <c r="L154">
        <v>-60</v>
      </c>
      <c r="M154">
        <v>-71</v>
      </c>
      <c r="N154">
        <v>23</v>
      </c>
      <c r="O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4222</v>
      </c>
      <c r="AE154">
        <v>330</v>
      </c>
      <c r="AF154">
        <v>3892</v>
      </c>
      <c r="AG154" s="2">
        <v>7.8162008529999993E-2</v>
      </c>
      <c r="AH154" t="s">
        <v>31</v>
      </c>
      <c r="AI154" s="4">
        <v>836</v>
      </c>
      <c r="AJ154" s="4">
        <v>13208</v>
      </c>
      <c r="AK154" s="4">
        <v>4974</v>
      </c>
      <c r="AL154" s="4">
        <v>2183</v>
      </c>
      <c r="AM154" s="4">
        <v>21201</v>
      </c>
      <c r="AN154" s="5">
        <f ca="1">IFERROR(__xludf.DUMMYFUNCTION("""COMPUTED_VALUE"""),10)</f>
        <v>10</v>
      </c>
    </row>
    <row r="155" spans="1:40" x14ac:dyDescent="0.35">
      <c r="A155" s="1">
        <v>154</v>
      </c>
      <c r="B155" s="7">
        <v>44044</v>
      </c>
      <c r="C155">
        <v>16</v>
      </c>
      <c r="D155">
        <v>679</v>
      </c>
      <c r="E155">
        <v>-291</v>
      </c>
      <c r="F155">
        <v>-30</v>
      </c>
      <c r="G155" s="5">
        <f ca="1">IFERROR(__xludf.DUMMYFUNCTION("""COMPUTED_VALUE"""),1560)</f>
        <v>1560</v>
      </c>
      <c r="H155" s="5">
        <f ca="1">IFERROR(__xludf.DUMMYFUNCTION("""COMPUTED_VALUE"""),374)</f>
        <v>374</v>
      </c>
      <c r="I155">
        <v>-37</v>
      </c>
      <c r="J155">
        <v>-14</v>
      </c>
      <c r="K155">
        <v>-69</v>
      </c>
      <c r="L155">
        <v>-45</v>
      </c>
      <c r="M155">
        <v>-31</v>
      </c>
      <c r="N155">
        <v>10</v>
      </c>
      <c r="O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6366</v>
      </c>
      <c r="AE155">
        <v>329</v>
      </c>
      <c r="AF155">
        <v>6037</v>
      </c>
      <c r="AG155" s="2">
        <v>5.1680804269999998E-2</v>
      </c>
      <c r="AH155" t="s">
        <v>31</v>
      </c>
      <c r="AI155" s="4">
        <v>852</v>
      </c>
      <c r="AJ155" s="4">
        <v>13887</v>
      </c>
      <c r="AK155" s="4">
        <v>4683</v>
      </c>
      <c r="AL155" s="4">
        <v>2153</v>
      </c>
      <c r="AM155" s="4">
        <v>21575</v>
      </c>
      <c r="AN155" s="5">
        <f ca="1">IFERROR(__xludf.DUMMYFUNCTION("""COMPUTED_VALUE"""),-321)</f>
        <v>-321</v>
      </c>
    </row>
    <row r="156" spans="1:40" x14ac:dyDescent="0.35">
      <c r="A156" s="1">
        <v>155</v>
      </c>
      <c r="B156" s="7">
        <v>44045</v>
      </c>
      <c r="C156">
        <v>0</v>
      </c>
      <c r="D156">
        <v>140</v>
      </c>
      <c r="E156">
        <v>233</v>
      </c>
      <c r="F156">
        <v>6</v>
      </c>
      <c r="G156" s="5">
        <f ca="1">IFERROR(__xludf.DUMMYFUNCTION("""COMPUTED_VALUE"""),1519)</f>
        <v>1519</v>
      </c>
      <c r="H156" s="5">
        <f ca="1">IFERROR(__xludf.DUMMYFUNCTION("""COMPUTED_VALUE"""),379)</f>
        <v>379</v>
      </c>
      <c r="I156">
        <v>-37</v>
      </c>
      <c r="J156">
        <v>-14</v>
      </c>
      <c r="K156">
        <v>-71</v>
      </c>
      <c r="L156">
        <v>-40</v>
      </c>
      <c r="M156">
        <v>-19</v>
      </c>
      <c r="N156">
        <v>7</v>
      </c>
      <c r="O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3675</v>
      </c>
      <c r="AE156">
        <v>439</v>
      </c>
      <c r="AF156">
        <v>3236</v>
      </c>
      <c r="AG156" s="2">
        <v>0.11945578229999999</v>
      </c>
      <c r="AH156" t="s">
        <v>31</v>
      </c>
      <c r="AI156" s="4">
        <v>852</v>
      </c>
      <c r="AJ156" s="4">
        <v>14027</v>
      </c>
      <c r="AK156" s="4">
        <v>4916</v>
      </c>
      <c r="AL156" s="4">
        <v>2159</v>
      </c>
      <c r="AM156" s="4">
        <v>21954</v>
      </c>
      <c r="AN156" s="5">
        <f ca="1">IFERROR(__xludf.DUMMYFUNCTION("""COMPUTED_VALUE"""),239)</f>
        <v>239</v>
      </c>
    </row>
    <row r="157" spans="1:40" x14ac:dyDescent="0.35">
      <c r="A157" s="1">
        <v>156</v>
      </c>
      <c r="B157" s="7">
        <v>44046</v>
      </c>
      <c r="C157">
        <v>15</v>
      </c>
      <c r="D157">
        <v>138</v>
      </c>
      <c r="E157">
        <v>168</v>
      </c>
      <c r="F157">
        <v>168</v>
      </c>
      <c r="G157" s="5">
        <f ca="1">IFERROR(__xludf.DUMMYFUNCTION("""COMPUTED_VALUE"""),1679)</f>
        <v>1679</v>
      </c>
      <c r="H157" s="5">
        <f ca="1">IFERROR(__xludf.DUMMYFUNCTION("""COMPUTED_VALUE"""),489)</f>
        <v>489</v>
      </c>
      <c r="I157">
        <v>-27</v>
      </c>
      <c r="J157">
        <v>-7</v>
      </c>
      <c r="K157">
        <v>-69</v>
      </c>
      <c r="L157">
        <v>-42</v>
      </c>
      <c r="M157">
        <v>-33</v>
      </c>
      <c r="N157">
        <v>13</v>
      </c>
      <c r="O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7811</v>
      </c>
      <c r="AE157">
        <v>386</v>
      </c>
      <c r="AF157">
        <v>7425</v>
      </c>
      <c r="AG157" s="2">
        <v>4.9417488160000002E-2</v>
      </c>
      <c r="AH157" t="s">
        <v>31</v>
      </c>
      <c r="AI157" s="4">
        <v>867</v>
      </c>
      <c r="AJ157" s="4">
        <v>14165</v>
      </c>
      <c r="AK157" s="4">
        <v>5084</v>
      </c>
      <c r="AL157" s="4">
        <v>2327</v>
      </c>
      <c r="AM157" s="4">
        <v>22443</v>
      </c>
      <c r="AN157" s="5">
        <f ca="1">IFERROR(__xludf.DUMMYFUNCTION("""COMPUTED_VALUE"""),336)</f>
        <v>336</v>
      </c>
    </row>
    <row r="158" spans="1:40" x14ac:dyDescent="0.35">
      <c r="A158" s="1">
        <v>157</v>
      </c>
      <c r="B158" s="7">
        <v>44047</v>
      </c>
      <c r="C158">
        <v>13</v>
      </c>
      <c r="D158">
        <v>216</v>
      </c>
      <c r="E158">
        <v>132</v>
      </c>
      <c r="F158">
        <v>105</v>
      </c>
      <c r="G158" s="5">
        <f ca="1">IFERROR(__xludf.DUMMYFUNCTION("""COMPUTED_VALUE"""),1922)</f>
        <v>1922</v>
      </c>
      <c r="H158" s="5">
        <f ca="1">IFERROR(__xludf.DUMMYFUNCTION("""COMPUTED_VALUE"""),466)</f>
        <v>466</v>
      </c>
      <c r="I158">
        <v>-28</v>
      </c>
      <c r="J158">
        <v>-8</v>
      </c>
      <c r="K158">
        <v>-70</v>
      </c>
      <c r="L158">
        <v>-42</v>
      </c>
      <c r="M158">
        <v>-34</v>
      </c>
      <c r="N158">
        <v>14</v>
      </c>
      <c r="O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7071</v>
      </c>
      <c r="AE158">
        <v>468</v>
      </c>
      <c r="AF158">
        <v>6603</v>
      </c>
      <c r="AG158" s="2">
        <v>6.6185829439999996E-2</v>
      </c>
      <c r="AH158" t="s">
        <v>31</v>
      </c>
      <c r="AI158" s="4">
        <v>880</v>
      </c>
      <c r="AJ158" s="4">
        <v>14381</v>
      </c>
      <c r="AK158" s="4">
        <v>5216</v>
      </c>
      <c r="AL158" s="4">
        <v>2432</v>
      </c>
      <c r="AM158" s="4">
        <v>22909</v>
      </c>
      <c r="AN158" s="5">
        <f ca="1">IFERROR(__xludf.DUMMYFUNCTION("""COMPUTED_VALUE"""),237)</f>
        <v>237</v>
      </c>
    </row>
    <row r="159" spans="1:40" x14ac:dyDescent="0.35">
      <c r="A159" s="1">
        <v>158</v>
      </c>
      <c r="B159" s="7">
        <v>44048</v>
      </c>
      <c r="C159">
        <v>15</v>
      </c>
      <c r="D159">
        <v>379</v>
      </c>
      <c r="E159">
        <v>-88</v>
      </c>
      <c r="F159">
        <v>51</v>
      </c>
      <c r="G159" s="5">
        <f ca="1">IFERROR(__xludf.DUMMYFUNCTION("""COMPUTED_VALUE"""),1815)</f>
        <v>1815</v>
      </c>
      <c r="H159" s="5">
        <f ca="1">IFERROR(__xludf.DUMMYFUNCTION("""COMPUTED_VALUE"""),357)</f>
        <v>357</v>
      </c>
      <c r="I159">
        <v>-27</v>
      </c>
      <c r="J159">
        <v>-9</v>
      </c>
      <c r="K159">
        <v>-68</v>
      </c>
      <c r="L159">
        <v>-42</v>
      </c>
      <c r="M159">
        <v>-33</v>
      </c>
      <c r="N159">
        <v>14</v>
      </c>
      <c r="O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8124</v>
      </c>
      <c r="AE159">
        <v>584</v>
      </c>
      <c r="AF159">
        <v>7540</v>
      </c>
      <c r="AG159" s="2">
        <v>7.1885770560000006E-2</v>
      </c>
      <c r="AH159" t="s">
        <v>31</v>
      </c>
      <c r="AI159" s="4">
        <v>895</v>
      </c>
      <c r="AJ159" s="4">
        <v>14760</v>
      </c>
      <c r="AK159" s="4">
        <v>5128</v>
      </c>
      <c r="AL159" s="4">
        <v>2483</v>
      </c>
      <c r="AM159" s="4">
        <v>23266</v>
      </c>
      <c r="AN159" s="5">
        <f ca="1">IFERROR(__xludf.DUMMYFUNCTION("""COMPUTED_VALUE"""),-37)</f>
        <v>-37</v>
      </c>
    </row>
    <row r="160" spans="1:40" x14ac:dyDescent="0.35">
      <c r="A160" s="1">
        <v>159</v>
      </c>
      <c r="B160" s="7">
        <v>44049</v>
      </c>
      <c r="C160">
        <v>13</v>
      </c>
      <c r="D160">
        <v>246</v>
      </c>
      <c r="E160">
        <v>269</v>
      </c>
      <c r="F160">
        <v>69</v>
      </c>
      <c r="G160" s="5">
        <f ca="1">IFERROR(__xludf.DUMMYFUNCTION("""COMPUTED_VALUE"""),1882)</f>
        <v>1882</v>
      </c>
      <c r="H160" s="5">
        <f ca="1">IFERROR(__xludf.DUMMYFUNCTION("""COMPUTED_VALUE"""),597)</f>
        <v>597</v>
      </c>
      <c r="I160">
        <v>-27</v>
      </c>
      <c r="J160">
        <v>-8</v>
      </c>
      <c r="K160">
        <v>-66</v>
      </c>
      <c r="L160">
        <v>-42</v>
      </c>
      <c r="M160">
        <v>-33</v>
      </c>
      <c r="N160">
        <v>14</v>
      </c>
      <c r="O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8065</v>
      </c>
      <c r="AE160">
        <v>693</v>
      </c>
      <c r="AF160">
        <v>7372</v>
      </c>
      <c r="AG160" s="2">
        <v>8.5926844390000007E-2</v>
      </c>
      <c r="AH160" t="s">
        <v>31</v>
      </c>
      <c r="AI160" s="4">
        <v>908</v>
      </c>
      <c r="AJ160" s="4">
        <v>15006</v>
      </c>
      <c r="AK160" s="4">
        <v>5397</v>
      </c>
      <c r="AL160" s="4">
        <v>2552</v>
      </c>
      <c r="AM160" s="4">
        <v>23863</v>
      </c>
      <c r="AN160" s="5">
        <f ca="1">IFERROR(__xludf.DUMMYFUNCTION("""COMPUTED_VALUE"""),338)</f>
        <v>338</v>
      </c>
    </row>
    <row r="161" spans="1:40" x14ac:dyDescent="0.35">
      <c r="A161" s="1">
        <v>160</v>
      </c>
      <c r="B161" s="7">
        <v>44050</v>
      </c>
      <c r="C161">
        <v>14</v>
      </c>
      <c r="D161">
        <v>195</v>
      </c>
      <c r="E161">
        <v>406</v>
      </c>
      <c r="F161">
        <v>43</v>
      </c>
      <c r="G161" s="5">
        <f ca="1">IFERROR(__xludf.DUMMYFUNCTION("""COMPUTED_VALUE"""),2473)</f>
        <v>2473</v>
      </c>
      <c r="H161" s="5">
        <f ca="1">IFERROR(__xludf.DUMMYFUNCTION("""COMPUTED_VALUE"""),658)</f>
        <v>658</v>
      </c>
      <c r="I161">
        <v>-23</v>
      </c>
      <c r="J161">
        <v>-6</v>
      </c>
      <c r="K161">
        <v>-61</v>
      </c>
      <c r="L161">
        <v>-41</v>
      </c>
      <c r="M161">
        <v>-31</v>
      </c>
      <c r="N161">
        <v>14</v>
      </c>
      <c r="O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8791</v>
      </c>
      <c r="AE161">
        <v>776</v>
      </c>
      <c r="AF161">
        <v>8015</v>
      </c>
      <c r="AG161" s="2">
        <v>8.8272096460000005E-2</v>
      </c>
      <c r="AH161" t="s">
        <v>31</v>
      </c>
      <c r="AI161" s="4">
        <v>922</v>
      </c>
      <c r="AJ161" s="4">
        <v>15201</v>
      </c>
      <c r="AK161" s="4">
        <v>5803</v>
      </c>
      <c r="AL161" s="4">
        <v>2595</v>
      </c>
      <c r="AM161" s="4">
        <v>24521</v>
      </c>
      <c r="AN161" s="5">
        <f ca="1">IFERROR(__xludf.DUMMYFUNCTION("""COMPUTED_VALUE"""),449)</f>
        <v>449</v>
      </c>
    </row>
    <row r="162" spans="1:40" x14ac:dyDescent="0.35">
      <c r="A162" s="1">
        <v>161</v>
      </c>
      <c r="B162" s="7">
        <v>44051</v>
      </c>
      <c r="C162">
        <v>12</v>
      </c>
      <c r="D162">
        <v>509</v>
      </c>
      <c r="E162">
        <v>307</v>
      </c>
      <c r="F162">
        <v>-107</v>
      </c>
      <c r="G162" s="5">
        <f ca="1">IFERROR(__xludf.DUMMYFUNCTION("""COMPUTED_VALUE"""),2277)</f>
        <v>2277</v>
      </c>
      <c r="H162" s="5">
        <f ca="1">IFERROR(__xludf.DUMMYFUNCTION("""COMPUTED_VALUE"""),721)</f>
        <v>721</v>
      </c>
      <c r="I162">
        <v>-27</v>
      </c>
      <c r="J162">
        <v>-6</v>
      </c>
      <c r="K162">
        <v>-62</v>
      </c>
      <c r="L162">
        <v>-33</v>
      </c>
      <c r="M162">
        <v>-20</v>
      </c>
      <c r="N162">
        <v>9</v>
      </c>
      <c r="O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6771</v>
      </c>
      <c r="AE162">
        <v>534</v>
      </c>
      <c r="AF162">
        <v>6237</v>
      </c>
      <c r="AG162" s="2">
        <v>7.8865750999999998E-2</v>
      </c>
      <c r="AH162" t="s">
        <v>31</v>
      </c>
      <c r="AI162" s="4">
        <v>934</v>
      </c>
      <c r="AJ162" s="4">
        <v>15710</v>
      </c>
      <c r="AK162" s="4">
        <v>6110</v>
      </c>
      <c r="AL162" s="4">
        <v>2488</v>
      </c>
      <c r="AM162" s="4">
        <v>25242</v>
      </c>
      <c r="AN162" s="5">
        <f ca="1">IFERROR(__xludf.DUMMYFUNCTION("""COMPUTED_VALUE"""),200)</f>
        <v>200</v>
      </c>
    </row>
    <row r="163" spans="1:40" x14ac:dyDescent="0.35">
      <c r="A163" s="1">
        <v>162</v>
      </c>
      <c r="B163" s="7">
        <v>44052</v>
      </c>
      <c r="C163">
        <v>5</v>
      </c>
      <c r="D163">
        <v>558</v>
      </c>
      <c r="E163">
        <v>-19</v>
      </c>
      <c r="F163">
        <v>-72</v>
      </c>
      <c r="G163" s="5">
        <f ca="1">IFERROR(__xludf.DUMMYFUNCTION("""COMPUTED_VALUE"""),1893)</f>
        <v>1893</v>
      </c>
      <c r="H163" s="5">
        <f ca="1">IFERROR(__xludf.DUMMYFUNCTION("""COMPUTED_VALUE"""),472)</f>
        <v>472</v>
      </c>
      <c r="I163">
        <v>-32</v>
      </c>
      <c r="J163">
        <v>-11</v>
      </c>
      <c r="K163">
        <v>-66</v>
      </c>
      <c r="L163">
        <v>-35</v>
      </c>
      <c r="M163">
        <v>-15</v>
      </c>
      <c r="N163">
        <v>8</v>
      </c>
      <c r="O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4433</v>
      </c>
      <c r="AE163">
        <v>319</v>
      </c>
      <c r="AF163">
        <v>4114</v>
      </c>
      <c r="AG163" s="2">
        <v>7.1960297770000001E-2</v>
      </c>
      <c r="AH163" t="s">
        <v>31</v>
      </c>
      <c r="AI163" s="4">
        <v>939</v>
      </c>
      <c r="AJ163" s="4">
        <v>16268</v>
      </c>
      <c r="AK163" s="4">
        <v>6091</v>
      </c>
      <c r="AL163" s="4">
        <v>2416</v>
      </c>
      <c r="AM163" s="4">
        <v>25714</v>
      </c>
      <c r="AN163" s="5">
        <f ca="1">IFERROR(__xludf.DUMMYFUNCTION("""COMPUTED_VALUE"""),-91)</f>
        <v>-91</v>
      </c>
    </row>
    <row r="164" spans="1:40" x14ac:dyDescent="0.35">
      <c r="A164" s="1">
        <v>163</v>
      </c>
      <c r="B164" s="7">
        <v>44053</v>
      </c>
      <c r="C164">
        <v>1</v>
      </c>
      <c r="D164">
        <v>178</v>
      </c>
      <c r="E164">
        <v>161</v>
      </c>
      <c r="F164">
        <v>139</v>
      </c>
      <c r="G164" s="5">
        <f ca="1">IFERROR(__xludf.DUMMYFUNCTION("""COMPUTED_VALUE"""),1687)</f>
        <v>1687</v>
      </c>
      <c r="H164" s="5">
        <f ca="1">IFERROR(__xludf.DUMMYFUNCTION("""COMPUTED_VALUE"""),479)</f>
        <v>479</v>
      </c>
      <c r="I164">
        <v>-25</v>
      </c>
      <c r="J164">
        <v>-7</v>
      </c>
      <c r="K164">
        <v>-65</v>
      </c>
      <c r="L164">
        <v>-41</v>
      </c>
      <c r="M164">
        <v>-32</v>
      </c>
      <c r="N164">
        <v>14</v>
      </c>
      <c r="O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6059</v>
      </c>
      <c r="AE164">
        <v>582</v>
      </c>
      <c r="AF164">
        <v>5477</v>
      </c>
      <c r="AG164" s="2">
        <v>9.6055454700000001E-2</v>
      </c>
      <c r="AH164" t="s">
        <v>31</v>
      </c>
      <c r="AI164" s="4">
        <v>940</v>
      </c>
      <c r="AJ164" s="4">
        <v>16446</v>
      </c>
      <c r="AK164" s="4">
        <v>6252</v>
      </c>
      <c r="AL164" s="4">
        <v>2555</v>
      </c>
      <c r="AM164" s="4">
        <v>26193</v>
      </c>
      <c r="AN164" s="5">
        <f ca="1">IFERROR(__xludf.DUMMYFUNCTION("""COMPUTED_VALUE"""),300)</f>
        <v>300</v>
      </c>
    </row>
    <row r="165" spans="1:40" x14ac:dyDescent="0.35">
      <c r="A165" s="1">
        <v>164</v>
      </c>
      <c r="B165" s="7">
        <v>44054</v>
      </c>
      <c r="C165">
        <v>13</v>
      </c>
      <c r="D165">
        <v>481</v>
      </c>
      <c r="E165">
        <v>-16</v>
      </c>
      <c r="F165">
        <v>-7</v>
      </c>
      <c r="G165" s="5">
        <f ca="1">IFERROR(__xludf.DUMMYFUNCTION("""COMPUTED_VALUE"""),1693)</f>
        <v>1693</v>
      </c>
      <c r="H165" s="5">
        <f ca="1">IFERROR(__xludf.DUMMYFUNCTION("""COMPUTED_VALUE"""),471)</f>
        <v>471</v>
      </c>
      <c r="I165">
        <v>-28</v>
      </c>
      <c r="J165">
        <v>-10</v>
      </c>
      <c r="K165">
        <v>-68</v>
      </c>
      <c r="L165">
        <v>-41</v>
      </c>
      <c r="M165">
        <v>-33</v>
      </c>
      <c r="N165">
        <v>14</v>
      </c>
      <c r="O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5841</v>
      </c>
      <c r="AE165">
        <v>487</v>
      </c>
      <c r="AF165">
        <v>5354</v>
      </c>
      <c r="AG165" s="2">
        <v>8.3376134219999995E-2</v>
      </c>
      <c r="AH165" t="s">
        <v>31</v>
      </c>
      <c r="AI165" s="4">
        <v>953</v>
      </c>
      <c r="AJ165" s="4">
        <v>16927</v>
      </c>
      <c r="AK165" s="4">
        <v>6236</v>
      </c>
      <c r="AL165" s="4">
        <v>2548</v>
      </c>
      <c r="AM165" s="4">
        <v>26664</v>
      </c>
      <c r="AN165" s="5">
        <f ca="1">IFERROR(__xludf.DUMMYFUNCTION("""COMPUTED_VALUE"""),-23)</f>
        <v>-23</v>
      </c>
    </row>
    <row r="166" spans="1:40" x14ac:dyDescent="0.35">
      <c r="A166" s="1">
        <v>165</v>
      </c>
      <c r="B166" s="7">
        <v>44055</v>
      </c>
      <c r="C166">
        <v>15</v>
      </c>
      <c r="D166">
        <v>422</v>
      </c>
      <c r="E166">
        <v>-28</v>
      </c>
      <c r="F166">
        <v>169</v>
      </c>
      <c r="G166" s="5">
        <f ca="1">IFERROR(__xludf.DUMMYFUNCTION("""COMPUTED_VALUE"""),1942)</f>
        <v>1942</v>
      </c>
      <c r="H166" s="5">
        <f ca="1">IFERROR(__xludf.DUMMYFUNCTION("""COMPUTED_VALUE"""),578)</f>
        <v>578</v>
      </c>
      <c r="I166">
        <v>-26</v>
      </c>
      <c r="J166">
        <v>-10</v>
      </c>
      <c r="K166">
        <v>-63</v>
      </c>
      <c r="L166">
        <v>-41</v>
      </c>
      <c r="M166">
        <v>-32</v>
      </c>
      <c r="N166">
        <v>14</v>
      </c>
      <c r="O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8015</v>
      </c>
      <c r="AE166">
        <v>591</v>
      </c>
      <c r="AF166">
        <v>7424</v>
      </c>
      <c r="AG166" s="2">
        <v>7.3736743610000002E-2</v>
      </c>
      <c r="AH166" t="s">
        <v>31</v>
      </c>
      <c r="AI166" s="4">
        <v>968</v>
      </c>
      <c r="AJ166" s="4">
        <v>17349</v>
      </c>
      <c r="AK166" s="4">
        <v>6208</v>
      </c>
      <c r="AL166" s="4">
        <v>2717</v>
      </c>
      <c r="AM166" s="4">
        <v>27242</v>
      </c>
      <c r="AN166" s="5">
        <f ca="1">IFERROR(__xludf.DUMMYFUNCTION("""COMPUTED_VALUE"""),141)</f>
        <v>141</v>
      </c>
    </row>
    <row r="167" spans="1:40" x14ac:dyDescent="0.35">
      <c r="A167" s="1">
        <v>166</v>
      </c>
      <c r="B167" s="7">
        <v>44056</v>
      </c>
      <c r="C167">
        <v>13</v>
      </c>
      <c r="D167">
        <v>489</v>
      </c>
      <c r="E167">
        <v>122</v>
      </c>
      <c r="F167">
        <v>-3</v>
      </c>
      <c r="G167" s="5">
        <f ca="1">IFERROR(__xludf.DUMMYFUNCTION("""COMPUTED_VALUE"""),2098)</f>
        <v>2098</v>
      </c>
      <c r="H167" s="5">
        <f ca="1">IFERROR(__xludf.DUMMYFUNCTION("""COMPUTED_VALUE"""),621)</f>
        <v>621</v>
      </c>
      <c r="I167">
        <v>-32</v>
      </c>
      <c r="J167">
        <v>-16</v>
      </c>
      <c r="K167">
        <v>-65</v>
      </c>
      <c r="L167">
        <v>-43</v>
      </c>
      <c r="M167">
        <v>-33</v>
      </c>
      <c r="N167">
        <v>15</v>
      </c>
      <c r="O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6881</v>
      </c>
      <c r="AE167">
        <v>495</v>
      </c>
      <c r="AF167">
        <v>6386</v>
      </c>
      <c r="AG167" s="2">
        <v>7.1937218430000005E-2</v>
      </c>
      <c r="AH167" t="s">
        <v>31</v>
      </c>
      <c r="AI167" s="4">
        <v>981</v>
      </c>
      <c r="AJ167" s="4">
        <v>17838</v>
      </c>
      <c r="AK167" s="4">
        <v>6330</v>
      </c>
      <c r="AL167" s="4">
        <v>2714</v>
      </c>
      <c r="AM167" s="4">
        <v>27863</v>
      </c>
      <c r="AN167" s="5">
        <f ca="1">IFERROR(__xludf.DUMMYFUNCTION("""COMPUTED_VALUE"""),119)</f>
        <v>119</v>
      </c>
    </row>
    <row r="168" spans="1:40" x14ac:dyDescent="0.35">
      <c r="A168" s="1">
        <v>167</v>
      </c>
      <c r="B168" s="7">
        <v>44057</v>
      </c>
      <c r="C168">
        <v>4</v>
      </c>
      <c r="D168">
        <v>690</v>
      </c>
      <c r="E168">
        <v>1</v>
      </c>
      <c r="F168">
        <v>-120</v>
      </c>
      <c r="G168" s="5">
        <f ca="1">IFERROR(__xludf.DUMMYFUNCTION("""COMPUTED_VALUE"""),2307)</f>
        <v>2307</v>
      </c>
      <c r="H168" s="5">
        <f ca="1">IFERROR(__xludf.DUMMYFUNCTION("""COMPUTED_VALUE"""),575)</f>
        <v>575</v>
      </c>
      <c r="I168">
        <v>-23</v>
      </c>
      <c r="J168">
        <v>-5</v>
      </c>
      <c r="K168">
        <v>-56</v>
      </c>
      <c r="L168">
        <v>-38</v>
      </c>
      <c r="M168">
        <v>-31</v>
      </c>
      <c r="N168">
        <v>14</v>
      </c>
      <c r="O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8211</v>
      </c>
      <c r="AE168">
        <v>729</v>
      </c>
      <c r="AF168">
        <v>7482</v>
      </c>
      <c r="AG168" s="2">
        <v>8.8783339419999996E-2</v>
      </c>
      <c r="AH168" t="s">
        <v>31</v>
      </c>
      <c r="AI168" s="4">
        <v>985</v>
      </c>
      <c r="AJ168" s="4">
        <v>18528</v>
      </c>
      <c r="AK168" s="4">
        <v>6331</v>
      </c>
      <c r="AL168" s="4">
        <v>2594</v>
      </c>
      <c r="AM168" s="4">
        <v>28438</v>
      </c>
      <c r="AN168" s="5">
        <f ca="1">IFERROR(__xludf.DUMMYFUNCTION("""COMPUTED_VALUE"""),-119)</f>
        <v>-119</v>
      </c>
    </row>
    <row r="169" spans="1:40" x14ac:dyDescent="0.35">
      <c r="A169" s="1">
        <v>168</v>
      </c>
      <c r="B169" s="7">
        <v>44058</v>
      </c>
      <c r="C169">
        <v>6</v>
      </c>
      <c r="D169">
        <v>446</v>
      </c>
      <c r="E169">
        <v>126</v>
      </c>
      <c r="F169">
        <v>20</v>
      </c>
      <c r="G169" s="5">
        <f ca="1">IFERROR(__xludf.DUMMYFUNCTION("""COMPUTED_VALUE"""),2345)</f>
        <v>2345</v>
      </c>
      <c r="H169" s="5">
        <f ca="1">IFERROR(__xludf.DUMMYFUNCTION("""COMPUTED_VALUE"""),598)</f>
        <v>598</v>
      </c>
      <c r="I169">
        <v>-28</v>
      </c>
      <c r="J169">
        <v>-6</v>
      </c>
      <c r="K169">
        <v>-58</v>
      </c>
      <c r="L169">
        <v>-32</v>
      </c>
      <c r="M169">
        <v>-20</v>
      </c>
      <c r="N169">
        <v>8</v>
      </c>
      <c r="O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9669</v>
      </c>
      <c r="AE169">
        <v>625</v>
      </c>
      <c r="AF169">
        <v>9044</v>
      </c>
      <c r="AG169" s="2">
        <v>6.4639569760000001E-2</v>
      </c>
      <c r="AH169" t="s">
        <v>31</v>
      </c>
      <c r="AI169" s="4">
        <v>991</v>
      </c>
      <c r="AJ169" s="4">
        <v>18974</v>
      </c>
      <c r="AK169" s="4">
        <v>6457</v>
      </c>
      <c r="AL169" s="4">
        <v>2614</v>
      </c>
      <c r="AM169" s="4">
        <v>29036</v>
      </c>
      <c r="AN169" s="5">
        <f ca="1">IFERROR(__xludf.DUMMYFUNCTION("""COMPUTED_VALUE"""),146)</f>
        <v>146</v>
      </c>
    </row>
    <row r="170" spans="1:40" x14ac:dyDescent="0.35">
      <c r="A170" s="1">
        <v>169</v>
      </c>
      <c r="B170" s="7">
        <v>44059</v>
      </c>
      <c r="C170">
        <v>4</v>
      </c>
      <c r="D170">
        <v>734</v>
      </c>
      <c r="E170">
        <v>-173</v>
      </c>
      <c r="F170">
        <v>-47</v>
      </c>
      <c r="G170" s="5">
        <f ca="1">IFERROR(__xludf.DUMMYFUNCTION("""COMPUTED_VALUE"""),2081)</f>
        <v>2081</v>
      </c>
      <c r="H170" s="5">
        <f ca="1">IFERROR(__xludf.DUMMYFUNCTION("""COMPUTED_VALUE"""),518)</f>
        <v>518</v>
      </c>
      <c r="I170">
        <v>-33</v>
      </c>
      <c r="J170">
        <v>-14</v>
      </c>
      <c r="K170">
        <v>-62</v>
      </c>
      <c r="L170">
        <v>-36</v>
      </c>
      <c r="M170">
        <v>-15</v>
      </c>
      <c r="N170">
        <v>8</v>
      </c>
      <c r="O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5266</v>
      </c>
      <c r="AE170">
        <v>534</v>
      </c>
      <c r="AF170">
        <v>4732</v>
      </c>
      <c r="AG170" s="2">
        <v>0.1014052412</v>
      </c>
      <c r="AH170" t="s">
        <v>31</v>
      </c>
      <c r="AI170" s="4">
        <v>995</v>
      </c>
      <c r="AJ170" s="4">
        <v>19708</v>
      </c>
      <c r="AK170" s="4">
        <v>6284</v>
      </c>
      <c r="AL170" s="4">
        <v>2567</v>
      </c>
      <c r="AM170" s="4">
        <v>29554</v>
      </c>
      <c r="AN170" s="5">
        <f ca="1">IFERROR(__xludf.DUMMYFUNCTION("""COMPUTED_VALUE"""),-220)</f>
        <v>-220</v>
      </c>
    </row>
    <row r="171" spans="1:40" x14ac:dyDescent="0.35">
      <c r="A171" s="1">
        <v>170</v>
      </c>
      <c r="B171" s="7">
        <v>44060</v>
      </c>
      <c r="C171">
        <v>16</v>
      </c>
      <c r="D171">
        <v>208</v>
      </c>
      <c r="E171">
        <v>230</v>
      </c>
      <c r="F171">
        <v>84</v>
      </c>
      <c r="G171" s="5">
        <f ca="1">IFERROR(__xludf.DUMMYFUNCTION("""COMPUTED_VALUE"""),1821)</f>
        <v>1821</v>
      </c>
      <c r="H171" s="5">
        <f ca="1">IFERROR(__xludf.DUMMYFUNCTION("""COMPUTED_VALUE"""),538)</f>
        <v>538</v>
      </c>
      <c r="I171">
        <v>-32</v>
      </c>
      <c r="J171">
        <v>-19</v>
      </c>
      <c r="K171">
        <v>-49</v>
      </c>
      <c r="L171">
        <v>-57</v>
      </c>
      <c r="M171">
        <v>-70</v>
      </c>
      <c r="N171">
        <v>21</v>
      </c>
      <c r="O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7215</v>
      </c>
      <c r="AE171">
        <v>555</v>
      </c>
      <c r="AF171">
        <v>6660</v>
      </c>
      <c r="AG171" s="2">
        <v>7.692307692E-2</v>
      </c>
      <c r="AH171" t="s">
        <v>31</v>
      </c>
      <c r="AI171" s="4">
        <v>1011</v>
      </c>
      <c r="AJ171" s="4">
        <v>19916</v>
      </c>
      <c r="AK171" s="4">
        <v>6514</v>
      </c>
      <c r="AL171" s="4">
        <v>2651</v>
      </c>
      <c r="AM171" s="4">
        <v>30092</v>
      </c>
      <c r="AN171" s="5">
        <f ca="1">IFERROR(__xludf.DUMMYFUNCTION("""COMPUTED_VALUE"""),314)</f>
        <v>314</v>
      </c>
    </row>
    <row r="172" spans="1:40" x14ac:dyDescent="0.35">
      <c r="A172" s="1">
        <v>171</v>
      </c>
      <c r="B172" s="7">
        <v>44061</v>
      </c>
      <c r="C172">
        <v>17</v>
      </c>
      <c r="D172">
        <v>589</v>
      </c>
      <c r="E172">
        <v>88</v>
      </c>
      <c r="F172">
        <v>-189</v>
      </c>
      <c r="G172" s="5">
        <f ca="1">IFERROR(__xludf.DUMMYFUNCTION("""COMPUTED_VALUE"""),1673)</f>
        <v>1673</v>
      </c>
      <c r="H172" s="5">
        <f ca="1">IFERROR(__xludf.DUMMYFUNCTION("""COMPUTED_VALUE"""),505)</f>
        <v>505</v>
      </c>
      <c r="I172">
        <v>-31</v>
      </c>
      <c r="J172">
        <v>-14</v>
      </c>
      <c r="K172">
        <v>-64</v>
      </c>
      <c r="L172">
        <v>-42</v>
      </c>
      <c r="M172">
        <v>-32</v>
      </c>
      <c r="N172">
        <v>13</v>
      </c>
      <c r="O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7097</v>
      </c>
      <c r="AE172">
        <v>601</v>
      </c>
      <c r="AF172">
        <v>6496</v>
      </c>
      <c r="AG172" s="2">
        <v>8.4683669160000002E-2</v>
      </c>
      <c r="AH172" t="s">
        <v>31</v>
      </c>
      <c r="AI172" s="4">
        <v>1028</v>
      </c>
      <c r="AJ172" s="4">
        <v>20505</v>
      </c>
      <c r="AK172" s="4">
        <v>6602</v>
      </c>
      <c r="AL172" s="4">
        <v>2462</v>
      </c>
      <c r="AM172" s="4">
        <v>30597</v>
      </c>
      <c r="AN172" s="5">
        <f ca="1">IFERROR(__xludf.DUMMYFUNCTION("""COMPUTED_VALUE"""),-101)</f>
        <v>-101</v>
      </c>
    </row>
    <row r="173" spans="1:40" x14ac:dyDescent="0.35">
      <c r="A173" s="1">
        <v>172</v>
      </c>
      <c r="B173" s="7">
        <v>44062</v>
      </c>
      <c r="C173">
        <v>18</v>
      </c>
      <c r="D173">
        <v>564</v>
      </c>
      <c r="E173">
        <v>-114</v>
      </c>
      <c r="F173">
        <v>97</v>
      </c>
      <c r="G173" s="5">
        <f ca="1">IFERROR(__xludf.DUMMYFUNCTION("""COMPUTED_VALUE"""),1902)</f>
        <v>1902</v>
      </c>
      <c r="H173" s="5">
        <f ca="1">IFERROR(__xludf.DUMMYFUNCTION("""COMPUTED_VALUE"""),565)</f>
        <v>565</v>
      </c>
      <c r="I173">
        <v>-26</v>
      </c>
      <c r="J173">
        <v>-8</v>
      </c>
      <c r="K173">
        <v>-63</v>
      </c>
      <c r="L173">
        <v>-39</v>
      </c>
      <c r="M173">
        <v>-32</v>
      </c>
      <c r="N173">
        <v>12</v>
      </c>
      <c r="O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10636</v>
      </c>
      <c r="AE173">
        <v>695</v>
      </c>
      <c r="AF173">
        <v>9941</v>
      </c>
      <c r="AG173" s="2">
        <v>6.5344114329999994E-2</v>
      </c>
      <c r="AH173" t="s">
        <v>31</v>
      </c>
      <c r="AI173" s="4">
        <v>1046</v>
      </c>
      <c r="AJ173" s="4">
        <v>21069</v>
      </c>
      <c r="AK173" s="4">
        <v>6488</v>
      </c>
      <c r="AL173" s="4">
        <v>2559</v>
      </c>
      <c r="AM173" s="4">
        <v>31162</v>
      </c>
      <c r="AN173" s="5">
        <f ca="1">IFERROR(__xludf.DUMMYFUNCTION("""COMPUTED_VALUE"""),-17)</f>
        <v>-17</v>
      </c>
    </row>
    <row r="174" spans="1:40" x14ac:dyDescent="0.35">
      <c r="A174" s="1">
        <v>173</v>
      </c>
      <c r="B174" s="7">
        <v>44063</v>
      </c>
      <c r="C174">
        <v>15</v>
      </c>
      <c r="D174">
        <v>726</v>
      </c>
      <c r="E174">
        <v>-131</v>
      </c>
      <c r="F174">
        <v>-15</v>
      </c>
      <c r="G174" s="5">
        <f ca="1">IFERROR(__xludf.DUMMYFUNCTION("""COMPUTED_VALUE"""),2266)</f>
        <v>2266</v>
      </c>
      <c r="H174" s="5">
        <f ca="1">IFERROR(__xludf.DUMMYFUNCTION("""COMPUTED_VALUE"""),595)</f>
        <v>595</v>
      </c>
      <c r="I174">
        <v>-32</v>
      </c>
      <c r="J174">
        <v>-16</v>
      </c>
      <c r="K174">
        <v>-55</v>
      </c>
      <c r="L174">
        <v>-55</v>
      </c>
      <c r="M174">
        <v>-65</v>
      </c>
      <c r="N174">
        <v>20</v>
      </c>
      <c r="O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5422</v>
      </c>
      <c r="AE174">
        <v>511</v>
      </c>
      <c r="AF174">
        <v>4911</v>
      </c>
      <c r="AG174" s="2">
        <v>9.4245665810000004E-2</v>
      </c>
      <c r="AH174" t="s">
        <v>31</v>
      </c>
      <c r="AI174" s="4">
        <v>1061</v>
      </c>
      <c r="AJ174" s="4">
        <v>21795</v>
      </c>
      <c r="AK174" s="4">
        <v>6357</v>
      </c>
      <c r="AL174" s="4">
        <v>2544</v>
      </c>
      <c r="AM174" s="4">
        <v>31757</v>
      </c>
      <c r="AN174" s="5">
        <f ca="1">IFERROR(__xludf.DUMMYFUNCTION("""COMPUTED_VALUE"""),-146)</f>
        <v>-146</v>
      </c>
    </row>
    <row r="175" spans="1:40" x14ac:dyDescent="0.35">
      <c r="A175" s="1">
        <v>174</v>
      </c>
      <c r="B175" s="7">
        <v>44064</v>
      </c>
      <c r="C175">
        <v>15</v>
      </c>
      <c r="D175">
        <v>433</v>
      </c>
      <c r="E175">
        <v>161</v>
      </c>
      <c r="F175">
        <v>32</v>
      </c>
      <c r="G175" s="5">
        <f ca="1">IFERROR(__xludf.DUMMYFUNCTION("""COMPUTED_VALUE"""),2197)</f>
        <v>2197</v>
      </c>
      <c r="H175" s="5">
        <f ca="1">IFERROR(__xludf.DUMMYFUNCTION("""COMPUTED_VALUE"""),641)</f>
        <v>641</v>
      </c>
      <c r="I175">
        <v>-29</v>
      </c>
      <c r="J175">
        <v>-14</v>
      </c>
      <c r="K175">
        <v>-56</v>
      </c>
      <c r="L175">
        <v>-52</v>
      </c>
      <c r="M175">
        <v>-47</v>
      </c>
      <c r="N175">
        <v>18</v>
      </c>
      <c r="O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7422</v>
      </c>
      <c r="AE175">
        <v>760</v>
      </c>
      <c r="AF175">
        <v>6662</v>
      </c>
      <c r="AG175" s="2">
        <v>0.1023982754</v>
      </c>
      <c r="AH175" t="s">
        <v>31</v>
      </c>
      <c r="AI175" s="4">
        <v>1076</v>
      </c>
      <c r="AJ175" s="4">
        <v>22228</v>
      </c>
      <c r="AK175" s="4">
        <v>6518</v>
      </c>
      <c r="AL175" s="4">
        <v>2576</v>
      </c>
      <c r="AM175" s="4">
        <v>32398</v>
      </c>
      <c r="AN175" s="5">
        <f ca="1">IFERROR(__xludf.DUMMYFUNCTION("""COMPUTED_VALUE"""),193)</f>
        <v>193</v>
      </c>
    </row>
    <row r="176" spans="1:40" x14ac:dyDescent="0.35">
      <c r="A176" s="1">
        <v>175</v>
      </c>
      <c r="B176" s="7">
        <v>44065</v>
      </c>
      <c r="C176">
        <v>15</v>
      </c>
      <c r="D176">
        <v>649</v>
      </c>
      <c r="E176">
        <v>-249</v>
      </c>
      <c r="F176">
        <v>186</v>
      </c>
      <c r="G176" s="5">
        <f ca="1">IFERROR(__xludf.DUMMYFUNCTION("""COMPUTED_VALUE"""),2090)</f>
        <v>2090</v>
      </c>
      <c r="H176" s="5">
        <f ca="1">IFERROR(__xludf.DUMMYFUNCTION("""COMPUTED_VALUE"""),601)</f>
        <v>601</v>
      </c>
      <c r="I176">
        <v>-32</v>
      </c>
      <c r="J176">
        <v>-15</v>
      </c>
      <c r="K176">
        <v>-57</v>
      </c>
      <c r="L176">
        <v>-40</v>
      </c>
      <c r="M176">
        <v>-20</v>
      </c>
      <c r="N176">
        <v>9</v>
      </c>
      <c r="O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6821</v>
      </c>
      <c r="AE176">
        <v>854</v>
      </c>
      <c r="AF176">
        <v>5967</v>
      </c>
      <c r="AG176" s="2">
        <v>0.1252015833</v>
      </c>
      <c r="AH176" t="s">
        <v>31</v>
      </c>
      <c r="AI176" s="4">
        <v>1091</v>
      </c>
      <c r="AJ176" s="4">
        <v>22877</v>
      </c>
      <c r="AK176" s="4">
        <v>6269</v>
      </c>
      <c r="AL176" s="4">
        <v>2762</v>
      </c>
      <c r="AM176" s="4">
        <v>32999</v>
      </c>
      <c r="AN176" s="5">
        <f ca="1">IFERROR(__xludf.DUMMYFUNCTION("""COMPUTED_VALUE"""),-63)</f>
        <v>-63</v>
      </c>
    </row>
    <row r="177" spans="1:40" x14ac:dyDescent="0.35">
      <c r="A177" s="1">
        <v>176</v>
      </c>
      <c r="B177" s="7">
        <v>44066</v>
      </c>
      <c r="C177">
        <v>16</v>
      </c>
      <c r="D177">
        <v>690</v>
      </c>
      <c r="E177">
        <v>-229</v>
      </c>
      <c r="F177">
        <v>160</v>
      </c>
      <c r="G177" s="5">
        <f ca="1">IFERROR(__xludf.DUMMYFUNCTION("""COMPUTED_VALUE"""),2037)</f>
        <v>2037</v>
      </c>
      <c r="H177" s="5">
        <f ca="1">IFERROR(__xludf.DUMMYFUNCTION("""COMPUTED_VALUE"""),637)</f>
        <v>637</v>
      </c>
      <c r="I177">
        <v>-35</v>
      </c>
      <c r="J177">
        <v>-18</v>
      </c>
      <c r="K177">
        <v>-63</v>
      </c>
      <c r="L177">
        <v>-38</v>
      </c>
      <c r="M177">
        <v>-13</v>
      </c>
      <c r="N177">
        <v>9</v>
      </c>
      <c r="O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3691</v>
      </c>
      <c r="AE177">
        <v>508</v>
      </c>
      <c r="AF177">
        <v>3183</v>
      </c>
      <c r="AG177" s="2">
        <v>0.13763207799999999</v>
      </c>
      <c r="AH177" t="s">
        <v>31</v>
      </c>
      <c r="AI177" s="4">
        <v>1107</v>
      </c>
      <c r="AJ177" s="4">
        <v>23567</v>
      </c>
      <c r="AK177" s="4">
        <v>6040</v>
      </c>
      <c r="AL177" s="4">
        <v>2922</v>
      </c>
      <c r="AM177" s="4">
        <v>33636</v>
      </c>
      <c r="AN177" s="5">
        <f ca="1">IFERROR(__xludf.DUMMYFUNCTION("""COMPUTED_VALUE"""),-69)</f>
        <v>-69</v>
      </c>
    </row>
    <row r="178" spans="1:40" x14ac:dyDescent="0.35">
      <c r="A178" s="1">
        <v>177</v>
      </c>
      <c r="B178" s="7">
        <v>44067</v>
      </c>
      <c r="C178">
        <v>5</v>
      </c>
      <c r="D178">
        <v>1896</v>
      </c>
      <c r="E178">
        <v>-950</v>
      </c>
      <c r="F178">
        <v>-292</v>
      </c>
      <c r="G178" s="5">
        <f ca="1">IFERROR(__xludf.DUMMYFUNCTION("""COMPUTED_VALUE"""),1877)</f>
        <v>1877</v>
      </c>
      <c r="H178" s="5">
        <f ca="1">IFERROR(__xludf.DUMMYFUNCTION("""COMPUTED_VALUE"""),659)</f>
        <v>659</v>
      </c>
      <c r="I178">
        <v>-27</v>
      </c>
      <c r="J178">
        <v>-12</v>
      </c>
      <c r="K178">
        <v>-61</v>
      </c>
      <c r="L178">
        <v>-41</v>
      </c>
      <c r="M178">
        <v>-30</v>
      </c>
      <c r="N178">
        <v>14</v>
      </c>
      <c r="O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8941</v>
      </c>
      <c r="AE178">
        <v>704</v>
      </c>
      <c r="AF178">
        <v>8237</v>
      </c>
      <c r="AG178" s="2">
        <v>7.8738396150000001E-2</v>
      </c>
      <c r="AH178" t="s">
        <v>31</v>
      </c>
      <c r="AI178" s="4">
        <v>1112</v>
      </c>
      <c r="AJ178" s="4">
        <v>25463</v>
      </c>
      <c r="AK178" s="4">
        <v>5090</v>
      </c>
      <c r="AL178" s="4">
        <v>2630</v>
      </c>
      <c r="AM178" s="4">
        <v>34295</v>
      </c>
      <c r="AN178" s="5">
        <f ca="1">IFERROR(__xludf.DUMMYFUNCTION("""COMPUTED_VALUE"""),-1242)</f>
        <v>-1242</v>
      </c>
    </row>
    <row r="179" spans="1:40" x14ac:dyDescent="0.35">
      <c r="A179" s="1">
        <v>178</v>
      </c>
      <c r="B179" s="7">
        <v>44068</v>
      </c>
      <c r="C179">
        <v>17</v>
      </c>
      <c r="D179">
        <v>523</v>
      </c>
      <c r="E179">
        <v>40</v>
      </c>
      <c r="F179">
        <v>56</v>
      </c>
      <c r="G179" s="5">
        <f ca="1">IFERROR(__xludf.DUMMYFUNCTION("""COMPUTED_VALUE"""),2447)</f>
        <v>2447</v>
      </c>
      <c r="H179" s="5">
        <f ca="1">IFERROR(__xludf.DUMMYFUNCTION("""COMPUTED_VALUE"""),636)</f>
        <v>636</v>
      </c>
      <c r="I179">
        <v>-26</v>
      </c>
      <c r="J179">
        <v>-7</v>
      </c>
      <c r="K179">
        <v>-62</v>
      </c>
      <c r="L179">
        <v>-40</v>
      </c>
      <c r="M179">
        <v>-31</v>
      </c>
      <c r="N179">
        <v>14</v>
      </c>
      <c r="O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8794</v>
      </c>
      <c r="AE179">
        <v>569</v>
      </c>
      <c r="AF179">
        <v>8225</v>
      </c>
      <c r="AG179" s="2">
        <v>6.4703206730000004E-2</v>
      </c>
      <c r="AH179" t="s">
        <v>31</v>
      </c>
      <c r="AI179" s="4">
        <v>1129</v>
      </c>
      <c r="AJ179" s="4">
        <v>25986</v>
      </c>
      <c r="AK179" s="4">
        <v>5130</v>
      </c>
      <c r="AL179" s="4">
        <v>2686</v>
      </c>
      <c r="AM179" s="4">
        <v>34931</v>
      </c>
      <c r="AN179" s="5">
        <f ca="1">IFERROR(__xludf.DUMMYFUNCTION("""COMPUTED_VALUE"""),96)</f>
        <v>96</v>
      </c>
    </row>
    <row r="180" spans="1:40" x14ac:dyDescent="0.35">
      <c r="A180" s="1">
        <v>179</v>
      </c>
      <c r="B180" s="7">
        <v>44069</v>
      </c>
      <c r="C180">
        <v>15</v>
      </c>
      <c r="D180">
        <v>764</v>
      </c>
      <c r="E180">
        <v>-152</v>
      </c>
      <c r="F180">
        <v>84</v>
      </c>
      <c r="G180" s="5">
        <f ca="1">IFERROR(__xludf.DUMMYFUNCTION("""COMPUTED_VALUE"""),2306)</f>
        <v>2306</v>
      </c>
      <c r="H180" s="5">
        <f ca="1">IFERROR(__xludf.DUMMYFUNCTION("""COMPUTED_VALUE"""),711)</f>
        <v>711</v>
      </c>
      <c r="I180">
        <v>-26</v>
      </c>
      <c r="J180">
        <v>-9</v>
      </c>
      <c r="K180">
        <v>-62</v>
      </c>
      <c r="L180">
        <v>-41</v>
      </c>
      <c r="M180">
        <v>-30</v>
      </c>
      <c r="N180">
        <v>14</v>
      </c>
      <c r="O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11436</v>
      </c>
      <c r="AE180">
        <v>907</v>
      </c>
      <c r="AF180">
        <v>10529</v>
      </c>
      <c r="AG180" s="2">
        <v>7.9310947879999996E-2</v>
      </c>
      <c r="AH180" t="s">
        <v>31</v>
      </c>
      <c r="AI180" s="4">
        <v>1144</v>
      </c>
      <c r="AJ180" s="4">
        <v>26750</v>
      </c>
      <c r="AK180" s="4">
        <v>4978</v>
      </c>
      <c r="AL180" s="4">
        <v>2770</v>
      </c>
      <c r="AM180" s="4">
        <v>35642</v>
      </c>
      <c r="AN180" s="5">
        <f ca="1">IFERROR(__xludf.DUMMYFUNCTION("""COMPUTED_VALUE"""),-68)</f>
        <v>-68</v>
      </c>
    </row>
    <row r="181" spans="1:40" x14ac:dyDescent="0.35">
      <c r="A181" s="1">
        <v>180</v>
      </c>
      <c r="B181" s="7">
        <v>44070</v>
      </c>
      <c r="C181">
        <v>3</v>
      </c>
      <c r="D181">
        <v>1538</v>
      </c>
      <c r="E181">
        <v>-479</v>
      </c>
      <c r="F181">
        <v>-242</v>
      </c>
      <c r="G181" s="5">
        <f ca="1">IFERROR(__xludf.DUMMYFUNCTION("""COMPUTED_VALUE"""),2719)</f>
        <v>2719</v>
      </c>
      <c r="H181" s="5">
        <f ca="1">IFERROR(__xludf.DUMMYFUNCTION("""COMPUTED_VALUE"""),820)</f>
        <v>820</v>
      </c>
      <c r="I181">
        <v>-25</v>
      </c>
      <c r="J181">
        <v>-8</v>
      </c>
      <c r="K181">
        <v>-60</v>
      </c>
      <c r="L181">
        <v>-41</v>
      </c>
      <c r="M181">
        <v>-30</v>
      </c>
      <c r="N181">
        <v>13</v>
      </c>
      <c r="O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9360</v>
      </c>
      <c r="AE181">
        <v>879</v>
      </c>
      <c r="AF181">
        <v>8481</v>
      </c>
      <c r="AG181" s="2">
        <v>9.3910256410000004E-2</v>
      </c>
      <c r="AH181" t="s">
        <v>31</v>
      </c>
      <c r="AI181" s="4">
        <v>1147</v>
      </c>
      <c r="AJ181" s="4">
        <v>28288</v>
      </c>
      <c r="AK181" s="4">
        <v>4499</v>
      </c>
      <c r="AL181" s="4">
        <v>2528</v>
      </c>
      <c r="AM181" s="4">
        <v>36462</v>
      </c>
      <c r="AN181" s="5">
        <f ca="1">IFERROR(__xludf.DUMMYFUNCTION("""COMPUTED_VALUE"""),-721)</f>
        <v>-721</v>
      </c>
    </row>
    <row r="182" spans="1:40" x14ac:dyDescent="0.35">
      <c r="A182" s="1">
        <v>181</v>
      </c>
      <c r="B182" s="7">
        <v>44071</v>
      </c>
      <c r="C182">
        <v>7</v>
      </c>
      <c r="D182">
        <v>881</v>
      </c>
      <c r="E182">
        <v>-371</v>
      </c>
      <c r="F182">
        <v>299</v>
      </c>
      <c r="G182" s="5">
        <f ca="1">IFERROR(__xludf.DUMMYFUNCTION("""COMPUTED_VALUE"""),3003)</f>
        <v>3003</v>
      </c>
      <c r="H182" s="5">
        <f ca="1">IFERROR(__xludf.DUMMYFUNCTION("""COMPUTED_VALUE"""),816)</f>
        <v>816</v>
      </c>
      <c r="I182">
        <v>-21</v>
      </c>
      <c r="J182">
        <v>-3</v>
      </c>
      <c r="K182">
        <v>-56</v>
      </c>
      <c r="L182">
        <v>-40</v>
      </c>
      <c r="M182">
        <v>-29</v>
      </c>
      <c r="N182">
        <v>14</v>
      </c>
      <c r="O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10266</v>
      </c>
      <c r="AE182">
        <v>882</v>
      </c>
      <c r="AF182">
        <v>9384</v>
      </c>
      <c r="AG182" s="2">
        <v>8.5914669779999994E-2</v>
      </c>
      <c r="AH182" t="s">
        <v>31</v>
      </c>
      <c r="AI182" s="4">
        <v>1154</v>
      </c>
      <c r="AJ182" s="4">
        <v>29169</v>
      </c>
      <c r="AK182" s="4">
        <v>4128</v>
      </c>
      <c r="AL182" s="4">
        <v>2827</v>
      </c>
      <c r="AM182" s="4">
        <v>37278</v>
      </c>
      <c r="AN182" s="5">
        <f ca="1">IFERROR(__xludf.DUMMYFUNCTION("""COMPUTED_VALUE"""),-72)</f>
        <v>-72</v>
      </c>
    </row>
    <row r="183" spans="1:40" x14ac:dyDescent="0.35">
      <c r="A183" s="1">
        <v>182</v>
      </c>
      <c r="B183" s="7">
        <v>44072</v>
      </c>
      <c r="C183">
        <v>18</v>
      </c>
      <c r="D183">
        <v>599</v>
      </c>
      <c r="E183">
        <v>286</v>
      </c>
      <c r="F183">
        <v>-15</v>
      </c>
      <c r="G183" s="5">
        <f ca="1">IFERROR(__xludf.DUMMYFUNCTION("""COMPUTED_VALUE"""),3308)</f>
        <v>3308</v>
      </c>
      <c r="H183" s="5">
        <f ca="1">IFERROR(__xludf.DUMMYFUNCTION("""COMPUTED_VALUE"""),888)</f>
        <v>888</v>
      </c>
      <c r="I183">
        <v>-25</v>
      </c>
      <c r="J183">
        <v>-2</v>
      </c>
      <c r="K183">
        <v>-56</v>
      </c>
      <c r="L183">
        <v>-33</v>
      </c>
      <c r="M183">
        <v>-17</v>
      </c>
      <c r="N183">
        <v>8</v>
      </c>
      <c r="O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9392</v>
      </c>
      <c r="AE183">
        <v>974</v>
      </c>
      <c r="AF183">
        <v>8418</v>
      </c>
      <c r="AG183" s="2">
        <v>0.1037052811</v>
      </c>
      <c r="AH183" t="s">
        <v>31</v>
      </c>
      <c r="AI183" s="4">
        <v>1172</v>
      </c>
      <c r="AJ183" s="4">
        <v>29768</v>
      </c>
      <c r="AK183" s="4">
        <v>4414</v>
      </c>
      <c r="AL183" s="4">
        <v>2812</v>
      </c>
      <c r="AM183" s="4">
        <v>38166</v>
      </c>
      <c r="AN183" s="5">
        <f ca="1">IFERROR(__xludf.DUMMYFUNCTION("""COMPUTED_VALUE"""),271)</f>
        <v>271</v>
      </c>
    </row>
    <row r="184" spans="1:40" x14ac:dyDescent="0.35">
      <c r="A184" s="1">
        <v>183</v>
      </c>
      <c r="B184" s="7">
        <v>44073</v>
      </c>
      <c r="C184">
        <v>14</v>
      </c>
      <c r="D184">
        <v>366</v>
      </c>
      <c r="E184">
        <v>531</v>
      </c>
      <c r="F184">
        <v>203</v>
      </c>
      <c r="G184" s="5">
        <f ca="1">IFERROR(__xludf.DUMMYFUNCTION("""COMPUTED_VALUE"""),2858)</f>
        <v>2858</v>
      </c>
      <c r="H184" s="5">
        <f ca="1">IFERROR(__xludf.DUMMYFUNCTION("""COMPUTED_VALUE"""),1114)</f>
        <v>1114</v>
      </c>
      <c r="I184">
        <v>-28</v>
      </c>
      <c r="J184">
        <v>-7</v>
      </c>
      <c r="K184">
        <v>-60</v>
      </c>
      <c r="L184">
        <v>-33</v>
      </c>
      <c r="M184">
        <v>-12</v>
      </c>
      <c r="N184">
        <v>8</v>
      </c>
      <c r="O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4880</v>
      </c>
      <c r="AE184">
        <v>703</v>
      </c>
      <c r="AF184">
        <v>4177</v>
      </c>
      <c r="AG184" s="2">
        <v>0.14405737699999999</v>
      </c>
      <c r="AH184" t="s">
        <v>31</v>
      </c>
      <c r="AI184" s="4">
        <v>1186</v>
      </c>
      <c r="AJ184" s="4">
        <v>30134</v>
      </c>
      <c r="AK184" s="4">
        <v>4945</v>
      </c>
      <c r="AL184" s="4">
        <v>3015</v>
      </c>
      <c r="AM184" s="4">
        <v>39280</v>
      </c>
      <c r="AN184" s="5">
        <f ca="1">IFERROR(__xludf.DUMMYFUNCTION("""COMPUTED_VALUE"""),734)</f>
        <v>734</v>
      </c>
    </row>
    <row r="185" spans="1:40" x14ac:dyDescent="0.35">
      <c r="A185" s="1">
        <v>184</v>
      </c>
      <c r="B185" s="7">
        <v>44074</v>
      </c>
      <c r="C185">
        <v>16</v>
      </c>
      <c r="D185">
        <v>404</v>
      </c>
      <c r="E185">
        <v>336</v>
      </c>
      <c r="F185">
        <v>273</v>
      </c>
      <c r="G185" s="5">
        <f ca="1">IFERROR(__xludf.DUMMYFUNCTION("""COMPUTED_VALUE"""),2743)</f>
        <v>2743</v>
      </c>
      <c r="H185" s="5">
        <f ca="1">IFERROR(__xludf.DUMMYFUNCTION("""COMPUTED_VALUE"""),1029)</f>
        <v>1029</v>
      </c>
      <c r="I185">
        <v>-23</v>
      </c>
      <c r="J185">
        <v>-3</v>
      </c>
      <c r="K185">
        <v>-61</v>
      </c>
      <c r="L185">
        <v>-40</v>
      </c>
      <c r="M185">
        <v>-30</v>
      </c>
      <c r="N185">
        <v>13</v>
      </c>
      <c r="O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7514</v>
      </c>
      <c r="AE185">
        <v>1024</v>
      </c>
      <c r="AF185">
        <v>6490</v>
      </c>
      <c r="AG185" s="2">
        <v>0.13627894600000001</v>
      </c>
      <c r="AH185" t="s">
        <v>31</v>
      </c>
      <c r="AI185" s="4">
        <v>1202</v>
      </c>
      <c r="AJ185" s="4">
        <v>30538</v>
      </c>
      <c r="AK185" s="4">
        <v>5281</v>
      </c>
      <c r="AL185" s="4">
        <v>3288</v>
      </c>
      <c r="AM185" s="4">
        <v>40309</v>
      </c>
      <c r="AN185" s="5">
        <f ca="1">IFERROR(__xludf.DUMMYFUNCTION("""COMPUTED_VALUE"""),609)</f>
        <v>609</v>
      </c>
    </row>
    <row r="186" spans="1:40" x14ac:dyDescent="0.35">
      <c r="A186" s="1">
        <v>185</v>
      </c>
      <c r="B186" s="7">
        <v>44075</v>
      </c>
      <c r="C186">
        <v>17</v>
      </c>
      <c r="D186">
        <v>729</v>
      </c>
      <c r="E186">
        <v>142</v>
      </c>
      <c r="F186">
        <v>53</v>
      </c>
      <c r="G186" s="5">
        <f ca="1">IFERROR(__xludf.DUMMYFUNCTION("""COMPUTED_VALUE"""),2775)</f>
        <v>2775</v>
      </c>
      <c r="H186" s="5">
        <f ca="1">IFERROR(__xludf.DUMMYFUNCTION("""COMPUTED_VALUE"""),941)</f>
        <v>941</v>
      </c>
      <c r="I186">
        <v>-24</v>
      </c>
      <c r="J186">
        <v>-2</v>
      </c>
      <c r="K186">
        <v>-61</v>
      </c>
      <c r="L186">
        <v>-39</v>
      </c>
      <c r="M186">
        <v>-31</v>
      </c>
      <c r="N186">
        <v>13</v>
      </c>
      <c r="O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8222</v>
      </c>
      <c r="AE186">
        <v>1121</v>
      </c>
      <c r="AF186">
        <v>7101</v>
      </c>
      <c r="AG186" s="2">
        <v>0.1363415227</v>
      </c>
      <c r="AH186" t="s">
        <v>31</v>
      </c>
      <c r="AI186" s="4">
        <v>1219</v>
      </c>
      <c r="AJ186" s="4">
        <v>31267</v>
      </c>
      <c r="AK186" s="4">
        <v>5423</v>
      </c>
      <c r="AL186" s="4">
        <v>3341</v>
      </c>
      <c r="AM186" s="4">
        <v>41250</v>
      </c>
      <c r="AN186" s="5">
        <f ca="1">IFERROR(__xludf.DUMMYFUNCTION("""COMPUTED_VALUE"""),195)</f>
        <v>195</v>
      </c>
    </row>
    <row r="187" spans="1:40" x14ac:dyDescent="0.35">
      <c r="A187" s="1">
        <v>186</v>
      </c>
      <c r="B187" s="7">
        <v>44076</v>
      </c>
      <c r="C187">
        <v>18</v>
      </c>
      <c r="D187">
        <v>474</v>
      </c>
      <c r="E187">
        <v>334</v>
      </c>
      <c r="F187">
        <v>227</v>
      </c>
      <c r="G187" s="5">
        <f ca="1">IFERROR(__xludf.DUMMYFUNCTION("""COMPUTED_VALUE"""),3075)</f>
        <v>3075</v>
      </c>
      <c r="H187" s="5">
        <f ca="1">IFERROR(__xludf.DUMMYFUNCTION("""COMPUTED_VALUE"""),1053)</f>
        <v>1053</v>
      </c>
      <c r="I187">
        <v>-25</v>
      </c>
      <c r="J187">
        <v>-6</v>
      </c>
      <c r="K187">
        <v>-62</v>
      </c>
      <c r="L187">
        <v>-40</v>
      </c>
      <c r="M187">
        <v>-31</v>
      </c>
      <c r="N187">
        <v>13</v>
      </c>
      <c r="O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9971</v>
      </c>
      <c r="AE187">
        <v>1135</v>
      </c>
      <c r="AF187">
        <v>8836</v>
      </c>
      <c r="AG187" s="2">
        <v>0.1138301073</v>
      </c>
      <c r="AH187" t="s">
        <v>31</v>
      </c>
      <c r="AI187" s="4">
        <v>1237</v>
      </c>
      <c r="AJ187" s="4">
        <v>31741</v>
      </c>
      <c r="AK187" s="4">
        <v>5757</v>
      </c>
      <c r="AL187" s="4">
        <v>3568</v>
      </c>
      <c r="AM187" s="4">
        <v>42303</v>
      </c>
      <c r="AN187" s="5">
        <f ca="1">IFERROR(__xludf.DUMMYFUNCTION("""COMPUTED_VALUE"""),561)</f>
        <v>561</v>
      </c>
    </row>
    <row r="188" spans="1:40" x14ac:dyDescent="0.35">
      <c r="A188" s="1">
        <v>187</v>
      </c>
      <c r="B188" s="7">
        <v>44077</v>
      </c>
      <c r="C188">
        <v>16</v>
      </c>
      <c r="D188">
        <v>683</v>
      </c>
      <c r="E188">
        <v>566</v>
      </c>
      <c r="F188">
        <v>141</v>
      </c>
      <c r="G188" s="5">
        <f ca="1">IFERROR(__xludf.DUMMYFUNCTION("""COMPUTED_VALUE"""),3622)</f>
        <v>3622</v>
      </c>
      <c r="H188" s="5">
        <f ca="1">IFERROR(__xludf.DUMMYFUNCTION("""COMPUTED_VALUE"""),1406)</f>
        <v>1406</v>
      </c>
      <c r="I188">
        <v>-25</v>
      </c>
      <c r="J188">
        <v>-6</v>
      </c>
      <c r="K188">
        <v>-58</v>
      </c>
      <c r="L188">
        <v>-42</v>
      </c>
      <c r="M188">
        <v>-31</v>
      </c>
      <c r="N188">
        <v>13</v>
      </c>
      <c r="O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12131</v>
      </c>
      <c r="AE188">
        <v>1013</v>
      </c>
      <c r="AF188">
        <v>11118</v>
      </c>
      <c r="AG188" s="2">
        <v>8.350506966E-2</v>
      </c>
      <c r="AH188" t="s">
        <v>31</v>
      </c>
      <c r="AI188" s="4">
        <v>1253</v>
      </c>
      <c r="AJ188" s="4">
        <v>32424</v>
      </c>
      <c r="AK188" s="4">
        <v>6323</v>
      </c>
      <c r="AL188" s="4">
        <v>3709</v>
      </c>
      <c r="AM188" s="4">
        <v>43709</v>
      </c>
      <c r="AN188" s="5">
        <f ca="1">IFERROR(__xludf.DUMMYFUNCTION("""COMPUTED_VALUE"""),707)</f>
        <v>707</v>
      </c>
    </row>
    <row r="189" spans="1:40" x14ac:dyDescent="0.35">
      <c r="A189" s="1">
        <v>188</v>
      </c>
      <c r="B189" s="7">
        <v>44078</v>
      </c>
      <c r="C189">
        <v>7</v>
      </c>
      <c r="D189">
        <v>836</v>
      </c>
      <c r="E189">
        <v>-66</v>
      </c>
      <c r="F189">
        <v>118</v>
      </c>
      <c r="G189" s="5">
        <f ca="1">IFERROR(__xludf.DUMMYFUNCTION("""COMPUTED_VALUE"""),3269)</f>
        <v>3269</v>
      </c>
      <c r="H189" s="5">
        <f ca="1">IFERROR(__xludf.DUMMYFUNCTION("""COMPUTED_VALUE"""),895)</f>
        <v>895</v>
      </c>
      <c r="I189">
        <v>-22</v>
      </c>
      <c r="J189">
        <v>-5</v>
      </c>
      <c r="K189">
        <v>-51</v>
      </c>
      <c r="L189">
        <v>-41</v>
      </c>
      <c r="M189">
        <v>-30</v>
      </c>
      <c r="N189">
        <v>14</v>
      </c>
      <c r="O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10248</v>
      </c>
      <c r="AE189">
        <v>1242</v>
      </c>
      <c r="AF189">
        <v>9006</v>
      </c>
      <c r="AG189" s="2">
        <v>0.1211943794</v>
      </c>
      <c r="AH189" t="s">
        <v>31</v>
      </c>
      <c r="AI189" s="4">
        <v>1260</v>
      </c>
      <c r="AJ189" s="4">
        <v>33260</v>
      </c>
      <c r="AK189" s="4">
        <v>6257</v>
      </c>
      <c r="AL189" s="4">
        <v>3827</v>
      </c>
      <c r="AM189" s="4">
        <v>44604</v>
      </c>
      <c r="AN189" s="5">
        <f ca="1">IFERROR(__xludf.DUMMYFUNCTION("""COMPUTED_VALUE"""),52)</f>
        <v>52</v>
      </c>
    </row>
    <row r="190" spans="1:40" x14ac:dyDescent="0.35">
      <c r="A190" s="1">
        <v>189</v>
      </c>
      <c r="B190" s="7">
        <v>44079</v>
      </c>
      <c r="C190">
        <v>17</v>
      </c>
      <c r="D190">
        <v>731</v>
      </c>
      <c r="E190">
        <v>244</v>
      </c>
      <c r="F190">
        <v>-150</v>
      </c>
      <c r="G190" s="5">
        <f ca="1">IFERROR(__xludf.DUMMYFUNCTION("""COMPUTED_VALUE"""),3128)</f>
        <v>3128</v>
      </c>
      <c r="H190" s="5">
        <f ca="1">IFERROR(__xludf.DUMMYFUNCTION("""COMPUTED_VALUE"""),842)</f>
        <v>842</v>
      </c>
      <c r="I190">
        <v>-25</v>
      </c>
      <c r="J190">
        <v>-4</v>
      </c>
      <c r="K190">
        <v>-53</v>
      </c>
      <c r="L190">
        <v>-34</v>
      </c>
      <c r="M190">
        <v>-19</v>
      </c>
      <c r="N190">
        <v>8</v>
      </c>
      <c r="O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9866</v>
      </c>
      <c r="AE190">
        <v>1130</v>
      </c>
      <c r="AF190">
        <v>8736</v>
      </c>
      <c r="AG190" s="2">
        <v>0.1145347659</v>
      </c>
      <c r="AH190" t="s">
        <v>31</v>
      </c>
      <c r="AI190" s="4">
        <v>1277</v>
      </c>
      <c r="AJ190" s="4">
        <v>33991</v>
      </c>
      <c r="AK190" s="4">
        <v>6501</v>
      </c>
      <c r="AL190" s="4">
        <v>3677</v>
      </c>
      <c r="AM190" s="4">
        <v>45446</v>
      </c>
      <c r="AN190" s="5">
        <f ca="1">IFERROR(__xludf.DUMMYFUNCTION("""COMPUTED_VALUE"""),94)</f>
        <v>94</v>
      </c>
    </row>
    <row r="191" spans="1:40" x14ac:dyDescent="0.35">
      <c r="A191" s="1">
        <v>190</v>
      </c>
      <c r="B191" s="7">
        <v>44080</v>
      </c>
      <c r="C191">
        <v>12</v>
      </c>
      <c r="D191">
        <v>747</v>
      </c>
      <c r="E191">
        <v>81</v>
      </c>
      <c r="F191">
        <v>405</v>
      </c>
      <c r="G191" s="5">
        <f ca="1">IFERROR(__xludf.DUMMYFUNCTION("""COMPUTED_VALUE"""),3444)</f>
        <v>3444</v>
      </c>
      <c r="H191" s="5">
        <f ca="1">IFERROR(__xludf.DUMMYFUNCTION("""COMPUTED_VALUE"""),1245)</f>
        <v>1245</v>
      </c>
      <c r="I191">
        <v>-30</v>
      </c>
      <c r="J191">
        <v>-10</v>
      </c>
      <c r="K191">
        <v>-58</v>
      </c>
      <c r="L191">
        <v>-34</v>
      </c>
      <c r="M191">
        <v>-15</v>
      </c>
      <c r="N191">
        <v>8</v>
      </c>
      <c r="O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4979</v>
      </c>
      <c r="AE191">
        <v>703</v>
      </c>
      <c r="AF191">
        <v>4276</v>
      </c>
      <c r="AG191" s="2">
        <v>0.1411930106</v>
      </c>
      <c r="AH191" t="s">
        <v>31</v>
      </c>
      <c r="AI191" s="4">
        <v>1289</v>
      </c>
      <c r="AJ191" s="4">
        <v>34738</v>
      </c>
      <c r="AK191" s="4">
        <v>6582</v>
      </c>
      <c r="AL191" s="4">
        <v>4082</v>
      </c>
      <c r="AM191" s="4">
        <v>46691</v>
      </c>
      <c r="AN191" s="5">
        <f ca="1">IFERROR(__xludf.DUMMYFUNCTION("""COMPUTED_VALUE"""),486)</f>
        <v>486</v>
      </c>
    </row>
    <row r="192" spans="1:40" x14ac:dyDescent="0.35">
      <c r="A192" s="1">
        <v>191</v>
      </c>
      <c r="B192" s="7">
        <v>44081</v>
      </c>
      <c r="C192">
        <v>29</v>
      </c>
      <c r="D192">
        <v>693</v>
      </c>
      <c r="E192">
        <v>124</v>
      </c>
      <c r="F192">
        <v>259</v>
      </c>
      <c r="G192" s="5">
        <f ca="1">IFERROR(__xludf.DUMMYFUNCTION("""COMPUTED_VALUE"""),2880)</f>
        <v>2880</v>
      </c>
      <c r="H192" s="5">
        <f ca="1">IFERROR(__xludf.DUMMYFUNCTION("""COMPUTED_VALUE"""),1105)</f>
        <v>1105</v>
      </c>
      <c r="I192">
        <v>-25</v>
      </c>
      <c r="J192">
        <v>-8</v>
      </c>
      <c r="K192">
        <v>-58</v>
      </c>
      <c r="L192">
        <v>-41</v>
      </c>
      <c r="M192">
        <v>-32</v>
      </c>
      <c r="N192">
        <v>14</v>
      </c>
      <c r="O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12302</v>
      </c>
      <c r="AE192">
        <v>1289</v>
      </c>
      <c r="AF192">
        <v>11013</v>
      </c>
      <c r="AG192" s="2">
        <v>0.10477971060000001</v>
      </c>
      <c r="AH192" t="s">
        <v>31</v>
      </c>
      <c r="AI192" s="4">
        <v>1318</v>
      </c>
      <c r="AJ192" s="4">
        <v>35431</v>
      </c>
      <c r="AK192" s="4">
        <v>6706</v>
      </c>
      <c r="AL192" s="4">
        <v>4341</v>
      </c>
      <c r="AM192" s="4">
        <v>47796</v>
      </c>
      <c r="AN192" s="5">
        <f ca="1">IFERROR(__xludf.DUMMYFUNCTION("""COMPUTED_VALUE"""),383)</f>
        <v>383</v>
      </c>
    </row>
    <row r="193" spans="1:40" x14ac:dyDescent="0.35">
      <c r="A193" s="1">
        <v>192</v>
      </c>
      <c r="B193" s="7">
        <v>44082</v>
      </c>
      <c r="C193">
        <v>12</v>
      </c>
      <c r="D193">
        <v>1020</v>
      </c>
      <c r="E193">
        <v>-108</v>
      </c>
      <c r="F193">
        <v>91</v>
      </c>
      <c r="G193" s="5">
        <f ca="1">IFERROR(__xludf.DUMMYFUNCTION("""COMPUTED_VALUE"""),3046)</f>
        <v>3046</v>
      </c>
      <c r="H193" s="5">
        <f ca="1">IFERROR(__xludf.DUMMYFUNCTION("""COMPUTED_VALUE"""),1015)</f>
        <v>1015</v>
      </c>
      <c r="I193">
        <v>-26</v>
      </c>
      <c r="J193">
        <v>-9</v>
      </c>
      <c r="K193">
        <v>-59</v>
      </c>
      <c r="L193">
        <v>-40</v>
      </c>
      <c r="M193">
        <v>-33</v>
      </c>
      <c r="N193">
        <v>14</v>
      </c>
      <c r="O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12891</v>
      </c>
      <c r="AE193">
        <v>1326</v>
      </c>
      <c r="AF193">
        <v>11565</v>
      </c>
      <c r="AG193" s="2">
        <v>0.1028624622</v>
      </c>
      <c r="AH193" t="s">
        <v>31</v>
      </c>
      <c r="AI193" s="4">
        <v>1330</v>
      </c>
      <c r="AJ193" s="4">
        <v>36451</v>
      </c>
      <c r="AK193" s="4">
        <v>6598</v>
      </c>
      <c r="AL193" s="4">
        <v>4432</v>
      </c>
      <c r="AM193" s="4">
        <v>48811</v>
      </c>
      <c r="AN193" s="5">
        <f ca="1">IFERROR(__xludf.DUMMYFUNCTION("""COMPUTED_VALUE"""),-17)</f>
        <v>-17</v>
      </c>
    </row>
    <row r="194" spans="1:40" x14ac:dyDescent="0.35">
      <c r="A194" s="1">
        <v>193</v>
      </c>
      <c r="B194" s="7">
        <v>44083</v>
      </c>
      <c r="C194">
        <v>17</v>
      </c>
      <c r="D194">
        <v>794</v>
      </c>
      <c r="E194">
        <v>93</v>
      </c>
      <c r="F194">
        <v>122</v>
      </c>
      <c r="G194" s="5">
        <f ca="1">IFERROR(__xludf.DUMMYFUNCTION("""COMPUTED_VALUE"""),3307)</f>
        <v>3307</v>
      </c>
      <c r="H194" s="5">
        <f ca="1">IFERROR(__xludf.DUMMYFUNCTION("""COMPUTED_VALUE"""),1026)</f>
        <v>1026</v>
      </c>
      <c r="I194">
        <v>-26</v>
      </c>
      <c r="J194">
        <v>-10</v>
      </c>
      <c r="K194">
        <v>-60</v>
      </c>
      <c r="L194">
        <v>-41</v>
      </c>
      <c r="M194">
        <v>-32</v>
      </c>
      <c r="N194">
        <v>13</v>
      </c>
      <c r="O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10005</v>
      </c>
      <c r="AE194">
        <v>1102</v>
      </c>
      <c r="AF194">
        <v>8903</v>
      </c>
      <c r="AG194" s="2">
        <v>0.1101449275</v>
      </c>
      <c r="AH194" t="s">
        <v>31</v>
      </c>
      <c r="AI194" s="4">
        <v>1347</v>
      </c>
      <c r="AJ194" s="4">
        <v>37245</v>
      </c>
      <c r="AK194" s="4">
        <v>6691</v>
      </c>
      <c r="AL194" s="4">
        <v>4554</v>
      </c>
      <c r="AM194" s="4">
        <v>49837</v>
      </c>
      <c r="AN194" s="5">
        <f ca="1">IFERROR(__xludf.DUMMYFUNCTION("""COMPUTED_VALUE"""),215)</f>
        <v>215</v>
      </c>
    </row>
    <row r="195" spans="1:40" x14ac:dyDescent="0.35">
      <c r="A195" s="1">
        <v>194</v>
      </c>
      <c r="B195" s="7">
        <v>44084</v>
      </c>
      <c r="C195">
        <v>18</v>
      </c>
      <c r="D195">
        <v>981</v>
      </c>
      <c r="E195">
        <v>277</v>
      </c>
      <c r="F195">
        <v>174</v>
      </c>
      <c r="G195" s="5">
        <f ca="1">IFERROR(__xludf.DUMMYFUNCTION("""COMPUTED_VALUE"""),3861)</f>
        <v>3861</v>
      </c>
      <c r="H195" s="5">
        <f ca="1">IFERROR(__xludf.DUMMYFUNCTION("""COMPUTED_VALUE"""),1450)</f>
        <v>1450</v>
      </c>
      <c r="I195">
        <v>-26</v>
      </c>
      <c r="J195">
        <v>-10</v>
      </c>
      <c r="K195">
        <v>-59</v>
      </c>
      <c r="L195">
        <v>-42</v>
      </c>
      <c r="M195">
        <v>-32</v>
      </c>
      <c r="N195">
        <v>13</v>
      </c>
      <c r="O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12103</v>
      </c>
      <c r="AE195">
        <v>1203</v>
      </c>
      <c r="AF195">
        <v>10900</v>
      </c>
      <c r="AG195" s="2">
        <v>9.9396843760000006E-2</v>
      </c>
      <c r="AH195" t="s">
        <v>31</v>
      </c>
      <c r="AI195" s="4">
        <v>1365</v>
      </c>
      <c r="AJ195" s="4">
        <v>38226</v>
      </c>
      <c r="AK195" s="4">
        <v>6968</v>
      </c>
      <c r="AL195" s="4">
        <v>4728</v>
      </c>
      <c r="AM195" s="4">
        <v>51287</v>
      </c>
      <c r="AN195" s="5">
        <f ca="1">IFERROR(__xludf.DUMMYFUNCTION("""COMPUTED_VALUE"""),451)</f>
        <v>451</v>
      </c>
    </row>
    <row r="196" spans="1:40" x14ac:dyDescent="0.35">
      <c r="A196" s="1">
        <v>195</v>
      </c>
      <c r="B196" s="7">
        <v>44085</v>
      </c>
      <c r="C196">
        <v>17</v>
      </c>
      <c r="D196">
        <v>889</v>
      </c>
      <c r="E196">
        <v>175</v>
      </c>
      <c r="F196">
        <v>-47</v>
      </c>
      <c r="G196" s="5">
        <f ca="1">IFERROR(__xludf.DUMMYFUNCTION("""COMPUTED_VALUE"""),3737)</f>
        <v>3737</v>
      </c>
      <c r="H196" s="5">
        <f ca="1">IFERROR(__xludf.DUMMYFUNCTION("""COMPUTED_VALUE"""),1034)</f>
        <v>1034</v>
      </c>
      <c r="I196">
        <v>-22</v>
      </c>
      <c r="J196">
        <v>-8</v>
      </c>
      <c r="K196">
        <v>-52</v>
      </c>
      <c r="L196">
        <v>-41</v>
      </c>
      <c r="M196">
        <v>-30</v>
      </c>
      <c r="N196">
        <v>14</v>
      </c>
      <c r="O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10311</v>
      </c>
      <c r="AE196">
        <v>1435</v>
      </c>
      <c r="AF196">
        <v>8876</v>
      </c>
      <c r="AG196" s="2">
        <v>0.1391717583</v>
      </c>
      <c r="AH196" t="s">
        <v>31</v>
      </c>
      <c r="AI196" s="4">
        <v>1382</v>
      </c>
      <c r="AJ196" s="4">
        <v>39115</v>
      </c>
      <c r="AK196" s="4">
        <v>7143</v>
      </c>
      <c r="AL196" s="4">
        <v>4681</v>
      </c>
      <c r="AM196" s="4">
        <v>52321</v>
      </c>
      <c r="AN196" s="5">
        <f ca="1">IFERROR(__xludf.DUMMYFUNCTION("""COMPUTED_VALUE"""),128)</f>
        <v>128</v>
      </c>
    </row>
    <row r="197" spans="1:40" x14ac:dyDescent="0.35">
      <c r="A197" s="1">
        <v>196</v>
      </c>
      <c r="B197" s="7">
        <v>44086</v>
      </c>
      <c r="C197">
        <v>22</v>
      </c>
      <c r="D197">
        <v>1068</v>
      </c>
      <c r="E197">
        <v>347</v>
      </c>
      <c r="F197">
        <v>3</v>
      </c>
      <c r="G197" s="5">
        <f ca="1">IFERROR(__xludf.DUMMYFUNCTION("""COMPUTED_VALUE"""),3806)</f>
        <v>3806</v>
      </c>
      <c r="H197" s="5">
        <f ca="1">IFERROR(__xludf.DUMMYFUNCTION("""COMPUTED_VALUE"""),1440)</f>
        <v>1440</v>
      </c>
      <c r="I197">
        <v>-27</v>
      </c>
      <c r="J197">
        <v>-8</v>
      </c>
      <c r="K197">
        <v>-53</v>
      </c>
      <c r="L197">
        <v>-35</v>
      </c>
      <c r="M197">
        <v>-18</v>
      </c>
      <c r="N197">
        <v>9</v>
      </c>
      <c r="O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10567</v>
      </c>
      <c r="AE197">
        <v>1702</v>
      </c>
      <c r="AF197">
        <v>8865</v>
      </c>
      <c r="AG197" s="2">
        <v>0.1610674742</v>
      </c>
      <c r="AH197" t="s">
        <v>31</v>
      </c>
      <c r="AI197" s="4">
        <v>1404</v>
      </c>
      <c r="AJ197" s="4">
        <v>40183</v>
      </c>
      <c r="AK197" s="4">
        <v>7490</v>
      </c>
      <c r="AL197" s="4">
        <v>4684</v>
      </c>
      <c r="AM197" s="4">
        <v>53761</v>
      </c>
      <c r="AN197" s="5">
        <f ca="1">IFERROR(__xludf.DUMMYFUNCTION("""COMPUTED_VALUE"""),350)</f>
        <v>350</v>
      </c>
    </row>
    <row r="198" spans="1:40" x14ac:dyDescent="0.35">
      <c r="A198" s="1">
        <v>197</v>
      </c>
      <c r="B198" s="7">
        <v>44087</v>
      </c>
      <c r="C198">
        <v>6</v>
      </c>
      <c r="D198">
        <v>831</v>
      </c>
      <c r="E198">
        <v>301</v>
      </c>
      <c r="F198">
        <v>-35</v>
      </c>
      <c r="G198" s="5">
        <f ca="1">IFERROR(__xludf.DUMMYFUNCTION("""COMPUTED_VALUE"""),3636)</f>
        <v>3636</v>
      </c>
      <c r="H198" s="5">
        <f ca="1">IFERROR(__xludf.DUMMYFUNCTION("""COMPUTED_VALUE"""),1103)</f>
        <v>1103</v>
      </c>
      <c r="I198">
        <v>-32</v>
      </c>
      <c r="J198">
        <v>-14</v>
      </c>
      <c r="K198">
        <v>-61</v>
      </c>
      <c r="L198">
        <v>-36</v>
      </c>
      <c r="M198">
        <v>-13</v>
      </c>
      <c r="N198">
        <v>9</v>
      </c>
      <c r="O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5085</v>
      </c>
      <c r="AE198">
        <v>768</v>
      </c>
      <c r="AF198">
        <v>4317</v>
      </c>
      <c r="AG198" s="2">
        <v>0.15103244839999999</v>
      </c>
      <c r="AH198" t="s">
        <v>31</v>
      </c>
      <c r="AI198" s="4">
        <v>1410</v>
      </c>
      <c r="AJ198" s="4">
        <v>41014</v>
      </c>
      <c r="AK198" s="4">
        <v>7791</v>
      </c>
      <c r="AL198" s="4">
        <v>4649</v>
      </c>
      <c r="AM198" s="4">
        <v>54864</v>
      </c>
      <c r="AN198" s="5">
        <f ca="1">IFERROR(__xludf.DUMMYFUNCTION("""COMPUTED_VALUE"""),266)</f>
        <v>266</v>
      </c>
    </row>
    <row r="199" spans="1:40" x14ac:dyDescent="0.35">
      <c r="A199" s="1">
        <v>198</v>
      </c>
      <c r="B199" s="7">
        <v>44088</v>
      </c>
      <c r="C199">
        <v>30</v>
      </c>
      <c r="D199">
        <v>1311</v>
      </c>
      <c r="E199">
        <v>-261</v>
      </c>
      <c r="F199">
        <v>-18</v>
      </c>
      <c r="G199" s="5">
        <f ca="1">IFERROR(__xludf.DUMMYFUNCTION("""COMPUTED_VALUE"""),3141)</f>
        <v>3141</v>
      </c>
      <c r="H199" s="5">
        <f ca="1">IFERROR(__xludf.DUMMYFUNCTION("""COMPUTED_VALUE"""),1062)</f>
        <v>1062</v>
      </c>
      <c r="I199">
        <v>-41</v>
      </c>
      <c r="J199">
        <v>-24</v>
      </c>
      <c r="K199">
        <v>-67</v>
      </c>
      <c r="L199">
        <v>-54</v>
      </c>
      <c r="M199">
        <v>-37</v>
      </c>
      <c r="N199">
        <v>19</v>
      </c>
      <c r="O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12510</v>
      </c>
      <c r="AE199">
        <v>1263</v>
      </c>
      <c r="AF199">
        <v>11247</v>
      </c>
      <c r="AG199" s="2">
        <v>0.1009592326</v>
      </c>
      <c r="AH199" t="s">
        <v>31</v>
      </c>
      <c r="AI199" s="4">
        <v>1440</v>
      </c>
      <c r="AJ199" s="4">
        <v>42325</v>
      </c>
      <c r="AK199" s="4">
        <v>7530</v>
      </c>
      <c r="AL199" s="4">
        <v>4631</v>
      </c>
      <c r="AM199" s="4">
        <v>55926</v>
      </c>
      <c r="AN199" s="5">
        <f ca="1">IFERROR(__xludf.DUMMYFUNCTION("""COMPUTED_VALUE"""),-279)</f>
        <v>-279</v>
      </c>
    </row>
    <row r="200" spans="1:40" x14ac:dyDescent="0.35">
      <c r="A200" s="1">
        <v>199</v>
      </c>
      <c r="B200" s="7">
        <v>44089</v>
      </c>
      <c r="C200">
        <v>28</v>
      </c>
      <c r="D200">
        <v>981</v>
      </c>
      <c r="E200">
        <v>181</v>
      </c>
      <c r="F200">
        <v>-163</v>
      </c>
      <c r="G200" s="5">
        <f ca="1">IFERROR(__xludf.DUMMYFUNCTION("""COMPUTED_VALUE"""),3507)</f>
        <v>3507</v>
      </c>
      <c r="H200" s="5">
        <f ca="1">IFERROR(__xludf.DUMMYFUNCTION("""COMPUTED_VALUE"""),1027)</f>
        <v>1027</v>
      </c>
      <c r="I200">
        <v>-42</v>
      </c>
      <c r="J200">
        <v>-25</v>
      </c>
      <c r="K200">
        <v>-69</v>
      </c>
      <c r="L200">
        <v>-54</v>
      </c>
      <c r="M200">
        <v>-38</v>
      </c>
      <c r="N200">
        <v>19</v>
      </c>
      <c r="O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8677</v>
      </c>
      <c r="AE200">
        <v>1037</v>
      </c>
      <c r="AF200">
        <v>7640</v>
      </c>
      <c r="AG200" s="2">
        <v>0.1195113518</v>
      </c>
      <c r="AH200" t="s">
        <v>31</v>
      </c>
      <c r="AI200" s="4">
        <v>1468</v>
      </c>
      <c r="AJ200" s="4">
        <v>43306</v>
      </c>
      <c r="AK200" s="4">
        <v>7711</v>
      </c>
      <c r="AL200" s="4">
        <v>4468</v>
      </c>
      <c r="AM200" s="4">
        <v>56953</v>
      </c>
      <c r="AN200" s="5">
        <f ca="1">IFERROR(__xludf.DUMMYFUNCTION("""COMPUTED_VALUE"""),18)</f>
        <v>18</v>
      </c>
    </row>
    <row r="201" spans="1:40" x14ac:dyDescent="0.35">
      <c r="A201" s="1">
        <v>200</v>
      </c>
      <c r="B201" s="7">
        <v>44090</v>
      </c>
      <c r="C201">
        <v>30</v>
      </c>
      <c r="D201">
        <v>945</v>
      </c>
      <c r="E201">
        <v>196</v>
      </c>
      <c r="F201">
        <v>334</v>
      </c>
      <c r="G201" s="5">
        <f ca="1">IFERROR(__xludf.DUMMYFUNCTION("""COMPUTED_VALUE"""),3963)</f>
        <v>3963</v>
      </c>
      <c r="H201" s="5">
        <f ca="1">IFERROR(__xludf.DUMMYFUNCTION("""COMPUTED_VALUE"""),1505)</f>
        <v>1505</v>
      </c>
      <c r="I201">
        <v>-38</v>
      </c>
      <c r="J201">
        <v>-17</v>
      </c>
      <c r="K201">
        <v>-65</v>
      </c>
      <c r="L201">
        <v>-52</v>
      </c>
      <c r="M201">
        <v>-37</v>
      </c>
      <c r="N201">
        <v>18</v>
      </c>
      <c r="O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13090</v>
      </c>
      <c r="AE201">
        <v>1048</v>
      </c>
      <c r="AF201">
        <v>12042</v>
      </c>
      <c r="AG201" s="2">
        <v>8.0061115360000004E-2</v>
      </c>
      <c r="AH201" t="s">
        <v>31</v>
      </c>
      <c r="AI201" s="4">
        <v>1498</v>
      </c>
      <c r="AJ201" s="4">
        <v>44251</v>
      </c>
      <c r="AK201" s="4">
        <v>7907</v>
      </c>
      <c r="AL201" s="4">
        <v>4802</v>
      </c>
      <c r="AM201" s="4">
        <v>58458</v>
      </c>
      <c r="AN201" s="5">
        <f ca="1">IFERROR(__xludf.DUMMYFUNCTION("""COMPUTED_VALUE"""),530)</f>
        <v>530</v>
      </c>
    </row>
    <row r="202" spans="1:40" x14ac:dyDescent="0.35">
      <c r="A202" s="1">
        <v>201</v>
      </c>
      <c r="B202" s="7">
        <v>44091</v>
      </c>
      <c r="C202">
        <v>15</v>
      </c>
      <c r="D202">
        <v>956</v>
      </c>
      <c r="E202">
        <v>106</v>
      </c>
      <c r="F202">
        <v>-63</v>
      </c>
      <c r="G202" s="5">
        <f ca="1">IFERROR(__xludf.DUMMYFUNCTION("""COMPUTED_VALUE"""),3635)</f>
        <v>3635</v>
      </c>
      <c r="H202" s="5">
        <f ca="1">IFERROR(__xludf.DUMMYFUNCTION("""COMPUTED_VALUE"""),1014)</f>
        <v>1014</v>
      </c>
      <c r="I202">
        <v>-39</v>
      </c>
      <c r="J202">
        <v>-18</v>
      </c>
      <c r="K202">
        <v>-63</v>
      </c>
      <c r="L202">
        <v>-53</v>
      </c>
      <c r="M202">
        <v>-37</v>
      </c>
      <c r="N202">
        <v>18</v>
      </c>
      <c r="O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13012</v>
      </c>
      <c r="AE202">
        <v>1403</v>
      </c>
      <c r="AF202">
        <v>11609</v>
      </c>
      <c r="AG202" s="2">
        <v>0.10782354750000001</v>
      </c>
      <c r="AH202" t="s">
        <v>31</v>
      </c>
      <c r="AI202" s="4">
        <v>1513</v>
      </c>
      <c r="AJ202" s="4">
        <v>45207</v>
      </c>
      <c r="AK202" s="4">
        <v>8013</v>
      </c>
      <c r="AL202" s="4">
        <v>4739</v>
      </c>
      <c r="AM202" s="4">
        <v>59472</v>
      </c>
      <c r="AN202" s="5">
        <f ca="1">IFERROR(__xludf.DUMMYFUNCTION("""COMPUTED_VALUE"""),43)</f>
        <v>43</v>
      </c>
    </row>
    <row r="203" spans="1:40" x14ac:dyDescent="0.35">
      <c r="A203" s="1">
        <v>202</v>
      </c>
      <c r="B203" s="7">
        <v>44092</v>
      </c>
      <c r="C203">
        <v>22</v>
      </c>
      <c r="D203">
        <v>1028</v>
      </c>
      <c r="E203">
        <v>437</v>
      </c>
      <c r="F203">
        <v>-84</v>
      </c>
      <c r="G203" s="5">
        <f ca="1">IFERROR(__xludf.DUMMYFUNCTION("""COMPUTED_VALUE"""),3891)</f>
        <v>3891</v>
      </c>
      <c r="H203" s="5">
        <f ca="1">IFERROR(__xludf.DUMMYFUNCTION("""COMPUTED_VALUE"""),1403)</f>
        <v>1403</v>
      </c>
      <c r="I203">
        <v>-38</v>
      </c>
      <c r="J203">
        <v>-17</v>
      </c>
      <c r="K203">
        <v>-59</v>
      </c>
      <c r="L203">
        <v>-52</v>
      </c>
      <c r="M203">
        <v>-36</v>
      </c>
      <c r="N203">
        <v>19</v>
      </c>
      <c r="O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13890</v>
      </c>
      <c r="AE203">
        <v>1166</v>
      </c>
      <c r="AF203">
        <v>12724</v>
      </c>
      <c r="AG203" s="2">
        <v>8.3945284379999999E-2</v>
      </c>
      <c r="AH203" t="s">
        <v>31</v>
      </c>
      <c r="AI203" s="4">
        <v>1535</v>
      </c>
      <c r="AJ203" s="4">
        <v>46235</v>
      </c>
      <c r="AK203" s="4">
        <v>8450</v>
      </c>
      <c r="AL203" s="4">
        <v>4655</v>
      </c>
      <c r="AM203" s="4">
        <v>60875</v>
      </c>
      <c r="AN203" s="5">
        <f ca="1">IFERROR(__xludf.DUMMYFUNCTION("""COMPUTED_VALUE"""),353)</f>
        <v>353</v>
      </c>
    </row>
    <row r="204" spans="1:40" x14ac:dyDescent="0.35">
      <c r="A204" s="1">
        <v>203</v>
      </c>
      <c r="B204" s="7">
        <v>44093</v>
      </c>
      <c r="C204">
        <v>11</v>
      </c>
      <c r="D204">
        <v>1025</v>
      </c>
      <c r="E204">
        <v>246</v>
      </c>
      <c r="F204">
        <v>-350</v>
      </c>
      <c r="G204" s="5">
        <f ca="1">IFERROR(__xludf.DUMMYFUNCTION("""COMPUTED_VALUE"""),4168)</f>
        <v>4168</v>
      </c>
      <c r="H204" s="5">
        <f ca="1">IFERROR(__xludf.DUMMYFUNCTION("""COMPUTED_VALUE"""),932)</f>
        <v>932</v>
      </c>
      <c r="I204">
        <v>-41</v>
      </c>
      <c r="J204">
        <v>-16</v>
      </c>
      <c r="K204">
        <v>-65</v>
      </c>
      <c r="L204">
        <v>-47</v>
      </c>
      <c r="M204">
        <v>-21</v>
      </c>
      <c r="N204">
        <v>13</v>
      </c>
      <c r="O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11118</v>
      </c>
      <c r="AE204">
        <v>1177</v>
      </c>
      <c r="AF204">
        <v>9941</v>
      </c>
      <c r="AG204" s="2">
        <v>0.1058643641</v>
      </c>
      <c r="AH204" t="s">
        <v>31</v>
      </c>
      <c r="AI204" s="4">
        <v>1546</v>
      </c>
      <c r="AJ204" s="4">
        <v>47260</v>
      </c>
      <c r="AK204" s="4">
        <v>8696</v>
      </c>
      <c r="AL204" s="4">
        <v>4305</v>
      </c>
      <c r="AM204" s="4">
        <v>61807</v>
      </c>
      <c r="AN204" s="5">
        <f ca="1">IFERROR(__xludf.DUMMYFUNCTION("""COMPUTED_VALUE"""),-104)</f>
        <v>-104</v>
      </c>
    </row>
    <row r="205" spans="1:40" x14ac:dyDescent="0.35">
      <c r="A205" s="1">
        <v>204</v>
      </c>
      <c r="B205" s="7">
        <v>44094</v>
      </c>
      <c r="C205">
        <v>15</v>
      </c>
      <c r="D205">
        <v>1949</v>
      </c>
      <c r="E205">
        <v>-399</v>
      </c>
      <c r="F205">
        <v>-486</v>
      </c>
      <c r="G205" s="5">
        <f ca="1">IFERROR(__xludf.DUMMYFUNCTION("""COMPUTED_VALUE"""),3989)</f>
        <v>3989</v>
      </c>
      <c r="H205" s="5">
        <f ca="1">IFERROR(__xludf.DUMMYFUNCTION("""COMPUTED_VALUE"""),1079)</f>
        <v>1079</v>
      </c>
      <c r="I205">
        <v>-53</v>
      </c>
      <c r="J205">
        <v>-30</v>
      </c>
      <c r="K205">
        <v>-76</v>
      </c>
      <c r="L205">
        <v>-55</v>
      </c>
      <c r="M205">
        <v>-21</v>
      </c>
      <c r="N205">
        <v>15</v>
      </c>
      <c r="O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6818</v>
      </c>
      <c r="AE205">
        <v>929</v>
      </c>
      <c r="AF205">
        <v>5889</v>
      </c>
      <c r="AG205" s="2">
        <v>0.1362569669</v>
      </c>
      <c r="AH205" t="s">
        <v>31</v>
      </c>
      <c r="AI205" s="4">
        <v>1561</v>
      </c>
      <c r="AJ205" s="4">
        <v>49209</v>
      </c>
      <c r="AK205" s="4">
        <v>8297</v>
      </c>
      <c r="AL205" s="4">
        <v>3819</v>
      </c>
      <c r="AM205" s="4">
        <v>62886</v>
      </c>
      <c r="AN205" s="5">
        <f ca="1">IFERROR(__xludf.DUMMYFUNCTION("""COMPUTED_VALUE"""),-885)</f>
        <v>-885</v>
      </c>
    </row>
    <row r="206" spans="1:40" x14ac:dyDescent="0.35">
      <c r="A206" s="1">
        <v>205</v>
      </c>
      <c r="B206" s="7">
        <v>44095</v>
      </c>
      <c r="C206">
        <v>31</v>
      </c>
      <c r="D206">
        <v>421</v>
      </c>
      <c r="E206">
        <v>928</v>
      </c>
      <c r="F206">
        <v>-70</v>
      </c>
      <c r="G206" s="5">
        <f ca="1">IFERROR(__xludf.DUMMYFUNCTION("""COMPUTED_VALUE"""),4176)</f>
        <v>4176</v>
      </c>
      <c r="H206" s="5">
        <f ca="1">IFERROR(__xludf.DUMMYFUNCTION("""COMPUTED_VALUE"""),1310)</f>
        <v>1310</v>
      </c>
      <c r="I206">
        <v>-40</v>
      </c>
      <c r="J206">
        <v>-22</v>
      </c>
      <c r="K206">
        <v>-66</v>
      </c>
      <c r="L206">
        <v>-52</v>
      </c>
      <c r="M206">
        <v>-37</v>
      </c>
      <c r="N206">
        <v>18</v>
      </c>
      <c r="O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14050</v>
      </c>
      <c r="AE206">
        <v>1265</v>
      </c>
      <c r="AF206">
        <v>12785</v>
      </c>
      <c r="AG206" s="2">
        <v>9.0035587190000002E-2</v>
      </c>
      <c r="AH206" t="s">
        <v>31</v>
      </c>
      <c r="AI206" s="4">
        <v>1592</v>
      </c>
      <c r="AJ206" s="4">
        <v>49630</v>
      </c>
      <c r="AK206" s="4">
        <v>9225</v>
      </c>
      <c r="AL206" s="4">
        <v>3749</v>
      </c>
      <c r="AM206" s="4">
        <v>64196</v>
      </c>
      <c r="AN206" s="5">
        <f ca="1">IFERROR(__xludf.DUMMYFUNCTION("""COMPUTED_VALUE"""),858)</f>
        <v>858</v>
      </c>
    </row>
    <row r="207" spans="1:40" x14ac:dyDescent="0.35">
      <c r="A207" s="1">
        <v>206</v>
      </c>
      <c r="B207" s="7">
        <v>44096</v>
      </c>
      <c r="C207">
        <v>32</v>
      </c>
      <c r="D207">
        <v>843</v>
      </c>
      <c r="E207">
        <v>155</v>
      </c>
      <c r="F207">
        <v>92</v>
      </c>
      <c r="G207" s="5">
        <f ca="1">IFERROR(__xludf.DUMMYFUNCTION("""COMPUTED_VALUE"""),4071)</f>
        <v>4071</v>
      </c>
      <c r="H207" s="5">
        <f ca="1">IFERROR(__xludf.DUMMYFUNCTION("""COMPUTED_VALUE"""),1122)</f>
        <v>1122</v>
      </c>
      <c r="I207">
        <v>-43</v>
      </c>
      <c r="J207">
        <v>-21</v>
      </c>
      <c r="K207">
        <v>-68</v>
      </c>
      <c r="L207">
        <v>-53</v>
      </c>
      <c r="M207">
        <v>-39</v>
      </c>
      <c r="N207">
        <v>19</v>
      </c>
      <c r="O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12368</v>
      </c>
      <c r="AE207">
        <v>1187</v>
      </c>
      <c r="AF207">
        <v>11181</v>
      </c>
      <c r="AG207" s="2">
        <v>9.5973479949999996E-2</v>
      </c>
      <c r="AH207" t="s">
        <v>31</v>
      </c>
      <c r="AI207" s="4">
        <v>1624</v>
      </c>
      <c r="AJ207" s="4">
        <v>50473</v>
      </c>
      <c r="AK207" s="4">
        <v>9380</v>
      </c>
      <c r="AL207" s="4">
        <v>3841</v>
      </c>
      <c r="AM207" s="4">
        <v>65318</v>
      </c>
      <c r="AN207" s="5">
        <f ca="1">IFERROR(__xludf.DUMMYFUNCTION("""COMPUTED_VALUE"""),247)</f>
        <v>247</v>
      </c>
    </row>
    <row r="208" spans="1:40" x14ac:dyDescent="0.35">
      <c r="A208" s="1">
        <v>207</v>
      </c>
      <c r="B208" s="7">
        <v>44097</v>
      </c>
      <c r="C208">
        <v>26</v>
      </c>
      <c r="D208">
        <v>1105</v>
      </c>
      <c r="E208">
        <v>231</v>
      </c>
      <c r="F208">
        <v>-175</v>
      </c>
      <c r="G208" s="5">
        <f ca="1">IFERROR(__xludf.DUMMYFUNCTION("""COMPUTED_VALUE"""),4465)</f>
        <v>4465</v>
      </c>
      <c r="H208" s="5">
        <f ca="1">IFERROR(__xludf.DUMMYFUNCTION("""COMPUTED_VALUE"""),1187)</f>
        <v>1187</v>
      </c>
      <c r="I208">
        <v>-43</v>
      </c>
      <c r="J208">
        <v>-19</v>
      </c>
      <c r="K208">
        <v>-65</v>
      </c>
      <c r="L208">
        <v>-51</v>
      </c>
      <c r="M208">
        <v>-37</v>
      </c>
      <c r="N208">
        <v>19</v>
      </c>
      <c r="O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12446</v>
      </c>
      <c r="AE208">
        <v>937</v>
      </c>
      <c r="AF208">
        <v>11509</v>
      </c>
      <c r="AG208" s="2">
        <v>7.5285232199999996E-2</v>
      </c>
      <c r="AH208" t="s">
        <v>31</v>
      </c>
      <c r="AI208" s="4">
        <v>1650</v>
      </c>
      <c r="AJ208" s="4">
        <v>51578</v>
      </c>
      <c r="AK208" s="4">
        <v>9611</v>
      </c>
      <c r="AL208" s="4">
        <v>3666</v>
      </c>
      <c r="AM208" s="4">
        <v>66505</v>
      </c>
      <c r="AN208" s="5">
        <f ca="1">IFERROR(__xludf.DUMMYFUNCTION("""COMPUTED_VALUE"""),56)</f>
        <v>56</v>
      </c>
    </row>
    <row r="209" spans="1:40" x14ac:dyDescent="0.35">
      <c r="A209" s="1">
        <v>208</v>
      </c>
      <c r="B209" s="7">
        <v>44098</v>
      </c>
      <c r="C209">
        <v>14</v>
      </c>
      <c r="D209">
        <v>1164</v>
      </c>
      <c r="E209">
        <v>103</v>
      </c>
      <c r="F209">
        <v>-148</v>
      </c>
      <c r="G209" s="5">
        <f ca="1">IFERROR(__xludf.DUMMYFUNCTION("""COMPUTED_VALUE"""),4634)</f>
        <v>4634</v>
      </c>
      <c r="H209" s="5">
        <f ca="1">IFERROR(__xludf.DUMMYFUNCTION("""COMPUTED_VALUE"""),1133)</f>
        <v>1133</v>
      </c>
      <c r="I209">
        <v>-44</v>
      </c>
      <c r="J209">
        <v>-19</v>
      </c>
      <c r="K209">
        <v>-64</v>
      </c>
      <c r="L209">
        <v>-52</v>
      </c>
      <c r="M209">
        <v>-37</v>
      </c>
      <c r="N209">
        <v>18</v>
      </c>
      <c r="O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14461</v>
      </c>
      <c r="AE209">
        <v>1199</v>
      </c>
      <c r="AF209">
        <v>13262</v>
      </c>
      <c r="AG209" s="2">
        <v>8.2912661639999996E-2</v>
      </c>
      <c r="AH209" t="s">
        <v>31</v>
      </c>
      <c r="AI209" s="4">
        <v>1664</v>
      </c>
      <c r="AJ209" s="4">
        <v>52742</v>
      </c>
      <c r="AK209" s="4">
        <v>9714</v>
      </c>
      <c r="AL209" s="4">
        <v>3518</v>
      </c>
      <c r="AM209" s="4">
        <v>67638</v>
      </c>
      <c r="AN209" s="5">
        <f ca="1">IFERROR(__xludf.DUMMYFUNCTION("""COMPUTED_VALUE"""),-45)</f>
        <v>-45</v>
      </c>
    </row>
    <row r="210" spans="1:40" x14ac:dyDescent="0.35">
      <c r="A210" s="1">
        <v>209</v>
      </c>
      <c r="B210" s="7">
        <v>44099</v>
      </c>
      <c r="C210">
        <v>13</v>
      </c>
      <c r="D210">
        <v>1610</v>
      </c>
      <c r="E210">
        <v>313</v>
      </c>
      <c r="F210">
        <v>-647</v>
      </c>
      <c r="G210" s="5">
        <f ca="1">IFERROR(__xludf.DUMMYFUNCTION("""COMPUTED_VALUE"""),4823)</f>
        <v>4823</v>
      </c>
      <c r="H210" s="5">
        <f ca="1">IFERROR(__xludf.DUMMYFUNCTION("""COMPUTED_VALUE"""),1289)</f>
        <v>1289</v>
      </c>
      <c r="I210">
        <v>-40</v>
      </c>
      <c r="J210">
        <v>-11</v>
      </c>
      <c r="K210">
        <v>-59</v>
      </c>
      <c r="L210">
        <v>-50</v>
      </c>
      <c r="M210">
        <v>-36</v>
      </c>
      <c r="N210">
        <v>19</v>
      </c>
      <c r="O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13100</v>
      </c>
      <c r="AE210">
        <v>1253</v>
      </c>
      <c r="AF210">
        <v>11847</v>
      </c>
      <c r="AG210" s="2">
        <v>9.5648854960000002E-2</v>
      </c>
      <c r="AH210" t="s">
        <v>31</v>
      </c>
      <c r="AI210" s="4">
        <v>1677</v>
      </c>
      <c r="AJ210" s="4">
        <v>54352</v>
      </c>
      <c r="AK210" s="4">
        <v>10027</v>
      </c>
      <c r="AL210" s="4">
        <v>2871</v>
      </c>
      <c r="AM210" s="4">
        <v>68927</v>
      </c>
      <c r="AN210" s="5">
        <f ca="1">IFERROR(__xludf.DUMMYFUNCTION("""COMPUTED_VALUE"""),-334)</f>
        <v>-334</v>
      </c>
    </row>
    <row r="211" spans="1:40" x14ac:dyDescent="0.35">
      <c r="A211" s="1">
        <v>210</v>
      </c>
      <c r="B211" s="7">
        <v>44100</v>
      </c>
      <c r="C211">
        <v>2</v>
      </c>
      <c r="D211">
        <v>998</v>
      </c>
      <c r="E211">
        <v>567</v>
      </c>
      <c r="F211">
        <v>-310</v>
      </c>
      <c r="G211" s="5">
        <f ca="1">IFERROR(__xludf.DUMMYFUNCTION("""COMPUTED_VALUE"""),4494)</f>
        <v>4494</v>
      </c>
      <c r="H211" s="5">
        <f ca="1">IFERROR(__xludf.DUMMYFUNCTION("""COMPUTED_VALUE"""),1257)</f>
        <v>1257</v>
      </c>
      <c r="I211">
        <v>-43</v>
      </c>
      <c r="J211">
        <v>-11</v>
      </c>
      <c r="K211">
        <v>-65</v>
      </c>
      <c r="L211">
        <v>-44</v>
      </c>
      <c r="M211">
        <v>-21</v>
      </c>
      <c r="N211">
        <v>13</v>
      </c>
      <c r="O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12736</v>
      </c>
      <c r="AE211">
        <v>1305</v>
      </c>
      <c r="AF211">
        <v>11431</v>
      </c>
      <c r="AG211" s="2">
        <v>0.1024654523</v>
      </c>
      <c r="AH211" t="s">
        <v>31</v>
      </c>
      <c r="AI211" s="4">
        <v>1679</v>
      </c>
      <c r="AJ211" s="4">
        <v>55350</v>
      </c>
      <c r="AK211" s="4">
        <v>10594</v>
      </c>
      <c r="AL211" s="4">
        <v>2561</v>
      </c>
      <c r="AM211" s="4">
        <v>70184</v>
      </c>
      <c r="AN211" s="5">
        <f ca="1">IFERROR(__xludf.DUMMYFUNCTION("""COMPUTED_VALUE"""),257)</f>
        <v>257</v>
      </c>
    </row>
    <row r="212" spans="1:40" x14ac:dyDescent="0.35">
      <c r="A212" s="1">
        <v>211</v>
      </c>
      <c r="B212" s="7">
        <v>44101</v>
      </c>
      <c r="C212">
        <v>13</v>
      </c>
      <c r="D212">
        <v>1063</v>
      </c>
      <c r="E212">
        <v>321</v>
      </c>
      <c r="F212">
        <v>-211</v>
      </c>
      <c r="G212" s="5">
        <f ca="1">IFERROR(__xludf.DUMMYFUNCTION("""COMPUTED_VALUE"""),3874)</f>
        <v>3874</v>
      </c>
      <c r="H212" s="5">
        <f ca="1">IFERROR(__xludf.DUMMYFUNCTION("""COMPUTED_VALUE"""),1186)</f>
        <v>1186</v>
      </c>
      <c r="I212">
        <v>-49</v>
      </c>
      <c r="J212">
        <v>-19</v>
      </c>
      <c r="K212">
        <v>-71</v>
      </c>
      <c r="L212">
        <v>-47</v>
      </c>
      <c r="M212">
        <v>-18</v>
      </c>
      <c r="N212">
        <v>13</v>
      </c>
      <c r="O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6127</v>
      </c>
      <c r="AE212">
        <v>807</v>
      </c>
      <c r="AF212">
        <v>5320</v>
      </c>
      <c r="AG212" s="2">
        <v>0.131712094</v>
      </c>
      <c r="AH212" t="s">
        <v>31</v>
      </c>
      <c r="AI212" s="4">
        <v>1692</v>
      </c>
      <c r="AJ212" s="4">
        <v>56413</v>
      </c>
      <c r="AK212" s="4">
        <v>10915</v>
      </c>
      <c r="AL212" s="4">
        <v>2350</v>
      </c>
      <c r="AM212" s="4">
        <v>71370</v>
      </c>
      <c r="AN212" s="5">
        <f ca="1">IFERROR(__xludf.DUMMYFUNCTION("""COMPUTED_VALUE"""),110)</f>
        <v>110</v>
      </c>
    </row>
    <row r="213" spans="1:40" x14ac:dyDescent="0.35">
      <c r="A213" s="1">
        <v>212</v>
      </c>
      <c r="B213" s="7">
        <v>44102</v>
      </c>
      <c r="C213">
        <v>12</v>
      </c>
      <c r="D213">
        <v>1328</v>
      </c>
      <c r="E213">
        <v>-441</v>
      </c>
      <c r="F213">
        <v>-92</v>
      </c>
      <c r="G213" s="5">
        <f ca="1">IFERROR(__xludf.DUMMYFUNCTION("""COMPUTED_VALUE"""),3509)</f>
        <v>3509</v>
      </c>
      <c r="H213" s="5">
        <f ca="1">IFERROR(__xludf.DUMMYFUNCTION("""COMPUTED_VALUE"""),807)</f>
        <v>807</v>
      </c>
      <c r="I213">
        <v>-40</v>
      </c>
      <c r="J213">
        <v>-13</v>
      </c>
      <c r="K213">
        <v>-64</v>
      </c>
      <c r="L213">
        <v>-50</v>
      </c>
      <c r="M213">
        <v>-36</v>
      </c>
      <c r="N213">
        <v>18</v>
      </c>
      <c r="O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10211</v>
      </c>
      <c r="AE213">
        <v>1204</v>
      </c>
      <c r="AF213">
        <v>9007</v>
      </c>
      <c r="AG213" s="2">
        <v>0.1179120556</v>
      </c>
      <c r="AH213" t="s">
        <v>31</v>
      </c>
      <c r="AI213" s="4">
        <v>1704</v>
      </c>
      <c r="AJ213" s="4">
        <v>57741</v>
      </c>
      <c r="AK213" s="4">
        <v>10474</v>
      </c>
      <c r="AL213" s="4">
        <v>2258</v>
      </c>
      <c r="AM213" s="4">
        <v>72177</v>
      </c>
      <c r="AN213" s="5">
        <f ca="1">IFERROR(__xludf.DUMMYFUNCTION("""COMPUTED_VALUE"""),-533)</f>
        <v>-533</v>
      </c>
    </row>
    <row r="214" spans="1:40" x14ac:dyDescent="0.35">
      <c r="A214" s="1">
        <v>213</v>
      </c>
      <c r="B214" s="7">
        <v>44103</v>
      </c>
      <c r="C214">
        <v>14</v>
      </c>
      <c r="D214">
        <v>1124</v>
      </c>
      <c r="E214">
        <v>185</v>
      </c>
      <c r="F214">
        <v>-191</v>
      </c>
      <c r="G214" s="5">
        <f ca="1">IFERROR(__xludf.DUMMYFUNCTION("""COMPUTED_VALUE"""),4002)</f>
        <v>4002</v>
      </c>
      <c r="H214" s="5">
        <f ca="1">IFERROR(__xludf.DUMMYFUNCTION("""COMPUTED_VALUE"""),1132)</f>
        <v>1132</v>
      </c>
      <c r="I214">
        <v>-42</v>
      </c>
      <c r="J214">
        <v>-14</v>
      </c>
      <c r="K214">
        <v>-63</v>
      </c>
      <c r="L214">
        <v>-49</v>
      </c>
      <c r="M214">
        <v>-37</v>
      </c>
      <c r="N214">
        <v>18</v>
      </c>
      <c r="O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13569</v>
      </c>
      <c r="AE214">
        <v>1253</v>
      </c>
      <c r="AF214">
        <v>12316</v>
      </c>
      <c r="AG214" s="2">
        <v>9.2342840300000006E-2</v>
      </c>
      <c r="AH214" t="s">
        <v>31</v>
      </c>
      <c r="AI214" s="4">
        <v>1718</v>
      </c>
      <c r="AJ214" s="4">
        <v>58865</v>
      </c>
      <c r="AK214" s="4">
        <v>10659</v>
      </c>
      <c r="AL214" s="4">
        <v>2067</v>
      </c>
      <c r="AM214" s="4">
        <v>73309</v>
      </c>
      <c r="AN214" s="5">
        <f ca="1">IFERROR(__xludf.DUMMYFUNCTION("""COMPUTED_VALUE"""),-6)</f>
        <v>-6</v>
      </c>
    </row>
    <row r="215" spans="1:40" x14ac:dyDescent="0.35">
      <c r="A215" s="1">
        <v>214</v>
      </c>
      <c r="B215" s="7">
        <v>44104</v>
      </c>
      <c r="C215">
        <v>13</v>
      </c>
      <c r="D215">
        <v>1455</v>
      </c>
      <c r="E215">
        <v>-306</v>
      </c>
      <c r="F215">
        <v>-103</v>
      </c>
      <c r="G215" s="5">
        <f ca="1">IFERROR(__xludf.DUMMYFUNCTION("""COMPUTED_VALUE"""),4284)</f>
        <v>4284</v>
      </c>
      <c r="H215" s="5">
        <f ca="1">IFERROR(__xludf.DUMMYFUNCTION("""COMPUTED_VALUE"""),1059)</f>
        <v>1059</v>
      </c>
      <c r="I215">
        <v>-39</v>
      </c>
      <c r="J215">
        <v>-8</v>
      </c>
      <c r="K215">
        <v>-61</v>
      </c>
      <c r="L215">
        <v>-47</v>
      </c>
      <c r="M215">
        <v>-36</v>
      </c>
      <c r="N215">
        <v>16</v>
      </c>
      <c r="O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11914</v>
      </c>
      <c r="AE215">
        <v>1141</v>
      </c>
      <c r="AF215">
        <v>10773</v>
      </c>
      <c r="AG215" s="2">
        <v>9.576968273E-2</v>
      </c>
      <c r="AH215" t="s">
        <v>31</v>
      </c>
      <c r="AI215" s="4">
        <v>1731</v>
      </c>
      <c r="AJ215" s="4">
        <v>60320</v>
      </c>
      <c r="AK215" s="4">
        <v>10353</v>
      </c>
      <c r="AL215" s="4">
        <v>1964</v>
      </c>
      <c r="AM215" s="4">
        <v>74368</v>
      </c>
      <c r="AN215" s="5">
        <f ca="1">IFERROR(__xludf.DUMMYFUNCTION("""COMPUTED_VALUE"""),-409)</f>
        <v>-409</v>
      </c>
    </row>
    <row r="216" spans="1:40" x14ac:dyDescent="0.35">
      <c r="A216" s="1">
        <v>215</v>
      </c>
      <c r="B216" s="7">
        <v>44105</v>
      </c>
      <c r="C216">
        <v>6</v>
      </c>
      <c r="D216">
        <v>1124</v>
      </c>
      <c r="E216">
        <v>192</v>
      </c>
      <c r="F216">
        <v>-169</v>
      </c>
      <c r="G216" s="5">
        <f ca="1">IFERROR(__xludf.DUMMYFUNCTION("""COMPUTED_VALUE"""),4174)</f>
        <v>4174</v>
      </c>
      <c r="H216" s="5">
        <f ca="1">IFERROR(__xludf.DUMMYFUNCTION("""COMPUTED_VALUE"""),1153)</f>
        <v>1153</v>
      </c>
      <c r="I216">
        <v>-40</v>
      </c>
      <c r="J216">
        <v>-6</v>
      </c>
      <c r="K216">
        <v>-58</v>
      </c>
      <c r="L216">
        <v>-47</v>
      </c>
      <c r="M216">
        <v>-36</v>
      </c>
      <c r="N216">
        <v>15</v>
      </c>
      <c r="O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10648</v>
      </c>
      <c r="AE216">
        <v>1103</v>
      </c>
      <c r="AF216">
        <v>9545</v>
      </c>
      <c r="AG216" s="2">
        <v>0.1035875282</v>
      </c>
      <c r="AH216" t="s">
        <v>31</v>
      </c>
      <c r="AI216" s="4">
        <v>1737</v>
      </c>
      <c r="AJ216" s="4">
        <v>61444</v>
      </c>
      <c r="AK216" s="4">
        <v>10545</v>
      </c>
      <c r="AL216" s="4">
        <v>1795</v>
      </c>
      <c r="AM216" s="4">
        <v>75521</v>
      </c>
      <c r="AN216" s="5">
        <f ca="1">IFERROR(__xludf.DUMMYFUNCTION("""COMPUTED_VALUE"""),23)</f>
        <v>23</v>
      </c>
    </row>
    <row r="217" spans="1:40" x14ac:dyDescent="0.35">
      <c r="A217" s="1">
        <v>216</v>
      </c>
      <c r="B217" s="7">
        <v>44106</v>
      </c>
      <c r="C217">
        <v>3</v>
      </c>
      <c r="D217">
        <v>835</v>
      </c>
      <c r="E217">
        <v>-49</v>
      </c>
      <c r="F217">
        <v>309</v>
      </c>
      <c r="G217" s="5">
        <f ca="1">IFERROR(__xludf.DUMMYFUNCTION("""COMPUTED_VALUE"""),4317)</f>
        <v>4317</v>
      </c>
      <c r="H217" s="5">
        <f ca="1">IFERROR(__xludf.DUMMYFUNCTION("""COMPUTED_VALUE"""),1098)</f>
        <v>1098</v>
      </c>
      <c r="I217">
        <v>-38</v>
      </c>
      <c r="J217">
        <v>-7</v>
      </c>
      <c r="K217">
        <v>-53</v>
      </c>
      <c r="L217">
        <v>-46</v>
      </c>
      <c r="M217">
        <v>-35</v>
      </c>
      <c r="N217">
        <v>16</v>
      </c>
      <c r="O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11800</v>
      </c>
      <c r="AE217">
        <v>1110</v>
      </c>
      <c r="AF217">
        <v>10690</v>
      </c>
      <c r="AG217" s="2">
        <v>9.4067796610000004E-2</v>
      </c>
      <c r="AH217" t="s">
        <v>31</v>
      </c>
      <c r="AI217" s="4">
        <v>1740</v>
      </c>
      <c r="AJ217" s="4">
        <v>62279</v>
      </c>
      <c r="AK217" s="4">
        <v>10496</v>
      </c>
      <c r="AL217" s="4">
        <v>2104</v>
      </c>
      <c r="AM217" s="4">
        <v>76619</v>
      </c>
      <c r="AN217" s="5">
        <f ca="1">IFERROR(__xludf.DUMMYFUNCTION("""COMPUTED_VALUE"""),260)</f>
        <v>260</v>
      </c>
    </row>
    <row r="218" spans="1:40" x14ac:dyDescent="0.35">
      <c r="A218" s="1">
        <v>217</v>
      </c>
      <c r="B218" s="7">
        <v>44107</v>
      </c>
      <c r="C218">
        <v>3</v>
      </c>
      <c r="D218">
        <v>1007</v>
      </c>
      <c r="E218">
        <v>156</v>
      </c>
      <c r="F218">
        <v>-1</v>
      </c>
      <c r="G218" s="5">
        <f ca="1">IFERROR(__xludf.DUMMYFUNCTION("""COMPUTED_VALUE"""),4007)</f>
        <v>4007</v>
      </c>
      <c r="H218" s="5">
        <f ca="1">IFERROR(__xludf.DUMMYFUNCTION("""COMPUTED_VALUE"""),1165)</f>
        <v>1165</v>
      </c>
      <c r="I218">
        <v>-41</v>
      </c>
      <c r="J218">
        <v>-7</v>
      </c>
      <c r="K218">
        <v>-60</v>
      </c>
      <c r="L218">
        <v>-40</v>
      </c>
      <c r="M218">
        <v>-23</v>
      </c>
      <c r="N218">
        <v>11</v>
      </c>
      <c r="O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11265</v>
      </c>
      <c r="AE218">
        <v>1141</v>
      </c>
      <c r="AF218">
        <v>10124</v>
      </c>
      <c r="AG218" s="2">
        <v>0.1012871727</v>
      </c>
      <c r="AH218" t="s">
        <v>31</v>
      </c>
      <c r="AI218" s="4">
        <v>1743</v>
      </c>
      <c r="AJ218" s="4">
        <v>63286</v>
      </c>
      <c r="AK218" s="4">
        <v>10652</v>
      </c>
      <c r="AL218" s="4">
        <v>2103</v>
      </c>
      <c r="AM218" s="4">
        <v>77784</v>
      </c>
      <c r="AN218" s="5">
        <f ca="1">IFERROR(__xludf.DUMMYFUNCTION("""COMPUTED_VALUE"""),155)</f>
        <v>155</v>
      </c>
    </row>
    <row r="219" spans="1:40" x14ac:dyDescent="0.35">
      <c r="A219" s="1">
        <v>218</v>
      </c>
      <c r="B219" s="7">
        <v>44108</v>
      </c>
      <c r="C219">
        <v>18</v>
      </c>
      <c r="D219">
        <v>1033</v>
      </c>
      <c r="E219">
        <v>439</v>
      </c>
      <c r="F219">
        <v>-60</v>
      </c>
      <c r="G219" s="5">
        <f ca="1">IFERROR(__xludf.DUMMYFUNCTION("""COMPUTED_VALUE"""),3992)</f>
        <v>3992</v>
      </c>
      <c r="H219" s="5">
        <f ca="1">IFERROR(__xludf.DUMMYFUNCTION("""COMPUTED_VALUE"""),1430)</f>
        <v>1430</v>
      </c>
      <c r="I219">
        <v>-45</v>
      </c>
      <c r="J219">
        <v>-14</v>
      </c>
      <c r="K219">
        <v>-66</v>
      </c>
      <c r="L219">
        <v>-41</v>
      </c>
      <c r="M219">
        <v>-19</v>
      </c>
      <c r="N219">
        <v>10</v>
      </c>
      <c r="O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5066</v>
      </c>
      <c r="AE219">
        <v>696</v>
      </c>
      <c r="AF219">
        <v>4370</v>
      </c>
      <c r="AG219" s="2">
        <v>0.13738649820000001</v>
      </c>
      <c r="AH219" t="s">
        <v>31</v>
      </c>
      <c r="AI219" s="4">
        <v>1761</v>
      </c>
      <c r="AJ219" s="4">
        <v>64319</v>
      </c>
      <c r="AK219" s="4">
        <v>11091</v>
      </c>
      <c r="AL219" s="4">
        <v>2043</v>
      </c>
      <c r="AM219" s="4">
        <v>79214</v>
      </c>
      <c r="AN219" s="5">
        <f ca="1">IFERROR(__xludf.DUMMYFUNCTION("""COMPUTED_VALUE"""),379)</f>
        <v>379</v>
      </c>
    </row>
    <row r="220" spans="1:40" x14ac:dyDescent="0.35">
      <c r="A220" s="1">
        <v>219</v>
      </c>
      <c r="B220" s="7">
        <v>44109</v>
      </c>
      <c r="C220">
        <v>11</v>
      </c>
      <c r="D220">
        <v>976</v>
      </c>
      <c r="E220">
        <v>-179</v>
      </c>
      <c r="F220">
        <v>14</v>
      </c>
      <c r="G220" s="5">
        <f ca="1">IFERROR(__xludf.DUMMYFUNCTION("""COMPUTED_VALUE"""),3622)</f>
        <v>3622</v>
      </c>
      <c r="H220" s="5">
        <f ca="1">IFERROR(__xludf.DUMMYFUNCTION("""COMPUTED_VALUE"""),822)</f>
        <v>822</v>
      </c>
      <c r="I220">
        <v>-38</v>
      </c>
      <c r="J220">
        <v>-8</v>
      </c>
      <c r="K220">
        <v>-58</v>
      </c>
      <c r="L220">
        <v>-46</v>
      </c>
      <c r="M220">
        <v>-36</v>
      </c>
      <c r="N220">
        <v>14</v>
      </c>
      <c r="O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10756</v>
      </c>
      <c r="AE220">
        <v>1082</v>
      </c>
      <c r="AF220">
        <v>9674</v>
      </c>
      <c r="AG220" s="2">
        <v>0.1005950167</v>
      </c>
      <c r="AH220" t="s">
        <v>31</v>
      </c>
      <c r="AI220" s="4">
        <v>1772</v>
      </c>
      <c r="AJ220" s="4">
        <v>65295</v>
      </c>
      <c r="AK220" s="4">
        <v>10912</v>
      </c>
      <c r="AL220" s="4">
        <v>2057</v>
      </c>
      <c r="AM220" s="4">
        <v>80036</v>
      </c>
      <c r="AN220" s="5">
        <f ca="1">IFERROR(__xludf.DUMMYFUNCTION("""COMPUTED_VALUE"""),-165)</f>
        <v>-165</v>
      </c>
    </row>
    <row r="221" spans="1:40" x14ac:dyDescent="0.35">
      <c r="A221" s="1">
        <v>220</v>
      </c>
      <c r="B221" s="7">
        <v>44110</v>
      </c>
      <c r="C221">
        <v>34</v>
      </c>
      <c r="D221">
        <v>1020</v>
      </c>
      <c r="E221">
        <v>-125</v>
      </c>
      <c r="F221">
        <v>78</v>
      </c>
      <c r="G221" s="5">
        <f ca="1">IFERROR(__xludf.DUMMYFUNCTION("""COMPUTED_VALUE"""),4056)</f>
        <v>4056</v>
      </c>
      <c r="H221" s="5">
        <f ca="1">IFERROR(__xludf.DUMMYFUNCTION("""COMPUTED_VALUE"""),1007)</f>
        <v>1007</v>
      </c>
      <c r="I221">
        <v>-40</v>
      </c>
      <c r="J221">
        <v>-13</v>
      </c>
      <c r="K221">
        <v>-61</v>
      </c>
      <c r="L221">
        <v>-47</v>
      </c>
      <c r="M221">
        <v>-37</v>
      </c>
      <c r="N221">
        <v>15</v>
      </c>
      <c r="O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11702</v>
      </c>
      <c r="AE221">
        <v>1091</v>
      </c>
      <c r="AF221">
        <v>10611</v>
      </c>
      <c r="AG221" s="2">
        <v>9.3231926170000007E-2</v>
      </c>
      <c r="AH221" t="s">
        <v>31</v>
      </c>
      <c r="AI221" s="4">
        <v>1806</v>
      </c>
      <c r="AJ221" s="4">
        <v>66315</v>
      </c>
      <c r="AK221" s="4">
        <v>10787</v>
      </c>
      <c r="AL221" s="4">
        <v>2135</v>
      </c>
      <c r="AM221" s="4">
        <v>81043</v>
      </c>
      <c r="AN221" s="5">
        <f ca="1">IFERROR(__xludf.DUMMYFUNCTION("""COMPUTED_VALUE"""),-47)</f>
        <v>-47</v>
      </c>
    </row>
    <row r="222" spans="1:40" x14ac:dyDescent="0.35">
      <c r="A222" s="1">
        <v>221</v>
      </c>
      <c r="B222" s="7">
        <v>44111</v>
      </c>
      <c r="C222">
        <v>13</v>
      </c>
      <c r="D222">
        <v>995</v>
      </c>
      <c r="E222">
        <v>20</v>
      </c>
      <c r="F222">
        <v>312</v>
      </c>
      <c r="G222" s="5">
        <f ca="1">IFERROR(__xludf.DUMMYFUNCTION("""COMPUTED_VALUE"""),4538)</f>
        <v>4538</v>
      </c>
      <c r="H222" s="5">
        <f ca="1">IFERROR(__xludf.DUMMYFUNCTION("""COMPUTED_VALUE"""),1340)</f>
        <v>1340</v>
      </c>
      <c r="I222">
        <v>-40</v>
      </c>
      <c r="J222">
        <v>-14</v>
      </c>
      <c r="K222">
        <v>-61</v>
      </c>
      <c r="L222">
        <v>-48</v>
      </c>
      <c r="M222">
        <v>-36</v>
      </c>
      <c r="N222">
        <v>15</v>
      </c>
      <c r="O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12335</v>
      </c>
      <c r="AE222">
        <v>1140</v>
      </c>
      <c r="AF222">
        <v>11195</v>
      </c>
      <c r="AG222" s="2">
        <v>9.2419943249999997E-2</v>
      </c>
      <c r="AH222" t="s">
        <v>31</v>
      </c>
      <c r="AI222" s="4">
        <v>1819</v>
      </c>
      <c r="AJ222" s="4">
        <v>67310</v>
      </c>
      <c r="AK222" s="4">
        <v>10807</v>
      </c>
      <c r="AL222" s="4">
        <v>2447</v>
      </c>
      <c r="AM222" s="4">
        <v>82383</v>
      </c>
      <c r="AN222" s="5">
        <f ca="1">IFERROR(__xludf.DUMMYFUNCTION("""COMPUTED_VALUE"""),332)</f>
        <v>332</v>
      </c>
    </row>
    <row r="223" spans="1:40" x14ac:dyDescent="0.35">
      <c r="A223" s="1">
        <v>222</v>
      </c>
      <c r="B223" s="7">
        <v>44112</v>
      </c>
      <c r="C223">
        <v>19</v>
      </c>
      <c r="D223">
        <v>1042</v>
      </c>
      <c r="E223">
        <v>-90</v>
      </c>
      <c r="F223">
        <v>38</v>
      </c>
      <c r="G223" s="5">
        <f ca="1">IFERROR(__xludf.DUMMYFUNCTION("""COMPUTED_VALUE"""),4850)</f>
        <v>4850</v>
      </c>
      <c r="H223" s="5">
        <f ca="1">IFERROR(__xludf.DUMMYFUNCTION("""COMPUTED_VALUE"""),1009)</f>
        <v>1009</v>
      </c>
      <c r="I223">
        <v>-41</v>
      </c>
      <c r="J223">
        <v>-16</v>
      </c>
      <c r="K223">
        <v>-40</v>
      </c>
      <c r="L223">
        <v>-41</v>
      </c>
      <c r="M223">
        <v>-37</v>
      </c>
      <c r="N223">
        <v>17</v>
      </c>
      <c r="O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12432</v>
      </c>
      <c r="AE223">
        <v>1173</v>
      </c>
      <c r="AF223">
        <v>11259</v>
      </c>
      <c r="AG223" s="2">
        <v>9.4353281849999998E-2</v>
      </c>
      <c r="AH223" t="s">
        <v>31</v>
      </c>
      <c r="AI223" s="4">
        <v>1838</v>
      </c>
      <c r="AJ223" s="4">
        <v>68352</v>
      </c>
      <c r="AK223" s="4">
        <v>10717</v>
      </c>
      <c r="AL223" s="4">
        <v>2485</v>
      </c>
      <c r="AM223" s="4">
        <v>83392</v>
      </c>
      <c r="AN223" s="5">
        <f ca="1">IFERROR(__xludf.DUMMYFUNCTION("""COMPUTED_VALUE"""),-52)</f>
        <v>-52</v>
      </c>
    </row>
    <row r="224" spans="1:40" x14ac:dyDescent="0.35">
      <c r="A224" s="1">
        <v>223</v>
      </c>
      <c r="B224" s="7">
        <v>44113</v>
      </c>
      <c r="C224">
        <v>22</v>
      </c>
      <c r="D224">
        <v>851</v>
      </c>
      <c r="E224">
        <v>29</v>
      </c>
      <c r="F224">
        <v>70</v>
      </c>
      <c r="G224" s="5">
        <f ca="1">IFERROR(__xludf.DUMMYFUNCTION("""COMPUTED_VALUE"""),4094)</f>
        <v>4094</v>
      </c>
      <c r="H224" s="5">
        <f ca="1">IFERROR(__xludf.DUMMYFUNCTION("""COMPUTED_VALUE"""),972)</f>
        <v>972</v>
      </c>
      <c r="I224">
        <v>-40</v>
      </c>
      <c r="J224">
        <v>-15</v>
      </c>
      <c r="K224">
        <v>-57</v>
      </c>
      <c r="L224">
        <v>-50</v>
      </c>
      <c r="M224">
        <v>-36</v>
      </c>
      <c r="N224">
        <v>19</v>
      </c>
      <c r="O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12421</v>
      </c>
      <c r="AE224">
        <v>1103</v>
      </c>
      <c r="AF224">
        <v>11318</v>
      </c>
      <c r="AG224" s="2">
        <v>8.8801223730000003E-2</v>
      </c>
      <c r="AH224" t="s">
        <v>31</v>
      </c>
      <c r="AI224" s="4">
        <v>1860</v>
      </c>
      <c r="AJ224" s="4">
        <v>69203</v>
      </c>
      <c r="AK224" s="4">
        <v>10746</v>
      </c>
      <c r="AL224" s="4">
        <v>2555</v>
      </c>
      <c r="AM224" s="4">
        <v>84364</v>
      </c>
      <c r="AN224" s="5">
        <f ca="1">IFERROR(__xludf.DUMMYFUNCTION("""COMPUTED_VALUE"""),99)</f>
        <v>99</v>
      </c>
    </row>
    <row r="225" spans="1:40" x14ac:dyDescent="0.35">
      <c r="A225" s="1">
        <v>224</v>
      </c>
      <c r="B225" s="7">
        <v>44114</v>
      </c>
      <c r="C225">
        <v>17</v>
      </c>
      <c r="D225">
        <v>1284</v>
      </c>
      <c r="E225">
        <v>-48</v>
      </c>
      <c r="F225">
        <v>0</v>
      </c>
      <c r="G225" s="5">
        <f ca="1">IFERROR(__xludf.DUMMYFUNCTION("""COMPUTED_VALUE"""),4294)</f>
        <v>4294</v>
      </c>
      <c r="H225" s="5">
        <f ca="1">IFERROR(__xludf.DUMMYFUNCTION("""COMPUTED_VALUE"""),1253)</f>
        <v>1253</v>
      </c>
      <c r="I225">
        <v>-44</v>
      </c>
      <c r="J225">
        <v>-17</v>
      </c>
      <c r="K225">
        <v>-63</v>
      </c>
      <c r="L225">
        <v>-43</v>
      </c>
      <c r="M225">
        <v>-21</v>
      </c>
      <c r="N225">
        <v>12</v>
      </c>
      <c r="O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10074</v>
      </c>
      <c r="AE225">
        <v>1117</v>
      </c>
      <c r="AF225">
        <v>8957</v>
      </c>
      <c r="AG225" s="2">
        <v>0.11087949179999999</v>
      </c>
      <c r="AH225" t="s">
        <v>31</v>
      </c>
      <c r="AI225" s="4">
        <v>1877</v>
      </c>
      <c r="AJ225" s="4">
        <v>70487</v>
      </c>
      <c r="AK225" s="4">
        <v>10698</v>
      </c>
      <c r="AL225" s="4">
        <v>2555</v>
      </c>
      <c r="AM225" s="4">
        <v>85617</v>
      </c>
      <c r="AN225" s="5">
        <f ca="1">IFERROR(__xludf.DUMMYFUNCTION("""COMPUTED_VALUE"""),-48)</f>
        <v>-48</v>
      </c>
    </row>
    <row r="226" spans="1:40" x14ac:dyDescent="0.35">
      <c r="A226" s="1">
        <v>225</v>
      </c>
      <c r="B226" s="7">
        <v>44115</v>
      </c>
      <c r="C226">
        <v>24</v>
      </c>
      <c r="D226">
        <v>1062</v>
      </c>
      <c r="E226">
        <v>165</v>
      </c>
      <c r="F226">
        <v>138</v>
      </c>
      <c r="G226" s="5">
        <f ca="1">IFERROR(__xludf.DUMMYFUNCTION("""COMPUTED_VALUE"""),4497)</f>
        <v>4497</v>
      </c>
      <c r="H226" s="5">
        <f ca="1">IFERROR(__xludf.DUMMYFUNCTION("""COMPUTED_VALUE"""),1389)</f>
        <v>1389</v>
      </c>
      <c r="I226">
        <v>-45</v>
      </c>
      <c r="J226">
        <v>-16</v>
      </c>
      <c r="K226">
        <v>-66</v>
      </c>
      <c r="L226">
        <v>-43</v>
      </c>
      <c r="M226">
        <v>-15</v>
      </c>
      <c r="N226">
        <v>11</v>
      </c>
      <c r="O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7834</v>
      </c>
      <c r="AE226">
        <v>893</v>
      </c>
      <c r="AF226">
        <v>6941</v>
      </c>
      <c r="AG226" s="2">
        <v>0.11399029870000001</v>
      </c>
      <c r="AH226" t="s">
        <v>31</v>
      </c>
      <c r="AI226" s="4">
        <v>1901</v>
      </c>
      <c r="AJ226" s="4">
        <v>71549</v>
      </c>
      <c r="AK226" s="4">
        <v>10863</v>
      </c>
      <c r="AL226" s="4">
        <v>2693</v>
      </c>
      <c r="AM226" s="4">
        <v>87006</v>
      </c>
      <c r="AN226" s="5">
        <f ca="1">IFERROR(__xludf.DUMMYFUNCTION("""COMPUTED_VALUE"""),303)</f>
        <v>303</v>
      </c>
    </row>
    <row r="227" spans="1:40" x14ac:dyDescent="0.35">
      <c r="A227" s="1">
        <v>226</v>
      </c>
      <c r="B227" s="7">
        <v>44116</v>
      </c>
      <c r="C227">
        <v>21</v>
      </c>
      <c r="D227">
        <v>1084</v>
      </c>
      <c r="E227">
        <v>-49</v>
      </c>
      <c r="F227">
        <v>112</v>
      </c>
      <c r="G227" s="5">
        <f ca="1">IFERROR(__xludf.DUMMYFUNCTION("""COMPUTED_VALUE"""),3267)</f>
        <v>3267</v>
      </c>
      <c r="H227" s="5">
        <f ca="1">IFERROR(__xludf.DUMMYFUNCTION("""COMPUTED_VALUE"""),1168)</f>
        <v>1168</v>
      </c>
      <c r="I227">
        <v>-36</v>
      </c>
      <c r="J227">
        <v>-14</v>
      </c>
      <c r="K227">
        <v>-56</v>
      </c>
      <c r="L227">
        <v>-46</v>
      </c>
      <c r="M227">
        <v>-33</v>
      </c>
      <c r="N227">
        <v>16</v>
      </c>
      <c r="O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14336</v>
      </c>
      <c r="AE227">
        <v>1612</v>
      </c>
      <c r="AF227">
        <v>12724</v>
      </c>
      <c r="AG227" s="2">
        <v>0.1124441964</v>
      </c>
      <c r="AH227" t="s">
        <v>31</v>
      </c>
      <c r="AI227" s="4">
        <v>1922</v>
      </c>
      <c r="AJ227" s="4">
        <v>72633</v>
      </c>
      <c r="AK227" s="4">
        <v>10814</v>
      </c>
      <c r="AL227" s="4">
        <v>2805</v>
      </c>
      <c r="AM227" s="4">
        <v>88174</v>
      </c>
      <c r="AN227" s="5">
        <f ca="1">IFERROR(__xludf.DUMMYFUNCTION("""COMPUTED_VALUE"""),63)</f>
        <v>63</v>
      </c>
    </row>
    <row r="228" spans="1:40" x14ac:dyDescent="0.35">
      <c r="A228" s="1">
        <v>227</v>
      </c>
      <c r="B228" s="7">
        <v>44117</v>
      </c>
      <c r="C228">
        <v>22</v>
      </c>
      <c r="D228">
        <v>1100</v>
      </c>
      <c r="E228">
        <v>94</v>
      </c>
      <c r="F228">
        <v>-162</v>
      </c>
      <c r="G228" s="5">
        <f ca="1">IFERROR(__xludf.DUMMYFUNCTION("""COMPUTED_VALUE"""),3906)</f>
        <v>3906</v>
      </c>
      <c r="H228" s="5">
        <f ca="1">IFERROR(__xludf.DUMMYFUNCTION("""COMPUTED_VALUE"""),1054)</f>
        <v>1054</v>
      </c>
      <c r="I228">
        <v>-41</v>
      </c>
      <c r="J228">
        <v>-18</v>
      </c>
      <c r="K228">
        <v>-55</v>
      </c>
      <c r="L228">
        <v>-48</v>
      </c>
      <c r="M228">
        <v>-37</v>
      </c>
      <c r="N228">
        <v>18</v>
      </c>
      <c r="O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12339</v>
      </c>
      <c r="AE228">
        <v>1270</v>
      </c>
      <c r="AF228">
        <v>11069</v>
      </c>
      <c r="AG228" s="2">
        <v>0.1029256828</v>
      </c>
      <c r="AH228" t="s">
        <v>31</v>
      </c>
      <c r="AI228" s="4">
        <v>1944</v>
      </c>
      <c r="AJ228" s="4">
        <v>73733</v>
      </c>
      <c r="AK228" s="4">
        <v>10908</v>
      </c>
      <c r="AL228" s="4">
        <v>2643</v>
      </c>
      <c r="AM228" s="4">
        <v>89228</v>
      </c>
      <c r="AN228" s="5">
        <f ca="1">IFERROR(__xludf.DUMMYFUNCTION("""COMPUTED_VALUE"""),-68)</f>
        <v>-68</v>
      </c>
    </row>
    <row r="229" spans="1:40" x14ac:dyDescent="0.35">
      <c r="A229" s="1">
        <v>228</v>
      </c>
      <c r="B229" s="7">
        <v>44118</v>
      </c>
      <c r="C229">
        <v>17</v>
      </c>
      <c r="D229">
        <v>1191</v>
      </c>
      <c r="E229">
        <v>-86</v>
      </c>
      <c r="F229">
        <v>-84</v>
      </c>
      <c r="G229" s="5">
        <f ca="1">IFERROR(__xludf.DUMMYFUNCTION("""COMPUTED_VALUE"""),4127)</f>
        <v>4127</v>
      </c>
      <c r="H229" s="5">
        <f ca="1">IFERROR(__xludf.DUMMYFUNCTION("""COMPUTED_VALUE"""),1038)</f>
        <v>1038</v>
      </c>
      <c r="I229">
        <v>-36</v>
      </c>
      <c r="J229">
        <v>-16</v>
      </c>
      <c r="K229">
        <v>-58</v>
      </c>
      <c r="L229">
        <v>-46</v>
      </c>
      <c r="M229">
        <v>-33</v>
      </c>
      <c r="N229">
        <v>16</v>
      </c>
      <c r="O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13165</v>
      </c>
      <c r="AE229">
        <v>1324</v>
      </c>
      <c r="AF229">
        <v>11841</v>
      </c>
      <c r="AG229" s="2">
        <v>0.10056969239999999</v>
      </c>
      <c r="AH229" t="s">
        <v>31</v>
      </c>
      <c r="AI229" s="4">
        <v>1961</v>
      </c>
      <c r="AJ229" s="4">
        <v>74924</v>
      </c>
      <c r="AK229" s="4">
        <v>10822</v>
      </c>
      <c r="AL229" s="4">
        <v>2559</v>
      </c>
      <c r="AM229" s="4">
        <v>90266</v>
      </c>
      <c r="AN229" s="5">
        <f ca="1">IFERROR(__xludf.DUMMYFUNCTION("""COMPUTED_VALUE"""),-170)</f>
        <v>-170</v>
      </c>
    </row>
    <row r="230" spans="1:40" x14ac:dyDescent="0.35">
      <c r="A230" s="1">
        <v>229</v>
      </c>
      <c r="B230" s="7">
        <v>44119</v>
      </c>
      <c r="C230">
        <v>23</v>
      </c>
      <c r="D230">
        <v>1050</v>
      </c>
      <c r="E230">
        <v>-186</v>
      </c>
      <c r="F230">
        <v>184</v>
      </c>
      <c r="G230" s="5">
        <f ca="1">IFERROR(__xludf.DUMMYFUNCTION("""COMPUTED_VALUE"""),4411)</f>
        <v>4411</v>
      </c>
      <c r="H230" s="5">
        <f ca="1">IFERROR(__xludf.DUMMYFUNCTION("""COMPUTED_VALUE"""),1071)</f>
        <v>1071</v>
      </c>
      <c r="I230">
        <v>-35</v>
      </c>
      <c r="J230">
        <v>-13</v>
      </c>
      <c r="K230">
        <v>-56</v>
      </c>
      <c r="L230">
        <v>-44</v>
      </c>
      <c r="M230">
        <v>-33</v>
      </c>
      <c r="N230">
        <v>16</v>
      </c>
      <c r="O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12158</v>
      </c>
      <c r="AE230">
        <v>1101</v>
      </c>
      <c r="AF230">
        <v>11057</v>
      </c>
      <c r="AG230" s="2">
        <v>9.055765751E-2</v>
      </c>
      <c r="AH230" t="s">
        <v>31</v>
      </c>
      <c r="AI230" s="4">
        <v>1984</v>
      </c>
      <c r="AJ230" s="4">
        <v>75974</v>
      </c>
      <c r="AK230" s="4">
        <v>10636</v>
      </c>
      <c r="AL230" s="4">
        <v>2743</v>
      </c>
      <c r="AM230" s="4">
        <v>91337</v>
      </c>
      <c r="AN230" s="5">
        <f ca="1">IFERROR(__xludf.DUMMYFUNCTION("""COMPUTED_VALUE"""),-2)</f>
        <v>-2</v>
      </c>
    </row>
    <row r="231" spans="1:40" x14ac:dyDescent="0.35">
      <c r="A231" s="1">
        <v>230</v>
      </c>
      <c r="B231" s="7">
        <v>44120</v>
      </c>
      <c r="C231">
        <v>24</v>
      </c>
      <c r="D231">
        <v>982</v>
      </c>
      <c r="E231">
        <v>-138</v>
      </c>
      <c r="F231">
        <v>177</v>
      </c>
      <c r="G231" s="5">
        <f ca="1">IFERROR(__xludf.DUMMYFUNCTION("""COMPUTED_VALUE"""),4301)</f>
        <v>4301</v>
      </c>
      <c r="H231" s="5">
        <f ca="1">IFERROR(__xludf.DUMMYFUNCTION("""COMPUTED_VALUE"""),1045)</f>
        <v>1045</v>
      </c>
      <c r="I231">
        <v>-38</v>
      </c>
      <c r="J231">
        <v>-19</v>
      </c>
      <c r="K231">
        <v>-55</v>
      </c>
      <c r="L231">
        <v>-45</v>
      </c>
      <c r="M231">
        <v>-33</v>
      </c>
      <c r="N231">
        <v>18</v>
      </c>
      <c r="O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9877</v>
      </c>
      <c r="AE231">
        <v>951</v>
      </c>
      <c r="AF231">
        <v>8926</v>
      </c>
      <c r="AG231" s="2">
        <v>9.6284296850000006E-2</v>
      </c>
      <c r="AH231" t="s">
        <v>31</v>
      </c>
      <c r="AI231" s="4">
        <v>2008</v>
      </c>
      <c r="AJ231" s="4">
        <v>76956</v>
      </c>
      <c r="AK231" s="4">
        <v>10498</v>
      </c>
      <c r="AL231" s="4">
        <v>2920</v>
      </c>
      <c r="AM231" s="4">
        <v>92382</v>
      </c>
      <c r="AN231" s="5">
        <f ca="1">IFERROR(__xludf.DUMMYFUNCTION("""COMPUTED_VALUE"""),39)</f>
        <v>39</v>
      </c>
    </row>
    <row r="232" spans="1:40" x14ac:dyDescent="0.35">
      <c r="A232" s="1">
        <v>231</v>
      </c>
      <c r="B232" s="7">
        <v>44121</v>
      </c>
      <c r="C232">
        <v>24</v>
      </c>
      <c r="D232">
        <v>1106</v>
      </c>
      <c r="E232">
        <v>93</v>
      </c>
      <c r="F232">
        <v>-249</v>
      </c>
      <c r="G232" s="5">
        <f ca="1">IFERROR(__xludf.DUMMYFUNCTION("""COMPUTED_VALUE"""),4301)</f>
        <v>4301</v>
      </c>
      <c r="H232" s="5">
        <f ca="1">IFERROR(__xludf.DUMMYFUNCTION("""COMPUTED_VALUE"""),974)</f>
        <v>974</v>
      </c>
      <c r="I232">
        <v>-34</v>
      </c>
      <c r="J232">
        <v>-7</v>
      </c>
      <c r="K232">
        <v>-54</v>
      </c>
      <c r="L232">
        <v>-35</v>
      </c>
      <c r="M232">
        <v>-18</v>
      </c>
      <c r="N232">
        <v>10</v>
      </c>
      <c r="O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8767</v>
      </c>
      <c r="AE232">
        <v>913</v>
      </c>
      <c r="AF232">
        <v>7854</v>
      </c>
      <c r="AG232" s="2">
        <v>0.104140527</v>
      </c>
      <c r="AH232" t="s">
        <v>31</v>
      </c>
      <c r="AI232" s="4">
        <v>2032</v>
      </c>
      <c r="AJ232" s="4">
        <v>78062</v>
      </c>
      <c r="AK232" s="4">
        <v>10591</v>
      </c>
      <c r="AL232" s="4">
        <v>2671</v>
      </c>
      <c r="AM232" s="4">
        <v>93356</v>
      </c>
      <c r="AN232" s="5">
        <f ca="1">IFERROR(__xludf.DUMMYFUNCTION("""COMPUTED_VALUE"""),-156)</f>
        <v>-156</v>
      </c>
    </row>
    <row r="233" spans="1:40" x14ac:dyDescent="0.35">
      <c r="A233" s="1">
        <v>232</v>
      </c>
      <c r="B233" s="7">
        <v>44122</v>
      </c>
      <c r="C233">
        <v>19</v>
      </c>
      <c r="D233">
        <v>1074</v>
      </c>
      <c r="E233">
        <v>191</v>
      </c>
      <c r="F233">
        <v>-313</v>
      </c>
      <c r="G233" s="5">
        <f ca="1">IFERROR(__xludf.DUMMYFUNCTION("""COMPUTED_VALUE"""),4105)</f>
        <v>4105</v>
      </c>
      <c r="H233" s="5">
        <f ca="1">IFERROR(__xludf.DUMMYFUNCTION("""COMPUTED_VALUE"""),971)</f>
        <v>971</v>
      </c>
      <c r="I233">
        <v>-38</v>
      </c>
      <c r="J233">
        <v>-15</v>
      </c>
      <c r="K233">
        <v>-58</v>
      </c>
      <c r="L233">
        <v>-35</v>
      </c>
      <c r="M233">
        <v>-15</v>
      </c>
      <c r="N233">
        <v>10</v>
      </c>
      <c r="O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5785</v>
      </c>
      <c r="AE233">
        <v>667</v>
      </c>
      <c r="AF233">
        <v>5118</v>
      </c>
      <c r="AG233" s="2">
        <v>0.115298185</v>
      </c>
      <c r="AH233" t="s">
        <v>31</v>
      </c>
      <c r="AI233" s="4">
        <v>2051</v>
      </c>
      <c r="AJ233" s="4">
        <v>79136</v>
      </c>
      <c r="AK233" s="4">
        <v>10782</v>
      </c>
      <c r="AL233" s="4">
        <v>2358</v>
      </c>
      <c r="AM233" s="4">
        <v>94327</v>
      </c>
      <c r="AN233" s="5">
        <f ca="1">IFERROR(__xludf.DUMMYFUNCTION("""COMPUTED_VALUE"""),-122)</f>
        <v>-122</v>
      </c>
    </row>
    <row r="234" spans="1:40" x14ac:dyDescent="0.35">
      <c r="A234" s="1">
        <v>233</v>
      </c>
      <c r="B234" s="7">
        <v>44123</v>
      </c>
      <c r="C234">
        <v>13</v>
      </c>
      <c r="D234">
        <v>1125</v>
      </c>
      <c r="E234">
        <v>-457</v>
      </c>
      <c r="F234">
        <v>245</v>
      </c>
      <c r="G234" s="5">
        <f ca="1">IFERROR(__xludf.DUMMYFUNCTION("""COMPUTED_VALUE"""),3373)</f>
        <v>3373</v>
      </c>
      <c r="H234" s="5">
        <f ca="1">IFERROR(__xludf.DUMMYFUNCTION("""COMPUTED_VALUE"""),926)</f>
        <v>926</v>
      </c>
      <c r="I234">
        <v>-36</v>
      </c>
      <c r="J234">
        <v>-16</v>
      </c>
      <c r="K234">
        <v>-60</v>
      </c>
      <c r="L234">
        <v>-42</v>
      </c>
      <c r="M234">
        <v>-33</v>
      </c>
      <c r="N234">
        <v>16</v>
      </c>
      <c r="O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10070</v>
      </c>
      <c r="AE234">
        <v>899</v>
      </c>
      <c r="AF234">
        <v>9171</v>
      </c>
      <c r="AG234" s="2">
        <v>8.9275074479999994E-2</v>
      </c>
      <c r="AH234" t="s">
        <v>31</v>
      </c>
      <c r="AI234" s="4">
        <v>2064</v>
      </c>
      <c r="AJ234" s="4">
        <v>80261</v>
      </c>
      <c r="AK234" s="4">
        <v>10325</v>
      </c>
      <c r="AL234" s="4">
        <v>2603</v>
      </c>
      <c r="AM234" s="4">
        <v>95253</v>
      </c>
      <c r="AN234" s="5">
        <f ca="1">IFERROR(__xludf.DUMMYFUNCTION("""COMPUTED_VALUE"""),-212)</f>
        <v>-212</v>
      </c>
    </row>
    <row r="235" spans="1:40" x14ac:dyDescent="0.35">
      <c r="A235" s="1">
        <v>234</v>
      </c>
      <c r="B235" s="7">
        <v>44124</v>
      </c>
      <c r="C235">
        <v>22</v>
      </c>
      <c r="D235">
        <v>846</v>
      </c>
      <c r="E235">
        <v>-33</v>
      </c>
      <c r="F235">
        <v>129</v>
      </c>
      <c r="G235" s="5">
        <f ca="1">IFERROR(__xludf.DUMMYFUNCTION("""COMPUTED_VALUE"""),3602)</f>
        <v>3602</v>
      </c>
      <c r="H235" s="5">
        <f ca="1">IFERROR(__xludf.DUMMYFUNCTION("""COMPUTED_VALUE"""),964)</f>
        <v>964</v>
      </c>
      <c r="I235">
        <v>-37</v>
      </c>
      <c r="J235">
        <v>-17</v>
      </c>
      <c r="K235">
        <v>-54</v>
      </c>
      <c r="L235">
        <v>-42</v>
      </c>
      <c r="M235">
        <v>-34</v>
      </c>
      <c r="N235">
        <v>16</v>
      </c>
      <c r="O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10412</v>
      </c>
      <c r="AE235">
        <v>1002</v>
      </c>
      <c r="AF235">
        <v>9410</v>
      </c>
      <c r="AG235" s="2">
        <v>9.6235113329999997E-2</v>
      </c>
      <c r="AH235" t="s">
        <v>31</v>
      </c>
      <c r="AI235" s="4">
        <v>2086</v>
      </c>
      <c r="AJ235" s="4">
        <v>81107</v>
      </c>
      <c r="AK235" s="4">
        <v>10292</v>
      </c>
      <c r="AL235" s="4">
        <v>2732</v>
      </c>
      <c r="AM235" s="4">
        <v>96217</v>
      </c>
      <c r="AN235" s="5">
        <f ca="1">IFERROR(__xludf.DUMMYFUNCTION("""COMPUTED_VALUE"""),96)</f>
        <v>96</v>
      </c>
    </row>
    <row r="236" spans="1:40" x14ac:dyDescent="0.35">
      <c r="A236" s="1">
        <v>235</v>
      </c>
      <c r="B236" s="7">
        <v>44125</v>
      </c>
      <c r="C236">
        <v>19</v>
      </c>
      <c r="D236">
        <v>1071</v>
      </c>
      <c r="E236">
        <v>-19</v>
      </c>
      <c r="F236">
        <v>-71</v>
      </c>
      <c r="G236" s="5">
        <f ca="1">IFERROR(__xludf.DUMMYFUNCTION("""COMPUTED_VALUE"""),4267)</f>
        <v>4267</v>
      </c>
      <c r="H236" s="5">
        <f ca="1">IFERROR(__xludf.DUMMYFUNCTION("""COMPUTED_VALUE"""),1000)</f>
        <v>1000</v>
      </c>
      <c r="I236">
        <v>-38</v>
      </c>
      <c r="J236">
        <v>-21</v>
      </c>
      <c r="K236">
        <v>-61</v>
      </c>
      <c r="L236">
        <v>-44</v>
      </c>
      <c r="M236">
        <v>-33</v>
      </c>
      <c r="N236">
        <v>16</v>
      </c>
      <c r="O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12520</v>
      </c>
      <c r="AE236">
        <v>1094</v>
      </c>
      <c r="AF236">
        <v>11426</v>
      </c>
      <c r="AG236" s="2">
        <v>8.7380191689999998E-2</v>
      </c>
      <c r="AH236" t="s">
        <v>31</v>
      </c>
      <c r="AI236" s="4">
        <v>2105</v>
      </c>
      <c r="AJ236" s="4">
        <v>82178</v>
      </c>
      <c r="AK236" s="4">
        <v>10273</v>
      </c>
      <c r="AL236" s="4">
        <v>2661</v>
      </c>
      <c r="AM236" s="4">
        <v>97217</v>
      </c>
      <c r="AN236" s="5">
        <f ca="1">IFERROR(__xludf.DUMMYFUNCTION("""COMPUTED_VALUE"""),-90)</f>
        <v>-90</v>
      </c>
    </row>
    <row r="237" spans="1:40" x14ac:dyDescent="0.35">
      <c r="A237" s="1">
        <v>236</v>
      </c>
      <c r="B237" s="7">
        <v>44126</v>
      </c>
      <c r="C237">
        <v>15</v>
      </c>
      <c r="D237">
        <v>1160</v>
      </c>
      <c r="E237">
        <v>-293</v>
      </c>
      <c r="F237">
        <v>107</v>
      </c>
      <c r="G237" s="5">
        <f ca="1">IFERROR(__xludf.DUMMYFUNCTION("""COMPUTED_VALUE"""),4432)</f>
        <v>4432</v>
      </c>
      <c r="H237" s="5">
        <f ca="1">IFERROR(__xludf.DUMMYFUNCTION("""COMPUTED_VALUE"""),989)</f>
        <v>989</v>
      </c>
      <c r="I237">
        <v>-33</v>
      </c>
      <c r="J237">
        <v>-10</v>
      </c>
      <c r="K237">
        <v>-49</v>
      </c>
      <c r="L237">
        <v>-41</v>
      </c>
      <c r="M237">
        <v>-33</v>
      </c>
      <c r="N237">
        <v>14</v>
      </c>
      <c r="O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10631</v>
      </c>
      <c r="AE237">
        <v>937</v>
      </c>
      <c r="AF237">
        <v>9694</v>
      </c>
      <c r="AG237" s="2">
        <v>8.8138462989999999E-2</v>
      </c>
      <c r="AH237" t="s">
        <v>31</v>
      </c>
      <c r="AI237" s="4">
        <v>2120</v>
      </c>
      <c r="AJ237" s="4">
        <v>83338</v>
      </c>
      <c r="AK237" s="4">
        <v>9980</v>
      </c>
      <c r="AL237" s="4">
        <v>2768</v>
      </c>
      <c r="AM237" s="4">
        <v>98206</v>
      </c>
      <c r="AN237" s="5">
        <f ca="1">IFERROR(__xludf.DUMMYFUNCTION("""COMPUTED_VALUE"""),-186)</f>
        <v>-186</v>
      </c>
    </row>
    <row r="238" spans="1:40" x14ac:dyDescent="0.35">
      <c r="A238" s="1">
        <v>237</v>
      </c>
      <c r="B238" s="7">
        <v>44127</v>
      </c>
      <c r="C238">
        <v>18</v>
      </c>
      <c r="D238">
        <v>1092</v>
      </c>
      <c r="E238">
        <v>-376</v>
      </c>
      <c r="F238">
        <v>218</v>
      </c>
      <c r="G238" s="5">
        <f ca="1">IFERROR(__xludf.DUMMYFUNCTION("""COMPUTED_VALUE"""),4369)</f>
        <v>4369</v>
      </c>
      <c r="H238" s="5">
        <f ca="1">IFERROR(__xludf.DUMMYFUNCTION("""COMPUTED_VALUE"""),952)</f>
        <v>952</v>
      </c>
      <c r="I238">
        <v>-29</v>
      </c>
      <c r="J238">
        <v>-6</v>
      </c>
      <c r="K238">
        <v>-46</v>
      </c>
      <c r="L238">
        <v>-40</v>
      </c>
      <c r="M238">
        <v>-31</v>
      </c>
      <c r="N238">
        <v>14</v>
      </c>
      <c r="O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10377</v>
      </c>
      <c r="AE238">
        <v>877</v>
      </c>
      <c r="AF238">
        <v>9500</v>
      </c>
      <c r="AG238" s="2">
        <v>8.4513828659999998E-2</v>
      </c>
      <c r="AH238" t="s">
        <v>31</v>
      </c>
      <c r="AI238" s="4">
        <v>2138</v>
      </c>
      <c r="AJ238" s="4">
        <v>84430</v>
      </c>
      <c r="AK238" s="4">
        <v>9604</v>
      </c>
      <c r="AL238" s="4">
        <v>2986</v>
      </c>
      <c r="AM238" s="4">
        <v>99158</v>
      </c>
      <c r="AN238" s="5">
        <f ca="1">IFERROR(__xludf.DUMMYFUNCTION("""COMPUTED_VALUE"""),-158)</f>
        <v>-158</v>
      </c>
    </row>
    <row r="239" spans="1:40" x14ac:dyDescent="0.35">
      <c r="A239" s="1">
        <v>238</v>
      </c>
      <c r="B239" s="7">
        <v>44128</v>
      </c>
      <c r="C239">
        <v>15</v>
      </c>
      <c r="D239">
        <v>1156</v>
      </c>
      <c r="E239">
        <v>-47</v>
      </c>
      <c r="F239">
        <v>-62</v>
      </c>
      <c r="G239" s="5">
        <f ca="1">IFERROR(__xludf.DUMMYFUNCTION("""COMPUTED_VALUE"""),4070)</f>
        <v>4070</v>
      </c>
      <c r="H239" s="5">
        <f ca="1">IFERROR(__xludf.DUMMYFUNCTION("""COMPUTED_VALUE"""),1062)</f>
        <v>1062</v>
      </c>
      <c r="I239">
        <v>-32</v>
      </c>
      <c r="J239">
        <v>-6</v>
      </c>
      <c r="K239">
        <v>-49</v>
      </c>
      <c r="L239">
        <v>-31</v>
      </c>
      <c r="M239">
        <v>-17</v>
      </c>
      <c r="N239">
        <v>9</v>
      </c>
      <c r="O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11012</v>
      </c>
      <c r="AE239">
        <v>1005</v>
      </c>
      <c r="AF239">
        <v>10007</v>
      </c>
      <c r="AG239" s="2">
        <v>9.1264075550000004E-2</v>
      </c>
      <c r="AH239" t="s">
        <v>31</v>
      </c>
      <c r="AI239" s="4">
        <v>2153</v>
      </c>
      <c r="AJ239" s="4">
        <v>85586</v>
      </c>
      <c r="AK239" s="4">
        <v>9557</v>
      </c>
      <c r="AL239" s="4">
        <v>2924</v>
      </c>
      <c r="AM239" s="4">
        <v>100220</v>
      </c>
      <c r="AN239" s="5">
        <f ca="1">IFERROR(__xludf.DUMMYFUNCTION("""COMPUTED_VALUE"""),-109)</f>
        <v>-109</v>
      </c>
    </row>
    <row r="240" spans="1:40" x14ac:dyDescent="0.35">
      <c r="A240" s="1">
        <v>239</v>
      </c>
      <c r="B240" s="7">
        <v>44129</v>
      </c>
      <c r="C240">
        <v>11</v>
      </c>
      <c r="D240">
        <v>1229</v>
      </c>
      <c r="E240">
        <v>-406</v>
      </c>
      <c r="F240">
        <v>-63</v>
      </c>
      <c r="G240" s="5">
        <f ca="1">IFERROR(__xludf.DUMMYFUNCTION("""COMPUTED_VALUE"""),3732)</f>
        <v>3732</v>
      </c>
      <c r="H240" s="5">
        <f ca="1">IFERROR(__xludf.DUMMYFUNCTION("""COMPUTED_VALUE"""),771)</f>
        <v>771</v>
      </c>
      <c r="I240">
        <v>-36</v>
      </c>
      <c r="J240">
        <v>-12</v>
      </c>
      <c r="K240">
        <v>-55</v>
      </c>
      <c r="L240">
        <v>-33</v>
      </c>
      <c r="M240">
        <v>-14</v>
      </c>
      <c r="N240">
        <v>8</v>
      </c>
      <c r="O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4701</v>
      </c>
      <c r="AE240">
        <v>550</v>
      </c>
      <c r="AF240">
        <v>4151</v>
      </c>
      <c r="AG240" s="2">
        <v>0.1169963837</v>
      </c>
      <c r="AH240" t="s">
        <v>31</v>
      </c>
      <c r="AI240" s="4">
        <v>2164</v>
      </c>
      <c r="AJ240" s="4">
        <v>86815</v>
      </c>
      <c r="AK240" s="4">
        <v>9151</v>
      </c>
      <c r="AL240" s="4">
        <v>2861</v>
      </c>
      <c r="AM240" s="4">
        <v>100991</v>
      </c>
      <c r="AN240" s="5">
        <f ca="1">IFERROR(__xludf.DUMMYFUNCTION("""COMPUTED_VALUE"""),-469)</f>
        <v>-469</v>
      </c>
    </row>
    <row r="241" spans="1:40" x14ac:dyDescent="0.35">
      <c r="A241" s="1">
        <v>240</v>
      </c>
      <c r="B241" s="7">
        <v>44130</v>
      </c>
      <c r="C241">
        <v>21</v>
      </c>
      <c r="D241">
        <v>1162</v>
      </c>
      <c r="E241">
        <v>-191</v>
      </c>
      <c r="F241">
        <v>-86</v>
      </c>
      <c r="G241" s="5">
        <f ca="1">IFERROR(__xludf.DUMMYFUNCTION("""COMPUTED_VALUE"""),3222)</f>
        <v>3222</v>
      </c>
      <c r="H241" s="5">
        <f ca="1">IFERROR(__xludf.DUMMYFUNCTION("""COMPUTED_VALUE"""),906)</f>
        <v>906</v>
      </c>
      <c r="I241">
        <v>-36</v>
      </c>
      <c r="J241">
        <v>-16</v>
      </c>
      <c r="K241">
        <v>-58</v>
      </c>
      <c r="L241">
        <v>-41</v>
      </c>
      <c r="M241">
        <v>-32</v>
      </c>
      <c r="N241">
        <v>14</v>
      </c>
      <c r="O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10221</v>
      </c>
      <c r="AE241">
        <v>842</v>
      </c>
      <c r="AF241">
        <v>9379</v>
      </c>
      <c r="AG241" s="2">
        <v>8.2379414930000006E-2</v>
      </c>
      <c r="AH241" t="s">
        <v>31</v>
      </c>
      <c r="AI241" s="4">
        <v>2185</v>
      </c>
      <c r="AJ241" s="4">
        <v>87977</v>
      </c>
      <c r="AK241" s="4">
        <v>8960</v>
      </c>
      <c r="AL241" s="4">
        <v>2775</v>
      </c>
      <c r="AM241" s="4">
        <v>101897</v>
      </c>
      <c r="AN241" s="5">
        <f ca="1">IFERROR(__xludf.DUMMYFUNCTION("""COMPUTED_VALUE"""),-277)</f>
        <v>-277</v>
      </c>
    </row>
    <row r="242" spans="1:40" x14ac:dyDescent="0.35">
      <c r="A242" s="1">
        <v>241</v>
      </c>
      <c r="B242" s="7">
        <v>44131</v>
      </c>
      <c r="C242">
        <v>10</v>
      </c>
      <c r="D242">
        <v>1083</v>
      </c>
      <c r="E242">
        <v>-217</v>
      </c>
      <c r="F242">
        <v>-95</v>
      </c>
      <c r="G242" s="5">
        <f ca="1">IFERROR(__xludf.DUMMYFUNCTION("""COMPUTED_VALUE"""),3520)</f>
        <v>3520</v>
      </c>
      <c r="H242" s="5">
        <f ca="1">IFERROR(__xludf.DUMMYFUNCTION("""COMPUTED_VALUE"""),781)</f>
        <v>781</v>
      </c>
      <c r="I242">
        <v>-32</v>
      </c>
      <c r="J242">
        <v>-8</v>
      </c>
      <c r="K242">
        <v>-57</v>
      </c>
      <c r="L242">
        <v>-36</v>
      </c>
      <c r="M242">
        <v>-33</v>
      </c>
      <c r="N242">
        <v>13</v>
      </c>
      <c r="O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13815</v>
      </c>
      <c r="AE242">
        <v>981</v>
      </c>
      <c r="AF242">
        <v>12834</v>
      </c>
      <c r="AG242" s="2">
        <v>7.1009771989999998E-2</v>
      </c>
      <c r="AH242" t="s">
        <v>31</v>
      </c>
      <c r="AI242" s="4">
        <v>2195</v>
      </c>
      <c r="AJ242" s="4">
        <v>89060</v>
      </c>
      <c r="AK242" s="4">
        <v>8743</v>
      </c>
      <c r="AL242" s="4">
        <v>2680</v>
      </c>
      <c r="AM242" s="4">
        <v>102678</v>
      </c>
      <c r="AN242" s="5">
        <f ca="1">IFERROR(__xludf.DUMMYFUNCTION("""COMPUTED_VALUE"""),-312)</f>
        <v>-312</v>
      </c>
    </row>
    <row r="243" spans="1:40" x14ac:dyDescent="0.35">
      <c r="A243" s="1">
        <v>242</v>
      </c>
      <c r="B243" s="7">
        <v>44132</v>
      </c>
      <c r="C243">
        <v>16</v>
      </c>
      <c r="D243">
        <v>1097</v>
      </c>
      <c r="E243">
        <v>-305</v>
      </c>
      <c r="F243">
        <v>36</v>
      </c>
      <c r="G243" s="5">
        <f ca="1">IFERROR(__xludf.DUMMYFUNCTION("""COMPUTED_VALUE"""),4029)</f>
        <v>4029</v>
      </c>
      <c r="H243" s="5">
        <f ca="1">IFERROR(__xludf.DUMMYFUNCTION("""COMPUTED_VALUE"""),844)</f>
        <v>844</v>
      </c>
      <c r="I243">
        <v>-28</v>
      </c>
      <c r="J243">
        <v>-4</v>
      </c>
      <c r="K243">
        <v>-45</v>
      </c>
      <c r="L243">
        <v>-40</v>
      </c>
      <c r="M243">
        <v>-45</v>
      </c>
      <c r="N243">
        <v>13</v>
      </c>
      <c r="O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10021</v>
      </c>
      <c r="AE243">
        <v>803</v>
      </c>
      <c r="AF243">
        <v>9218</v>
      </c>
      <c r="AG243" s="2">
        <v>8.0131723380000006E-2</v>
      </c>
      <c r="AH243" t="s">
        <v>31</v>
      </c>
      <c r="AI243" s="4">
        <v>2211</v>
      </c>
      <c r="AJ243" s="4">
        <v>90157</v>
      </c>
      <c r="AK243" s="4">
        <v>8438</v>
      </c>
      <c r="AL243" s="4">
        <v>2716</v>
      </c>
      <c r="AM243" s="4">
        <v>103522</v>
      </c>
      <c r="AN243" s="5">
        <f ca="1">IFERROR(__xludf.DUMMYFUNCTION("""COMPUTED_VALUE"""),-269)</f>
        <v>-269</v>
      </c>
    </row>
    <row r="244" spans="1:40" x14ac:dyDescent="0.35">
      <c r="A244" s="1">
        <v>243</v>
      </c>
      <c r="B244" s="7">
        <v>44133</v>
      </c>
      <c r="C244">
        <v>14</v>
      </c>
      <c r="D244">
        <v>1078</v>
      </c>
      <c r="E244">
        <v>-487</v>
      </c>
      <c r="F244">
        <v>108</v>
      </c>
      <c r="G244" s="5">
        <f ca="1">IFERROR(__xludf.DUMMYFUNCTION("""COMPUTED_VALUE"""),3565)</f>
        <v>3565</v>
      </c>
      <c r="H244" s="5">
        <f ca="1">IFERROR(__xludf.DUMMYFUNCTION("""COMPUTED_VALUE"""),713)</f>
        <v>713</v>
      </c>
      <c r="I244">
        <v>-32</v>
      </c>
      <c r="J244">
        <v>-13</v>
      </c>
      <c r="K244">
        <v>-38</v>
      </c>
      <c r="L244">
        <v>-50</v>
      </c>
      <c r="M244">
        <v>-65</v>
      </c>
      <c r="N244">
        <v>17</v>
      </c>
      <c r="O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4932</v>
      </c>
      <c r="AE244">
        <v>604</v>
      </c>
      <c r="AF244">
        <v>4328</v>
      </c>
      <c r="AG244" s="2">
        <v>0.12246553120000001</v>
      </c>
      <c r="AH244" t="s">
        <v>31</v>
      </c>
      <c r="AI244" s="4">
        <v>2225</v>
      </c>
      <c r="AJ244" s="4">
        <v>91235</v>
      </c>
      <c r="AK244" s="4">
        <v>7951</v>
      </c>
      <c r="AL244" s="4">
        <v>2824</v>
      </c>
      <c r="AM244" s="4">
        <v>104235</v>
      </c>
      <c r="AN244" s="5">
        <f ca="1">IFERROR(__xludf.DUMMYFUNCTION("""COMPUTED_VALUE"""),-379)</f>
        <v>-379</v>
      </c>
    </row>
    <row r="245" spans="1:40" x14ac:dyDescent="0.35">
      <c r="A245" s="1">
        <v>244</v>
      </c>
      <c r="B245" s="7">
        <v>44134</v>
      </c>
      <c r="C245">
        <v>14</v>
      </c>
      <c r="D245">
        <v>1077</v>
      </c>
      <c r="E245">
        <v>-494</v>
      </c>
      <c r="F245">
        <v>15</v>
      </c>
      <c r="G245" s="5">
        <f ca="1">IFERROR(__xludf.DUMMYFUNCTION("""COMPUTED_VALUE"""),2897)</f>
        <v>2897</v>
      </c>
      <c r="H245" s="5">
        <f ca="1">IFERROR(__xludf.DUMMYFUNCTION("""COMPUTED_VALUE"""),612)</f>
        <v>612</v>
      </c>
      <c r="I245">
        <v>-33</v>
      </c>
      <c r="J245">
        <v>-13</v>
      </c>
      <c r="K245">
        <v>-44</v>
      </c>
      <c r="L245">
        <v>-50</v>
      </c>
      <c r="M245">
        <v>-49</v>
      </c>
      <c r="N245">
        <v>17</v>
      </c>
      <c r="O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8870</v>
      </c>
      <c r="AE245">
        <v>665</v>
      </c>
      <c r="AF245">
        <v>8205</v>
      </c>
      <c r="AG245" s="2">
        <v>7.4971815110000006E-2</v>
      </c>
      <c r="AH245" t="s">
        <v>31</v>
      </c>
      <c r="AI245" s="4">
        <v>2239</v>
      </c>
      <c r="AJ245" s="4">
        <v>92312</v>
      </c>
      <c r="AK245" s="4">
        <v>7457</v>
      </c>
      <c r="AL245" s="4">
        <v>2839</v>
      </c>
      <c r="AM245" s="4">
        <v>104847</v>
      </c>
      <c r="AN245" s="5">
        <f ca="1">IFERROR(__xludf.DUMMYFUNCTION("""COMPUTED_VALUE"""),-479)</f>
        <v>-479</v>
      </c>
    </row>
    <row r="246" spans="1:40" x14ac:dyDescent="0.35">
      <c r="A246" s="1">
        <v>245</v>
      </c>
      <c r="B246" s="7">
        <v>44135</v>
      </c>
      <c r="C246">
        <v>16</v>
      </c>
      <c r="D246">
        <v>2122</v>
      </c>
      <c r="E246">
        <v>-933</v>
      </c>
      <c r="F246">
        <v>-455</v>
      </c>
      <c r="G246" s="5">
        <f ca="1">IFERROR(__xludf.DUMMYFUNCTION("""COMPUTED_VALUE"""),3143)</f>
        <v>3143</v>
      </c>
      <c r="H246" s="5">
        <f ca="1">IFERROR(__xludf.DUMMYFUNCTION("""COMPUTED_VALUE"""),750)</f>
        <v>750</v>
      </c>
      <c r="I246">
        <v>-40</v>
      </c>
      <c r="J246">
        <v>-20</v>
      </c>
      <c r="K246">
        <v>-54</v>
      </c>
      <c r="L246">
        <v>-39</v>
      </c>
      <c r="M246">
        <v>-23</v>
      </c>
      <c r="N246">
        <v>9</v>
      </c>
      <c r="O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7328</v>
      </c>
      <c r="AE246">
        <v>668</v>
      </c>
      <c r="AF246">
        <v>6660</v>
      </c>
      <c r="AG246" s="2">
        <v>9.1157205239999997E-2</v>
      </c>
      <c r="AH246" t="s">
        <v>31</v>
      </c>
      <c r="AI246" s="4">
        <v>2255</v>
      </c>
      <c r="AJ246" s="4">
        <v>94434</v>
      </c>
      <c r="AK246" s="4">
        <v>6524</v>
      </c>
      <c r="AL246" s="4">
        <v>2384</v>
      </c>
      <c r="AM246" s="4">
        <v>105597</v>
      </c>
      <c r="AN246" s="5">
        <f ca="1">IFERROR(__xludf.DUMMYFUNCTION("""COMPUTED_VALUE"""),-1388)</f>
        <v>-1388</v>
      </c>
    </row>
    <row r="247" spans="1:40" x14ac:dyDescent="0.35">
      <c r="A247" s="1">
        <v>246</v>
      </c>
      <c r="B247" s="7">
        <v>44136</v>
      </c>
      <c r="C247">
        <v>18</v>
      </c>
      <c r="D247">
        <v>385</v>
      </c>
      <c r="E247">
        <v>411</v>
      </c>
      <c r="F247">
        <v>-206</v>
      </c>
      <c r="G247" s="5">
        <f ca="1">IFERROR(__xludf.DUMMYFUNCTION("""COMPUTED_VALUE"""),2696)</f>
        <v>2696</v>
      </c>
      <c r="H247" s="5">
        <f ca="1">IFERROR(__xludf.DUMMYFUNCTION("""COMPUTED_VALUE"""),608)</f>
        <v>608</v>
      </c>
      <c r="I247">
        <v>-38</v>
      </c>
      <c r="J247">
        <v>-15</v>
      </c>
      <c r="K247">
        <v>-55</v>
      </c>
      <c r="L247">
        <v>-31</v>
      </c>
      <c r="M247">
        <v>-16</v>
      </c>
      <c r="N247">
        <v>6</v>
      </c>
      <c r="O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4199</v>
      </c>
      <c r="AE247">
        <v>620</v>
      </c>
      <c r="AF247">
        <v>3579</v>
      </c>
      <c r="AG247" s="2">
        <v>0.14765420339999999</v>
      </c>
      <c r="AH247" t="s">
        <v>31</v>
      </c>
      <c r="AI247" s="4">
        <v>2273</v>
      </c>
      <c r="AJ247" s="4">
        <v>94819</v>
      </c>
      <c r="AK247" s="4">
        <v>6935</v>
      </c>
      <c r="AL247" s="4">
        <v>2178</v>
      </c>
      <c r="AM247" s="4">
        <v>106205</v>
      </c>
      <c r="AN247" s="5">
        <f ca="1">IFERROR(__xludf.DUMMYFUNCTION("""COMPUTED_VALUE"""),205)</f>
        <v>205</v>
      </c>
    </row>
    <row r="248" spans="1:40" x14ac:dyDescent="0.35">
      <c r="A248" s="1">
        <v>247</v>
      </c>
      <c r="B248" s="7">
        <v>44137</v>
      </c>
      <c r="C248">
        <v>18</v>
      </c>
      <c r="D248">
        <v>1057</v>
      </c>
      <c r="E248">
        <v>377</v>
      </c>
      <c r="F248">
        <v>-428</v>
      </c>
      <c r="G248" s="5">
        <f ca="1">IFERROR(__xludf.DUMMYFUNCTION("""COMPUTED_VALUE"""),2618)</f>
        <v>2618</v>
      </c>
      <c r="H248" s="5">
        <f ca="1">IFERROR(__xludf.DUMMYFUNCTION("""COMPUTED_VALUE"""),1024)</f>
        <v>1024</v>
      </c>
      <c r="I248">
        <v>-30</v>
      </c>
      <c r="J248">
        <v>-7</v>
      </c>
      <c r="K248">
        <v>-52</v>
      </c>
      <c r="L248">
        <v>-37</v>
      </c>
      <c r="M248">
        <v>-31</v>
      </c>
      <c r="N248">
        <v>12</v>
      </c>
      <c r="O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8215</v>
      </c>
      <c r="AE248">
        <v>782</v>
      </c>
      <c r="AF248">
        <v>7433</v>
      </c>
      <c r="AG248" s="2">
        <v>9.5191722460000003E-2</v>
      </c>
      <c r="AH248" t="s">
        <v>31</v>
      </c>
      <c r="AI248" s="4">
        <v>2291</v>
      </c>
      <c r="AJ248" s="4">
        <v>95876</v>
      </c>
      <c r="AK248" s="4">
        <v>7312</v>
      </c>
      <c r="AL248" s="4">
        <v>1750</v>
      </c>
      <c r="AM248" s="4">
        <v>107229</v>
      </c>
      <c r="AN248" s="5">
        <f ca="1">IFERROR(__xludf.DUMMYFUNCTION("""COMPUTED_VALUE"""),-51)</f>
        <v>-51</v>
      </c>
    </row>
    <row r="249" spans="1:40" x14ac:dyDescent="0.35">
      <c r="A249" s="1">
        <v>248</v>
      </c>
      <c r="B249" s="7">
        <v>44138</v>
      </c>
      <c r="C249">
        <v>9</v>
      </c>
      <c r="D249">
        <v>1026</v>
      </c>
      <c r="E249">
        <v>-468</v>
      </c>
      <c r="F249">
        <v>50</v>
      </c>
      <c r="G249" s="5">
        <f ca="1">IFERROR(__xludf.DUMMYFUNCTION("""COMPUTED_VALUE"""),2973)</f>
        <v>2973</v>
      </c>
      <c r="H249" s="5">
        <f ca="1">IFERROR(__xludf.DUMMYFUNCTION("""COMPUTED_VALUE"""),617)</f>
        <v>617</v>
      </c>
      <c r="I249">
        <v>-31</v>
      </c>
      <c r="J249">
        <v>-9</v>
      </c>
      <c r="K249">
        <v>-56</v>
      </c>
      <c r="L249">
        <v>-39</v>
      </c>
      <c r="M249">
        <v>-32</v>
      </c>
      <c r="N249">
        <v>13</v>
      </c>
      <c r="O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12127</v>
      </c>
      <c r="AE249">
        <v>1096</v>
      </c>
      <c r="AF249">
        <v>11031</v>
      </c>
      <c r="AG249" s="2">
        <v>9.0376845060000002E-2</v>
      </c>
      <c r="AH249" t="s">
        <v>31</v>
      </c>
      <c r="AI249" s="4">
        <v>2300</v>
      </c>
      <c r="AJ249" s="4">
        <v>96902</v>
      </c>
      <c r="AK249" s="4">
        <v>6844</v>
      </c>
      <c r="AL249" s="4">
        <v>1800</v>
      </c>
      <c r="AM249" s="4">
        <v>107846</v>
      </c>
      <c r="AN249" s="5">
        <f ca="1">IFERROR(__xludf.DUMMYFUNCTION("""COMPUTED_VALUE"""),-418)</f>
        <v>-418</v>
      </c>
    </row>
    <row r="250" spans="1:40" x14ac:dyDescent="0.35">
      <c r="A250" s="1">
        <v>249</v>
      </c>
      <c r="B250" s="7">
        <v>44139</v>
      </c>
      <c r="C250">
        <v>15</v>
      </c>
      <c r="D250">
        <v>931</v>
      </c>
      <c r="E250">
        <v>-179</v>
      </c>
      <c r="F250">
        <v>7</v>
      </c>
      <c r="G250" s="5">
        <f ca="1">IFERROR(__xludf.DUMMYFUNCTION("""COMPUTED_VALUE"""),3356)</f>
        <v>3356</v>
      </c>
      <c r="H250" s="5">
        <f ca="1">IFERROR(__xludf.DUMMYFUNCTION("""COMPUTED_VALUE"""),774)</f>
        <v>774</v>
      </c>
      <c r="I250">
        <v>-31</v>
      </c>
      <c r="J250">
        <v>-12</v>
      </c>
      <c r="K250">
        <v>-56</v>
      </c>
      <c r="L250">
        <v>-40</v>
      </c>
      <c r="M250">
        <v>-32</v>
      </c>
      <c r="N250">
        <v>13</v>
      </c>
      <c r="O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12245</v>
      </c>
      <c r="AE250">
        <v>1205</v>
      </c>
      <c r="AF250">
        <v>11040</v>
      </c>
      <c r="AG250" s="2">
        <v>9.8407513269999997E-2</v>
      </c>
      <c r="AH250" t="s">
        <v>31</v>
      </c>
      <c r="AI250" s="4">
        <v>2315</v>
      </c>
      <c r="AJ250" s="4">
        <v>97833</v>
      </c>
      <c r="AK250" s="4">
        <v>6665</v>
      </c>
      <c r="AL250" s="4">
        <v>1807</v>
      </c>
      <c r="AM250" s="4">
        <v>108620</v>
      </c>
      <c r="AN250" s="5">
        <f ca="1">IFERROR(__xludf.DUMMYFUNCTION("""COMPUTED_VALUE"""),-172)</f>
        <v>-172</v>
      </c>
    </row>
    <row r="251" spans="1:40" x14ac:dyDescent="0.35">
      <c r="A251" s="1">
        <v>250</v>
      </c>
      <c r="B251" s="7">
        <v>44140</v>
      </c>
      <c r="C251">
        <v>16</v>
      </c>
      <c r="D251">
        <v>973</v>
      </c>
      <c r="E251">
        <v>-405</v>
      </c>
      <c r="F251">
        <v>207</v>
      </c>
      <c r="G251" s="5">
        <f ca="1">IFERROR(__xludf.DUMMYFUNCTION("""COMPUTED_VALUE"""),4065)</f>
        <v>4065</v>
      </c>
      <c r="H251" s="5">
        <f ca="1">IFERROR(__xludf.DUMMYFUNCTION("""COMPUTED_VALUE"""),791)</f>
        <v>791</v>
      </c>
      <c r="I251">
        <v>-33</v>
      </c>
      <c r="J251">
        <v>-14</v>
      </c>
      <c r="K251">
        <v>-57</v>
      </c>
      <c r="L251">
        <v>-42</v>
      </c>
      <c r="M251">
        <v>-33</v>
      </c>
      <c r="N251">
        <v>14</v>
      </c>
      <c r="O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10271</v>
      </c>
      <c r="AE251">
        <v>1096</v>
      </c>
      <c r="AF251">
        <v>9175</v>
      </c>
      <c r="AG251" s="2">
        <v>0.10670820759999999</v>
      </c>
      <c r="AH251" t="s">
        <v>31</v>
      </c>
      <c r="AI251" s="4">
        <v>2331</v>
      </c>
      <c r="AJ251" s="4">
        <v>98806</v>
      </c>
      <c r="AK251" s="4">
        <v>6260</v>
      </c>
      <c r="AL251" s="4">
        <v>2014</v>
      </c>
      <c r="AM251" s="4">
        <v>109411</v>
      </c>
      <c r="AN251" s="5">
        <f ca="1">IFERROR(__xludf.DUMMYFUNCTION("""COMPUTED_VALUE"""),-198)</f>
        <v>-198</v>
      </c>
    </row>
    <row r="252" spans="1:40" x14ac:dyDescent="0.35">
      <c r="A252" s="1">
        <v>251</v>
      </c>
      <c r="B252" s="7">
        <v>44141</v>
      </c>
      <c r="C252">
        <v>17</v>
      </c>
      <c r="D252">
        <v>1024</v>
      </c>
      <c r="E252">
        <v>-210</v>
      </c>
      <c r="F252">
        <v>-159</v>
      </c>
      <c r="G252" s="5">
        <f ca="1">IFERROR(__xludf.DUMMYFUNCTION("""COMPUTED_VALUE"""),3778)</f>
        <v>3778</v>
      </c>
      <c r="H252" s="5">
        <f ca="1">IFERROR(__xludf.DUMMYFUNCTION("""COMPUTED_VALUE"""),672)</f>
        <v>672</v>
      </c>
      <c r="I252">
        <v>-28</v>
      </c>
      <c r="J252">
        <v>-9</v>
      </c>
      <c r="K252">
        <v>-49</v>
      </c>
      <c r="L252">
        <v>-40</v>
      </c>
      <c r="M252">
        <v>-31</v>
      </c>
      <c r="N252">
        <v>14</v>
      </c>
      <c r="O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11151</v>
      </c>
      <c r="AE252">
        <v>1069</v>
      </c>
      <c r="AF252">
        <v>10082</v>
      </c>
      <c r="AG252" s="2">
        <v>9.5865841630000004E-2</v>
      </c>
      <c r="AH252" t="s">
        <v>31</v>
      </c>
      <c r="AI252" s="4">
        <v>2348</v>
      </c>
      <c r="AJ252" s="4">
        <v>99830</v>
      </c>
      <c r="AK252" s="4">
        <v>6050</v>
      </c>
      <c r="AL252" s="4">
        <v>1855</v>
      </c>
      <c r="AM252" s="4">
        <v>110083</v>
      </c>
      <c r="AN252" s="5">
        <f ca="1">IFERROR(__xludf.DUMMYFUNCTION("""COMPUTED_VALUE"""),-369)</f>
        <v>-369</v>
      </c>
    </row>
    <row r="253" spans="1:40" x14ac:dyDescent="0.35">
      <c r="A253" s="1">
        <v>252</v>
      </c>
      <c r="B253" s="7">
        <v>44142</v>
      </c>
      <c r="C253">
        <v>11</v>
      </c>
      <c r="D253">
        <v>986</v>
      </c>
      <c r="E253">
        <v>109</v>
      </c>
      <c r="F253">
        <v>12</v>
      </c>
      <c r="G253" s="5">
        <f ca="1">IFERROR(__xludf.DUMMYFUNCTION("""COMPUTED_VALUE"""),4262)</f>
        <v>4262</v>
      </c>
      <c r="H253" s="5">
        <f ca="1">IFERROR(__xludf.DUMMYFUNCTION("""COMPUTED_VALUE"""),1118)</f>
        <v>1118</v>
      </c>
      <c r="I253">
        <v>-29</v>
      </c>
      <c r="J253">
        <v>-8</v>
      </c>
      <c r="K253">
        <v>-47</v>
      </c>
      <c r="L253">
        <v>-31</v>
      </c>
      <c r="M253">
        <v>-18</v>
      </c>
      <c r="N253">
        <v>8</v>
      </c>
      <c r="O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10451</v>
      </c>
      <c r="AE253">
        <v>988</v>
      </c>
      <c r="AF253">
        <v>9463</v>
      </c>
      <c r="AG253" s="2">
        <v>9.4536408000000002E-2</v>
      </c>
      <c r="AH253" t="s">
        <v>31</v>
      </c>
      <c r="AI253" s="4">
        <v>2359</v>
      </c>
      <c r="AJ253" s="4">
        <v>100816</v>
      </c>
      <c r="AK253" s="4">
        <v>6159</v>
      </c>
      <c r="AL253" s="4">
        <v>1867</v>
      </c>
      <c r="AM253" s="4">
        <v>111201</v>
      </c>
      <c r="AN253" s="5">
        <f ca="1">IFERROR(__xludf.DUMMYFUNCTION("""COMPUTED_VALUE"""),121)</f>
        <v>121</v>
      </c>
    </row>
    <row r="254" spans="1:40" x14ac:dyDescent="0.35">
      <c r="A254" s="1">
        <v>253</v>
      </c>
      <c r="B254" s="7">
        <v>44143</v>
      </c>
      <c r="C254">
        <v>7</v>
      </c>
      <c r="D254">
        <v>975</v>
      </c>
      <c r="E254">
        <v>179</v>
      </c>
      <c r="F254">
        <v>-335</v>
      </c>
      <c r="G254" s="5">
        <f ca="1">IFERROR(__xludf.DUMMYFUNCTION("""COMPUTED_VALUE"""),3880)</f>
        <v>3880</v>
      </c>
      <c r="H254" s="5">
        <f ca="1">IFERROR(__xludf.DUMMYFUNCTION("""COMPUTED_VALUE"""),826)</f>
        <v>826</v>
      </c>
      <c r="I254">
        <v>-33</v>
      </c>
      <c r="J254">
        <v>-13</v>
      </c>
      <c r="K254">
        <v>-51</v>
      </c>
      <c r="L254">
        <v>-32</v>
      </c>
      <c r="M254">
        <v>-14</v>
      </c>
      <c r="N254">
        <v>7</v>
      </c>
      <c r="O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5312</v>
      </c>
      <c r="AE254">
        <v>570</v>
      </c>
      <c r="AF254">
        <v>4742</v>
      </c>
      <c r="AG254" s="2">
        <v>0.1073042169</v>
      </c>
      <c r="AH254" t="s">
        <v>31</v>
      </c>
      <c r="AI254" s="4">
        <v>2366</v>
      </c>
      <c r="AJ254" s="4">
        <v>101791</v>
      </c>
      <c r="AK254" s="4">
        <v>6338</v>
      </c>
      <c r="AL254" s="4">
        <v>1532</v>
      </c>
      <c r="AM254" s="4">
        <v>112027</v>
      </c>
      <c r="AN254" s="5">
        <f ca="1">IFERROR(__xludf.DUMMYFUNCTION("""COMPUTED_VALUE"""),-156)</f>
        <v>-156</v>
      </c>
    </row>
    <row r="255" spans="1:40" x14ac:dyDescent="0.35">
      <c r="A255" s="1">
        <v>254</v>
      </c>
      <c r="B255" s="7">
        <v>44144</v>
      </c>
      <c r="C255">
        <v>11</v>
      </c>
      <c r="D255">
        <v>1053</v>
      </c>
      <c r="E255">
        <v>-288</v>
      </c>
      <c r="F255">
        <v>-60</v>
      </c>
      <c r="G255" s="5">
        <f ca="1">IFERROR(__xludf.DUMMYFUNCTION("""COMPUTED_VALUE"""),2853)</f>
        <v>2853</v>
      </c>
      <c r="H255" s="5">
        <f ca="1">IFERROR(__xludf.DUMMYFUNCTION("""COMPUTED_VALUE"""),716)</f>
        <v>716</v>
      </c>
      <c r="I255">
        <v>-30</v>
      </c>
      <c r="J255">
        <v>-11</v>
      </c>
      <c r="K255">
        <v>-54</v>
      </c>
      <c r="L255">
        <v>-40</v>
      </c>
      <c r="M255">
        <v>-31</v>
      </c>
      <c r="N255">
        <v>13</v>
      </c>
      <c r="O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8621</v>
      </c>
      <c r="AE255">
        <v>786</v>
      </c>
      <c r="AF255">
        <v>7835</v>
      </c>
      <c r="AG255" s="2">
        <v>9.1172717779999995E-2</v>
      </c>
      <c r="AH255" t="s">
        <v>31</v>
      </c>
      <c r="AI255" s="4">
        <v>2377</v>
      </c>
      <c r="AJ255" s="4">
        <v>102844</v>
      </c>
      <c r="AK255" s="4">
        <v>6050</v>
      </c>
      <c r="AL255" s="4">
        <v>1472</v>
      </c>
      <c r="AM255" s="4">
        <v>112743</v>
      </c>
      <c r="AN255" s="5">
        <f ca="1">IFERROR(__xludf.DUMMYFUNCTION("""COMPUTED_VALUE"""),-348)</f>
        <v>-348</v>
      </c>
    </row>
    <row r="256" spans="1:40" x14ac:dyDescent="0.35">
      <c r="A256" s="1">
        <v>255</v>
      </c>
      <c r="B256" s="7">
        <v>44145</v>
      </c>
      <c r="C256">
        <v>14</v>
      </c>
      <c r="D256">
        <v>1300</v>
      </c>
      <c r="E256">
        <v>-326</v>
      </c>
      <c r="F256">
        <v>25</v>
      </c>
      <c r="G256" s="5">
        <f ca="1">IFERROR(__xludf.DUMMYFUNCTION("""COMPUTED_VALUE"""),3779)</f>
        <v>3779</v>
      </c>
      <c r="H256" s="5">
        <f ca="1">IFERROR(__xludf.DUMMYFUNCTION("""COMPUTED_VALUE"""),1013)</f>
        <v>1013</v>
      </c>
      <c r="I256">
        <v>-32</v>
      </c>
      <c r="J256">
        <v>-12</v>
      </c>
      <c r="K256">
        <v>-53</v>
      </c>
      <c r="L256">
        <v>-39</v>
      </c>
      <c r="M256">
        <v>-33</v>
      </c>
      <c r="N256">
        <v>13</v>
      </c>
      <c r="O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13812</v>
      </c>
      <c r="AE256">
        <v>1028</v>
      </c>
      <c r="AF256">
        <v>12784</v>
      </c>
      <c r="AG256" s="2">
        <v>7.4428033589999998E-2</v>
      </c>
      <c r="AH256" t="s">
        <v>31</v>
      </c>
      <c r="AI256" s="4">
        <v>2391</v>
      </c>
      <c r="AJ256" s="4">
        <v>104144</v>
      </c>
      <c r="AK256" s="4">
        <v>5724</v>
      </c>
      <c r="AL256" s="4">
        <v>1497</v>
      </c>
      <c r="AM256" s="4">
        <v>113756</v>
      </c>
      <c r="AN256" s="5">
        <f ca="1">IFERROR(__xludf.DUMMYFUNCTION("""COMPUTED_VALUE"""),-301)</f>
        <v>-301</v>
      </c>
    </row>
    <row r="257" spans="1:40" x14ac:dyDescent="0.35">
      <c r="A257" s="1">
        <v>256</v>
      </c>
      <c r="B257" s="7">
        <v>44146</v>
      </c>
      <c r="C257">
        <v>12</v>
      </c>
      <c r="D257">
        <v>973</v>
      </c>
      <c r="E257">
        <v>-563</v>
      </c>
      <c r="F257">
        <v>165</v>
      </c>
      <c r="G257" s="5">
        <f ca="1">IFERROR(__xludf.DUMMYFUNCTION("""COMPUTED_VALUE"""),3770)</f>
        <v>3770</v>
      </c>
      <c r="H257" s="5">
        <f ca="1">IFERROR(__xludf.DUMMYFUNCTION("""COMPUTED_VALUE"""),587)</f>
        <v>587</v>
      </c>
      <c r="I257">
        <v>-29</v>
      </c>
      <c r="J257">
        <v>-11</v>
      </c>
      <c r="K257">
        <v>-53</v>
      </c>
      <c r="L257">
        <v>-40</v>
      </c>
      <c r="M257">
        <v>-31</v>
      </c>
      <c r="N257">
        <v>13</v>
      </c>
      <c r="O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12981</v>
      </c>
      <c r="AE257">
        <v>971</v>
      </c>
      <c r="AF257">
        <v>12010</v>
      </c>
      <c r="AG257" s="2">
        <v>7.4801633160000006E-2</v>
      </c>
      <c r="AH257" t="s">
        <v>31</v>
      </c>
      <c r="AI257" s="4">
        <v>2403</v>
      </c>
      <c r="AJ257" s="4">
        <v>105117</v>
      </c>
      <c r="AK257" s="4">
        <v>5161</v>
      </c>
      <c r="AL257" s="4">
        <v>1662</v>
      </c>
      <c r="AM257" s="4">
        <v>114343</v>
      </c>
      <c r="AN257" s="5">
        <f ca="1">IFERROR(__xludf.DUMMYFUNCTION("""COMPUTED_VALUE"""),-398)</f>
        <v>-398</v>
      </c>
    </row>
    <row r="258" spans="1:40" x14ac:dyDescent="0.35">
      <c r="A258" s="1">
        <v>257</v>
      </c>
      <c r="B258" s="7">
        <v>44147</v>
      </c>
      <c r="C258">
        <v>11</v>
      </c>
      <c r="D258">
        <v>1072</v>
      </c>
      <c r="E258">
        <v>-283</v>
      </c>
      <c r="F258">
        <v>31</v>
      </c>
      <c r="G258" s="5">
        <f ca="1">IFERROR(__xludf.DUMMYFUNCTION("""COMPUTED_VALUE"""),4173)</f>
        <v>4173</v>
      </c>
      <c r="H258" s="5">
        <f ca="1">IFERROR(__xludf.DUMMYFUNCTION("""COMPUTED_VALUE"""),831)</f>
        <v>831</v>
      </c>
      <c r="I258">
        <v>-30</v>
      </c>
      <c r="J258">
        <v>-12</v>
      </c>
      <c r="K258">
        <v>-52</v>
      </c>
      <c r="L258">
        <v>-40</v>
      </c>
      <c r="M258">
        <v>-32</v>
      </c>
      <c r="N258">
        <v>13</v>
      </c>
      <c r="O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13451</v>
      </c>
      <c r="AE258">
        <v>1020</v>
      </c>
      <c r="AF258">
        <v>12431</v>
      </c>
      <c r="AG258" s="2">
        <v>7.583079325E-2</v>
      </c>
      <c r="AH258" t="s">
        <v>31</v>
      </c>
      <c r="AI258" s="4">
        <v>2414</v>
      </c>
      <c r="AJ258" s="4">
        <v>106189</v>
      </c>
      <c r="AK258" s="4">
        <v>4878</v>
      </c>
      <c r="AL258" s="4">
        <v>1693</v>
      </c>
      <c r="AM258" s="4">
        <v>115174</v>
      </c>
      <c r="AN258" s="5">
        <f ca="1">IFERROR(__xludf.DUMMYFUNCTION("""COMPUTED_VALUE"""),-252)</f>
        <v>-252</v>
      </c>
    </row>
    <row r="259" spans="1:40" x14ac:dyDescent="0.35">
      <c r="A259" s="1">
        <v>258</v>
      </c>
      <c r="B259" s="7">
        <v>44148</v>
      </c>
      <c r="C259">
        <v>14</v>
      </c>
      <c r="D259">
        <v>958</v>
      </c>
      <c r="E259">
        <v>150</v>
      </c>
      <c r="F259">
        <v>-89</v>
      </c>
      <c r="G259" s="5">
        <f ca="1">IFERROR(__xludf.DUMMYFUNCTION("""COMPUTED_VALUE"""),5444)</f>
        <v>5444</v>
      </c>
      <c r="H259" s="5">
        <f ca="1">IFERROR(__xludf.DUMMYFUNCTION("""COMPUTED_VALUE"""),1033)</f>
        <v>1033</v>
      </c>
      <c r="I259">
        <v>-26</v>
      </c>
      <c r="J259">
        <v>-9</v>
      </c>
      <c r="K259">
        <v>-44</v>
      </c>
      <c r="L259">
        <v>-38</v>
      </c>
      <c r="M259">
        <v>-30</v>
      </c>
      <c r="N259">
        <v>13</v>
      </c>
      <c r="O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10812</v>
      </c>
      <c r="AE259">
        <v>987</v>
      </c>
      <c r="AF259">
        <v>9825</v>
      </c>
      <c r="AG259" s="2">
        <v>9.1287458380000006E-2</v>
      </c>
      <c r="AH259" t="s">
        <v>31</v>
      </c>
      <c r="AI259" s="4">
        <v>2428</v>
      </c>
      <c r="AJ259" s="4">
        <v>107147</v>
      </c>
      <c r="AK259" s="4">
        <v>5028</v>
      </c>
      <c r="AL259" s="4">
        <v>1604</v>
      </c>
      <c r="AM259" s="4">
        <v>116207</v>
      </c>
      <c r="AN259" s="5">
        <f ca="1">IFERROR(__xludf.DUMMYFUNCTION("""COMPUTED_VALUE"""),61)</f>
        <v>61</v>
      </c>
    </row>
    <row r="260" spans="1:40" x14ac:dyDescent="0.35">
      <c r="A260" s="1">
        <v>259</v>
      </c>
      <c r="B260" s="7">
        <v>44149</v>
      </c>
      <c r="C260">
        <v>13</v>
      </c>
      <c r="D260">
        <v>1062</v>
      </c>
      <c r="E260">
        <v>-318</v>
      </c>
      <c r="F260">
        <v>498</v>
      </c>
      <c r="G260" s="5">
        <f ca="1">IFERROR(__xludf.DUMMYFUNCTION("""COMPUTED_VALUE"""),5272)</f>
        <v>5272</v>
      </c>
      <c r="H260" s="5">
        <f ca="1">IFERROR(__xludf.DUMMYFUNCTION("""COMPUTED_VALUE"""),1255)</f>
        <v>1255</v>
      </c>
      <c r="I260">
        <v>-28</v>
      </c>
      <c r="J260">
        <v>-8</v>
      </c>
      <c r="K260">
        <v>-45</v>
      </c>
      <c r="L260">
        <v>-30</v>
      </c>
      <c r="M260">
        <v>-17</v>
      </c>
      <c r="N260">
        <v>7</v>
      </c>
      <c r="O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12651</v>
      </c>
      <c r="AE260">
        <v>949</v>
      </c>
      <c r="AF260">
        <v>11702</v>
      </c>
      <c r="AG260" s="2">
        <v>7.5013832899999994E-2</v>
      </c>
      <c r="AH260" t="s">
        <v>31</v>
      </c>
      <c r="AI260" s="4">
        <v>2441</v>
      </c>
      <c r="AJ260" s="4">
        <v>108209</v>
      </c>
      <c r="AK260" s="4">
        <v>4710</v>
      </c>
      <c r="AL260" s="4">
        <v>2102</v>
      </c>
      <c r="AM260" s="4">
        <v>117462</v>
      </c>
      <c r="AN260" s="5">
        <f ca="1">IFERROR(__xludf.DUMMYFUNCTION("""COMPUTED_VALUE"""),180)</f>
        <v>180</v>
      </c>
    </row>
    <row r="261" spans="1:40" x14ac:dyDescent="0.35">
      <c r="A261" s="1">
        <v>260</v>
      </c>
      <c r="B261" s="7">
        <v>44150</v>
      </c>
      <c r="C261">
        <v>7</v>
      </c>
      <c r="D261">
        <v>972</v>
      </c>
      <c r="E261">
        <v>242</v>
      </c>
      <c r="F261">
        <v>-56</v>
      </c>
      <c r="G261" s="5">
        <f ca="1">IFERROR(__xludf.DUMMYFUNCTION("""COMPUTED_VALUE"""),4106)</f>
        <v>4106</v>
      </c>
      <c r="H261" s="5">
        <f ca="1">IFERROR(__xludf.DUMMYFUNCTION("""COMPUTED_VALUE"""),1165)</f>
        <v>1165</v>
      </c>
      <c r="I261">
        <v>-31</v>
      </c>
      <c r="J261">
        <v>-12</v>
      </c>
      <c r="K261">
        <v>-46</v>
      </c>
      <c r="L261">
        <v>-30</v>
      </c>
      <c r="M261">
        <v>-13</v>
      </c>
      <c r="N261">
        <v>7</v>
      </c>
      <c r="O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8081</v>
      </c>
      <c r="AE261">
        <v>844</v>
      </c>
      <c r="AF261">
        <v>7237</v>
      </c>
      <c r="AG261" s="2">
        <v>0.1044425195</v>
      </c>
      <c r="AH261" t="s">
        <v>31</v>
      </c>
      <c r="AI261" s="4">
        <v>2448</v>
      </c>
      <c r="AJ261" s="4">
        <v>109181</v>
      </c>
      <c r="AK261" s="4">
        <v>4952</v>
      </c>
      <c r="AL261" s="4">
        <v>2046</v>
      </c>
      <c r="AM261" s="4">
        <v>118627</v>
      </c>
      <c r="AN261" s="5">
        <f ca="1">IFERROR(__xludf.DUMMYFUNCTION("""COMPUTED_VALUE"""),186)</f>
        <v>186</v>
      </c>
    </row>
    <row r="262" spans="1:40" x14ac:dyDescent="0.35">
      <c r="A262" s="1">
        <v>261</v>
      </c>
      <c r="B262" s="7">
        <v>44151</v>
      </c>
      <c r="C262">
        <v>7</v>
      </c>
      <c r="D262">
        <v>1040</v>
      </c>
      <c r="E262">
        <v>-532</v>
      </c>
      <c r="F262">
        <v>491</v>
      </c>
      <c r="G262" s="5">
        <f ca="1">IFERROR(__xludf.DUMMYFUNCTION("""COMPUTED_VALUE"""),3535)</f>
        <v>3535</v>
      </c>
      <c r="H262" s="5">
        <f ca="1">IFERROR(__xludf.DUMMYFUNCTION("""COMPUTED_VALUE"""),1006)</f>
        <v>1006</v>
      </c>
      <c r="I262">
        <v>-31</v>
      </c>
      <c r="J262">
        <v>-12</v>
      </c>
      <c r="K262">
        <v>-53</v>
      </c>
      <c r="L262">
        <v>-40</v>
      </c>
      <c r="M262">
        <v>-31</v>
      </c>
      <c r="N262">
        <v>13</v>
      </c>
      <c r="O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11913</v>
      </c>
      <c r="AE262">
        <v>1158</v>
      </c>
      <c r="AF262">
        <v>10755</v>
      </c>
      <c r="AG262" s="2">
        <v>9.720473432E-2</v>
      </c>
      <c r="AH262" t="s">
        <v>31</v>
      </c>
      <c r="AI262" s="4">
        <v>2455</v>
      </c>
      <c r="AJ262" s="4">
        <v>110221</v>
      </c>
      <c r="AK262" s="4">
        <v>4420</v>
      </c>
      <c r="AL262" s="4">
        <v>2537</v>
      </c>
      <c r="AM262" s="4">
        <v>119633</v>
      </c>
      <c r="AN262" s="5">
        <f ca="1">IFERROR(__xludf.DUMMYFUNCTION("""COMPUTED_VALUE"""),-41)</f>
        <v>-41</v>
      </c>
    </row>
    <row r="263" spans="1:40" x14ac:dyDescent="0.35">
      <c r="A263" s="1">
        <v>262</v>
      </c>
      <c r="B263" s="7">
        <v>44152</v>
      </c>
      <c r="C263">
        <v>4</v>
      </c>
      <c r="D263">
        <v>875</v>
      </c>
      <c r="E263">
        <v>-65</v>
      </c>
      <c r="F263">
        <v>224</v>
      </c>
      <c r="G263" s="5">
        <f ca="1">IFERROR(__xludf.DUMMYFUNCTION("""COMPUTED_VALUE"""),3807)</f>
        <v>3807</v>
      </c>
      <c r="H263" s="5">
        <f ca="1">IFERROR(__xludf.DUMMYFUNCTION("""COMPUTED_VALUE"""),1038)</f>
        <v>1038</v>
      </c>
      <c r="I263">
        <v>-32</v>
      </c>
      <c r="J263">
        <v>-13</v>
      </c>
      <c r="K263">
        <v>-54</v>
      </c>
      <c r="L263">
        <v>-40</v>
      </c>
      <c r="M263">
        <v>-32</v>
      </c>
      <c r="N263">
        <v>13</v>
      </c>
      <c r="O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14981</v>
      </c>
      <c r="AE263">
        <v>1239</v>
      </c>
      <c r="AF263">
        <v>13742</v>
      </c>
      <c r="AG263" s="2">
        <v>8.2704759360000005E-2</v>
      </c>
      <c r="AH263" t="s">
        <v>31</v>
      </c>
      <c r="AI263" s="4">
        <v>2459</v>
      </c>
      <c r="AJ263" s="4">
        <v>111096</v>
      </c>
      <c r="AK263" s="4">
        <v>4355</v>
      </c>
      <c r="AL263" s="4">
        <v>2761</v>
      </c>
      <c r="AM263" s="4">
        <v>120671</v>
      </c>
      <c r="AN263" s="5">
        <f ca="1">IFERROR(__xludf.DUMMYFUNCTION("""COMPUTED_VALUE"""),159)</f>
        <v>159</v>
      </c>
    </row>
    <row r="264" spans="1:40" x14ac:dyDescent="0.35">
      <c r="A264" s="1">
        <v>263</v>
      </c>
      <c r="B264" s="7">
        <v>44153</v>
      </c>
      <c r="C264">
        <v>11</v>
      </c>
      <c r="D264">
        <v>852</v>
      </c>
      <c r="E264">
        <v>264</v>
      </c>
      <c r="F264">
        <v>20</v>
      </c>
      <c r="G264" s="5">
        <f ca="1">IFERROR(__xludf.DUMMYFUNCTION("""COMPUTED_VALUE"""),4265)</f>
        <v>4265</v>
      </c>
      <c r="H264" s="5">
        <f ca="1">IFERROR(__xludf.DUMMYFUNCTION("""COMPUTED_VALUE"""),1147)</f>
        <v>1147</v>
      </c>
      <c r="I264">
        <v>-32</v>
      </c>
      <c r="J264">
        <v>-14</v>
      </c>
      <c r="K264">
        <v>-54</v>
      </c>
      <c r="L264">
        <v>-41</v>
      </c>
      <c r="M264">
        <v>-31</v>
      </c>
      <c r="N264">
        <v>13</v>
      </c>
      <c r="O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12891</v>
      </c>
      <c r="AE264">
        <v>1137</v>
      </c>
      <c r="AF264">
        <v>11754</v>
      </c>
      <c r="AG264" s="2">
        <v>8.8201070509999993E-2</v>
      </c>
      <c r="AH264" t="s">
        <v>31</v>
      </c>
      <c r="AI264" s="4">
        <v>2470</v>
      </c>
      <c r="AJ264" s="4">
        <v>111948</v>
      </c>
      <c r="AK264" s="4">
        <v>4619</v>
      </c>
      <c r="AL264" s="4">
        <v>2781</v>
      </c>
      <c r="AM264" s="4">
        <v>121818</v>
      </c>
      <c r="AN264" s="5">
        <f ca="1">IFERROR(__xludf.DUMMYFUNCTION("""COMPUTED_VALUE"""),284)</f>
        <v>284</v>
      </c>
    </row>
    <row r="265" spans="1:40" x14ac:dyDescent="0.35">
      <c r="A265" s="1">
        <v>264</v>
      </c>
      <c r="B265" s="7">
        <v>44154</v>
      </c>
      <c r="C265">
        <v>14</v>
      </c>
      <c r="D265">
        <v>885</v>
      </c>
      <c r="E265">
        <v>14</v>
      </c>
      <c r="F265">
        <v>272</v>
      </c>
      <c r="G265" s="5">
        <f ca="1">IFERROR(__xludf.DUMMYFUNCTION("""COMPUTED_VALUE"""),4798)</f>
        <v>4798</v>
      </c>
      <c r="H265" s="5">
        <f ca="1">IFERROR(__xludf.DUMMYFUNCTION("""COMPUTED_VALUE"""),1185)</f>
        <v>1185</v>
      </c>
      <c r="I265">
        <v>-30</v>
      </c>
      <c r="J265">
        <v>-12</v>
      </c>
      <c r="K265">
        <v>-51</v>
      </c>
      <c r="L265">
        <v>-41</v>
      </c>
      <c r="M265">
        <v>-31</v>
      </c>
      <c r="N265">
        <v>13</v>
      </c>
      <c r="O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13251</v>
      </c>
      <c r="AE265">
        <v>1205</v>
      </c>
      <c r="AF265">
        <v>12046</v>
      </c>
      <c r="AG265" s="2">
        <v>9.0936533089999994E-2</v>
      </c>
      <c r="AH265" t="s">
        <v>31</v>
      </c>
      <c r="AI265" s="4">
        <v>2484</v>
      </c>
      <c r="AJ265" s="4">
        <v>112833</v>
      </c>
      <c r="AK265" s="4">
        <v>4633</v>
      </c>
      <c r="AL265" s="4">
        <v>3053</v>
      </c>
      <c r="AM265" s="4">
        <v>123003</v>
      </c>
      <c r="AN265" s="5">
        <f ca="1">IFERROR(__xludf.DUMMYFUNCTION("""COMPUTED_VALUE"""),286)</f>
        <v>286</v>
      </c>
    </row>
    <row r="266" spans="1:40" x14ac:dyDescent="0.35">
      <c r="A266" s="1">
        <v>265</v>
      </c>
      <c r="B266" s="7">
        <v>44155</v>
      </c>
      <c r="C266">
        <v>17</v>
      </c>
      <c r="D266">
        <v>906</v>
      </c>
      <c r="E266">
        <v>-17</v>
      </c>
      <c r="F266">
        <v>334</v>
      </c>
      <c r="G266" s="5">
        <f ca="1">IFERROR(__xludf.DUMMYFUNCTION("""COMPUTED_VALUE"""),4792)</f>
        <v>4792</v>
      </c>
      <c r="H266" s="5">
        <f ca="1">IFERROR(__xludf.DUMMYFUNCTION("""COMPUTED_VALUE"""),1240)</f>
        <v>1240</v>
      </c>
      <c r="I266">
        <v>-27</v>
      </c>
      <c r="J266">
        <v>-9</v>
      </c>
      <c r="K266">
        <v>-44</v>
      </c>
      <c r="L266">
        <v>-40</v>
      </c>
      <c r="M266">
        <v>-30</v>
      </c>
      <c r="N266">
        <v>14</v>
      </c>
      <c r="O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13988</v>
      </c>
      <c r="AE266">
        <v>1216</v>
      </c>
      <c r="AF266">
        <v>12772</v>
      </c>
      <c r="AG266" s="2">
        <v>8.6931655699999999E-2</v>
      </c>
      <c r="AH266" t="s">
        <v>31</v>
      </c>
      <c r="AI266" s="4">
        <v>2501</v>
      </c>
      <c r="AJ266" s="4">
        <v>113739</v>
      </c>
      <c r="AK266" s="4">
        <v>4616</v>
      </c>
      <c r="AL266" s="4">
        <v>3387</v>
      </c>
      <c r="AM266" s="4">
        <v>124243</v>
      </c>
      <c r="AN266" s="5">
        <f ca="1">IFERROR(__xludf.DUMMYFUNCTION("""COMPUTED_VALUE"""),317)</f>
        <v>317</v>
      </c>
    </row>
    <row r="267" spans="1:40" x14ac:dyDescent="0.35">
      <c r="A267" s="1">
        <v>266</v>
      </c>
      <c r="B267" s="7">
        <v>44156</v>
      </c>
      <c r="C267">
        <v>14</v>
      </c>
      <c r="D267">
        <v>1124</v>
      </c>
      <c r="E267">
        <v>707</v>
      </c>
      <c r="F267">
        <v>-266</v>
      </c>
      <c r="G267" s="5">
        <f ca="1">IFERROR(__xludf.DUMMYFUNCTION("""COMPUTED_VALUE"""),4998)</f>
        <v>4998</v>
      </c>
      <c r="H267" s="5">
        <f ca="1">IFERROR(__xludf.DUMMYFUNCTION("""COMPUTED_VALUE"""),1579)</f>
        <v>1579</v>
      </c>
      <c r="I267">
        <v>-29</v>
      </c>
      <c r="J267">
        <v>-9</v>
      </c>
      <c r="K267">
        <v>-48</v>
      </c>
      <c r="L267">
        <v>-32</v>
      </c>
      <c r="M267">
        <v>-17</v>
      </c>
      <c r="N267">
        <v>8</v>
      </c>
      <c r="O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13781</v>
      </c>
      <c r="AE267">
        <v>1144</v>
      </c>
      <c r="AF267">
        <v>12637</v>
      </c>
      <c r="AG267" s="2">
        <v>8.3012843769999997E-2</v>
      </c>
      <c r="AH267" t="s">
        <v>31</v>
      </c>
      <c r="AI267" s="4">
        <v>2515</v>
      </c>
      <c r="AJ267" s="4">
        <v>114863</v>
      </c>
      <c r="AK267" s="4">
        <v>5323</v>
      </c>
      <c r="AL267" s="4">
        <v>3121</v>
      </c>
      <c r="AM267" s="4">
        <v>125822</v>
      </c>
      <c r="AN267" s="5">
        <f ca="1">IFERROR(__xludf.DUMMYFUNCTION("""COMPUTED_VALUE"""),441)</f>
        <v>441</v>
      </c>
    </row>
    <row r="268" spans="1:40" x14ac:dyDescent="0.35">
      <c r="A268" s="1">
        <v>267</v>
      </c>
      <c r="B268" s="7">
        <v>44157</v>
      </c>
      <c r="C268">
        <v>16</v>
      </c>
      <c r="D268">
        <v>1076</v>
      </c>
      <c r="E268">
        <v>206</v>
      </c>
      <c r="F268">
        <v>44</v>
      </c>
      <c r="G268" s="5">
        <f ca="1">IFERROR(__xludf.DUMMYFUNCTION("""COMPUTED_VALUE"""),4360)</f>
        <v>4360</v>
      </c>
      <c r="H268" s="5">
        <f ca="1">IFERROR(__xludf.DUMMYFUNCTION("""COMPUTED_VALUE"""),1342)</f>
        <v>1342</v>
      </c>
      <c r="I268">
        <v>-33</v>
      </c>
      <c r="J268">
        <v>-14</v>
      </c>
      <c r="K268">
        <v>-51</v>
      </c>
      <c r="L268">
        <v>-32</v>
      </c>
      <c r="M268">
        <v>-14</v>
      </c>
      <c r="N268">
        <v>8</v>
      </c>
      <c r="O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8991</v>
      </c>
      <c r="AE268">
        <v>1009</v>
      </c>
      <c r="AF268">
        <v>7982</v>
      </c>
      <c r="AG268" s="2">
        <v>0.1122233344</v>
      </c>
      <c r="AH268" t="s">
        <v>31</v>
      </c>
      <c r="AI268" s="4">
        <v>2531</v>
      </c>
      <c r="AJ268" s="4">
        <v>115939</v>
      </c>
      <c r="AK268" s="4">
        <v>5529</v>
      </c>
      <c r="AL268" s="4">
        <v>3165</v>
      </c>
      <c r="AM268" s="4">
        <v>127164</v>
      </c>
      <c r="AN268" s="5">
        <f ca="1">IFERROR(__xludf.DUMMYFUNCTION("""COMPUTED_VALUE"""),250)</f>
        <v>250</v>
      </c>
    </row>
    <row r="269" spans="1:40" x14ac:dyDescent="0.35">
      <c r="A269" s="1">
        <v>268</v>
      </c>
      <c r="B269" s="7">
        <v>44158</v>
      </c>
      <c r="C269">
        <v>17</v>
      </c>
      <c r="D269">
        <v>1064</v>
      </c>
      <c r="E269">
        <v>63</v>
      </c>
      <c r="F269">
        <v>-135</v>
      </c>
      <c r="G269" s="5">
        <f ca="1">IFERROR(__xludf.DUMMYFUNCTION("""COMPUTED_VALUE"""),4442)</f>
        <v>4442</v>
      </c>
      <c r="H269" s="5">
        <f ca="1">IFERROR(__xludf.DUMMYFUNCTION("""COMPUTED_VALUE"""),1009)</f>
        <v>1009</v>
      </c>
      <c r="I269">
        <v>-32</v>
      </c>
      <c r="J269">
        <v>-15</v>
      </c>
      <c r="K269">
        <v>-55</v>
      </c>
      <c r="L269">
        <v>-42</v>
      </c>
      <c r="M269">
        <v>-31</v>
      </c>
      <c r="N269">
        <v>13</v>
      </c>
      <c r="O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14101</v>
      </c>
      <c r="AE269">
        <v>1202</v>
      </c>
      <c r="AF269">
        <v>12899</v>
      </c>
      <c r="AG269" s="2">
        <v>8.5242181410000006E-2</v>
      </c>
      <c r="AH269" t="s">
        <v>31</v>
      </c>
      <c r="AI269" s="4">
        <v>2548</v>
      </c>
      <c r="AJ269" s="4">
        <v>117003</v>
      </c>
      <c r="AK269" s="4">
        <v>5592</v>
      </c>
      <c r="AL269" s="4">
        <v>3030</v>
      </c>
      <c r="AM269" s="4">
        <v>128173</v>
      </c>
      <c r="AN269" s="5">
        <f ca="1">IFERROR(__xludf.DUMMYFUNCTION("""COMPUTED_VALUE"""),-72)</f>
        <v>-72</v>
      </c>
    </row>
    <row r="270" spans="1:40" x14ac:dyDescent="0.35">
      <c r="A270" s="1">
        <v>269</v>
      </c>
      <c r="B270" s="7">
        <v>44159</v>
      </c>
      <c r="C270">
        <v>19</v>
      </c>
      <c r="D270">
        <v>1059</v>
      </c>
      <c r="E270">
        <v>-74</v>
      </c>
      <c r="F270">
        <v>11</v>
      </c>
      <c r="G270" s="5">
        <f ca="1">IFERROR(__xludf.DUMMYFUNCTION("""COMPUTED_VALUE"""),4192)</f>
        <v>4192</v>
      </c>
      <c r="H270" s="5">
        <f ca="1">IFERROR(__xludf.DUMMYFUNCTION("""COMPUTED_VALUE"""),1015)</f>
        <v>1015</v>
      </c>
      <c r="I270">
        <v>-35</v>
      </c>
      <c r="J270">
        <v>-18</v>
      </c>
      <c r="K270">
        <v>-57</v>
      </c>
      <c r="L270">
        <v>-41</v>
      </c>
      <c r="M270">
        <v>-32</v>
      </c>
      <c r="N270">
        <v>14</v>
      </c>
      <c r="O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17871</v>
      </c>
      <c r="AE270">
        <v>1291</v>
      </c>
      <c r="AF270">
        <v>16580</v>
      </c>
      <c r="AG270" s="2">
        <v>7.223994181E-2</v>
      </c>
      <c r="AH270" t="s">
        <v>31</v>
      </c>
      <c r="AI270" s="4">
        <v>2567</v>
      </c>
      <c r="AJ270" s="4">
        <v>118062</v>
      </c>
      <c r="AK270" s="4">
        <v>5518</v>
      </c>
      <c r="AL270" s="4">
        <v>3041</v>
      </c>
      <c r="AM270" s="4">
        <v>129188</v>
      </c>
      <c r="AN270" s="5">
        <f ca="1">IFERROR(__xludf.DUMMYFUNCTION("""COMPUTED_VALUE"""),-63)</f>
        <v>-63</v>
      </c>
    </row>
    <row r="271" spans="1:40" x14ac:dyDescent="0.35">
      <c r="A271" s="1">
        <v>270</v>
      </c>
      <c r="B271" s="7">
        <v>44160</v>
      </c>
      <c r="C271">
        <v>17</v>
      </c>
      <c r="D271">
        <v>1037</v>
      </c>
      <c r="E271">
        <v>482</v>
      </c>
      <c r="F271">
        <v>-263</v>
      </c>
      <c r="G271" s="5">
        <f ca="1">IFERROR(__xludf.DUMMYFUNCTION("""COMPUTED_VALUE"""),5534)</f>
        <v>5534</v>
      </c>
      <c r="H271" s="5">
        <f ca="1">IFERROR(__xludf.DUMMYFUNCTION("""COMPUTED_VALUE"""),1273)</f>
        <v>1273</v>
      </c>
      <c r="I271">
        <v>-28</v>
      </c>
      <c r="J271">
        <v>-9</v>
      </c>
      <c r="K271">
        <v>-52</v>
      </c>
      <c r="L271">
        <v>-39</v>
      </c>
      <c r="M271">
        <v>-31</v>
      </c>
      <c r="N271">
        <v>12</v>
      </c>
      <c r="O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15381</v>
      </c>
      <c r="AE271">
        <v>1124</v>
      </c>
      <c r="AF271">
        <v>14257</v>
      </c>
      <c r="AG271" s="2">
        <v>7.3077173140000007E-2</v>
      </c>
      <c r="AH271" t="s">
        <v>31</v>
      </c>
      <c r="AI271" s="4">
        <v>2584</v>
      </c>
      <c r="AJ271" s="4">
        <v>119099</v>
      </c>
      <c r="AK271" s="4">
        <v>6000</v>
      </c>
      <c r="AL271" s="4">
        <v>2778</v>
      </c>
      <c r="AM271" s="4">
        <v>130461</v>
      </c>
      <c r="AN271" s="5">
        <f ca="1">IFERROR(__xludf.DUMMYFUNCTION("""COMPUTED_VALUE"""),219)</f>
        <v>219</v>
      </c>
    </row>
    <row r="272" spans="1:40" x14ac:dyDescent="0.35">
      <c r="A272" s="1">
        <v>271</v>
      </c>
      <c r="B272" s="7">
        <v>44161</v>
      </c>
      <c r="C272">
        <v>13</v>
      </c>
      <c r="D272">
        <v>1188</v>
      </c>
      <c r="E272">
        <v>-124</v>
      </c>
      <c r="F272">
        <v>-13</v>
      </c>
      <c r="G272" s="5">
        <f ca="1">IFERROR(__xludf.DUMMYFUNCTION("""COMPUTED_VALUE"""),4917)</f>
        <v>4917</v>
      </c>
      <c r="H272" s="5">
        <f ca="1">IFERROR(__xludf.DUMMYFUNCTION("""COMPUTED_VALUE"""),1064)</f>
        <v>1064</v>
      </c>
      <c r="I272">
        <v>-25</v>
      </c>
      <c r="J272">
        <v>-5</v>
      </c>
      <c r="K272">
        <v>-46</v>
      </c>
      <c r="L272">
        <v>-37</v>
      </c>
      <c r="M272">
        <v>-31</v>
      </c>
      <c r="N272">
        <v>11</v>
      </c>
      <c r="O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15821</v>
      </c>
      <c r="AE272">
        <v>1285</v>
      </c>
      <c r="AF272">
        <v>14536</v>
      </c>
      <c r="AG272" s="2">
        <v>8.1221161750000007E-2</v>
      </c>
      <c r="AH272" t="s">
        <v>31</v>
      </c>
      <c r="AI272" s="4">
        <v>2597</v>
      </c>
      <c r="AJ272" s="4">
        <v>120287</v>
      </c>
      <c r="AK272" s="4">
        <v>5876</v>
      </c>
      <c r="AL272" s="4">
        <v>2765</v>
      </c>
      <c r="AM272" s="4">
        <v>131525</v>
      </c>
      <c r="AN272" s="5">
        <f ca="1">IFERROR(__xludf.DUMMYFUNCTION("""COMPUTED_VALUE"""),-137)</f>
        <v>-137</v>
      </c>
    </row>
    <row r="273" spans="1:40" x14ac:dyDescent="0.35">
      <c r="A273" s="1">
        <v>272</v>
      </c>
      <c r="B273" s="7">
        <v>44162</v>
      </c>
      <c r="C273">
        <v>17</v>
      </c>
      <c r="D273">
        <v>795</v>
      </c>
      <c r="E273">
        <v>777</v>
      </c>
      <c r="F273">
        <v>-153</v>
      </c>
      <c r="G273" s="5">
        <f ca="1">IFERROR(__xludf.DUMMYFUNCTION("""COMPUTED_VALUE"""),5828)</f>
        <v>5828</v>
      </c>
      <c r="H273" s="5">
        <f ca="1">IFERROR(__xludf.DUMMYFUNCTION("""COMPUTED_VALUE"""),1436)</f>
        <v>1436</v>
      </c>
      <c r="I273">
        <v>-25</v>
      </c>
      <c r="J273">
        <v>-8</v>
      </c>
      <c r="K273">
        <v>-43</v>
      </c>
      <c r="L273">
        <v>-38</v>
      </c>
      <c r="M273">
        <v>-30</v>
      </c>
      <c r="N273">
        <v>13</v>
      </c>
      <c r="O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15122</v>
      </c>
      <c r="AE273">
        <v>1320</v>
      </c>
      <c r="AF273">
        <v>13802</v>
      </c>
      <c r="AG273" s="2">
        <v>8.7290040999999999E-2</v>
      </c>
      <c r="AH273" t="s">
        <v>31</v>
      </c>
      <c r="AI273" s="4">
        <v>2614</v>
      </c>
      <c r="AJ273" s="4">
        <v>121082</v>
      </c>
      <c r="AK273" s="4">
        <v>6653</v>
      </c>
      <c r="AL273" s="4">
        <v>2612</v>
      </c>
      <c r="AM273" s="4">
        <v>132961</v>
      </c>
      <c r="AN273" s="5">
        <f ca="1">IFERROR(__xludf.DUMMYFUNCTION("""COMPUTED_VALUE"""),624)</f>
        <v>624</v>
      </c>
    </row>
    <row r="274" spans="1:40" x14ac:dyDescent="0.35">
      <c r="A274" s="1">
        <v>273</v>
      </c>
      <c r="B274" s="7">
        <v>44163</v>
      </c>
      <c r="C274">
        <v>18</v>
      </c>
      <c r="D274">
        <v>1246</v>
      </c>
      <c r="E274">
        <v>268</v>
      </c>
      <c r="F274">
        <v>-162</v>
      </c>
      <c r="G274" s="5">
        <f ca="1">IFERROR(__xludf.DUMMYFUNCTION("""COMPUTED_VALUE"""),5418)</f>
        <v>5418</v>
      </c>
      <c r="H274" s="5">
        <f ca="1">IFERROR(__xludf.DUMMYFUNCTION("""COMPUTED_VALUE"""),1370)</f>
        <v>1370</v>
      </c>
      <c r="I274">
        <v>-23</v>
      </c>
      <c r="J274">
        <v>1</v>
      </c>
      <c r="K274">
        <v>-41</v>
      </c>
      <c r="L274">
        <v>-27</v>
      </c>
      <c r="M274">
        <v>-17</v>
      </c>
      <c r="N274">
        <v>6</v>
      </c>
      <c r="O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14412</v>
      </c>
      <c r="AE274">
        <v>1140</v>
      </c>
      <c r="AF274">
        <v>13272</v>
      </c>
      <c r="AG274" s="2">
        <v>7.9100749380000002E-2</v>
      </c>
      <c r="AH274" t="s">
        <v>31</v>
      </c>
      <c r="AI274" s="4">
        <v>2632</v>
      </c>
      <c r="AJ274" s="4">
        <v>122328</v>
      </c>
      <c r="AK274" s="4">
        <v>6921</v>
      </c>
      <c r="AL274" s="4">
        <v>2450</v>
      </c>
      <c r="AM274" s="4">
        <v>134331</v>
      </c>
      <c r="AN274" s="5">
        <f ca="1">IFERROR(__xludf.DUMMYFUNCTION("""COMPUTED_VALUE"""),106)</f>
        <v>106</v>
      </c>
    </row>
    <row r="275" spans="1:40" x14ac:dyDescent="0.35">
      <c r="A275" s="1">
        <v>274</v>
      </c>
      <c r="B275" s="7">
        <v>44164</v>
      </c>
      <c r="C275">
        <v>20</v>
      </c>
      <c r="D275">
        <v>835</v>
      </c>
      <c r="E275">
        <v>687</v>
      </c>
      <c r="F275">
        <v>-111</v>
      </c>
      <c r="G275" s="5">
        <f ca="1">IFERROR(__xludf.DUMMYFUNCTION("""COMPUTED_VALUE"""),6267)</f>
        <v>6267</v>
      </c>
      <c r="H275" s="5">
        <f ca="1">IFERROR(__xludf.DUMMYFUNCTION("""COMPUTED_VALUE"""),1431)</f>
        <v>1431</v>
      </c>
      <c r="I275">
        <v>-29</v>
      </c>
      <c r="J275">
        <v>-9</v>
      </c>
      <c r="K275">
        <v>-49</v>
      </c>
      <c r="L275">
        <v>-29</v>
      </c>
      <c r="M275">
        <v>-13</v>
      </c>
      <c r="N275">
        <v>6</v>
      </c>
      <c r="O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7983</v>
      </c>
      <c r="AE275">
        <v>907</v>
      </c>
      <c r="AF275">
        <v>7076</v>
      </c>
      <c r="AG275" s="2">
        <v>0.11361643489999999</v>
      </c>
      <c r="AH275" t="s">
        <v>31</v>
      </c>
      <c r="AI275" s="4">
        <v>2652</v>
      </c>
      <c r="AJ275" s="4">
        <v>123163</v>
      </c>
      <c r="AK275" s="4">
        <v>7608</v>
      </c>
      <c r="AL275" s="4">
        <v>2339</v>
      </c>
      <c r="AM275" s="4">
        <v>135762</v>
      </c>
      <c r="AN275" s="5">
        <f ca="1">IFERROR(__xludf.DUMMYFUNCTION("""COMPUTED_VALUE"""),576)</f>
        <v>576</v>
      </c>
    </row>
    <row r="276" spans="1:40" x14ac:dyDescent="0.35">
      <c r="A276" s="1">
        <v>275</v>
      </c>
      <c r="B276" s="7">
        <v>44165</v>
      </c>
      <c r="C276">
        <v>19</v>
      </c>
      <c r="D276">
        <v>915</v>
      </c>
      <c r="E276">
        <v>215</v>
      </c>
      <c r="F276">
        <v>-50</v>
      </c>
      <c r="G276" s="5">
        <f ca="1">IFERROR(__xludf.DUMMYFUNCTION("""COMPUTED_VALUE"""),4617)</f>
        <v>4617</v>
      </c>
      <c r="H276" s="5">
        <f ca="1">IFERROR(__xludf.DUMMYFUNCTION("""COMPUTED_VALUE"""),1099)</f>
        <v>1099</v>
      </c>
      <c r="I276">
        <v>-24</v>
      </c>
      <c r="J276">
        <v>0</v>
      </c>
      <c r="K276">
        <v>-48</v>
      </c>
      <c r="L276">
        <v>-37</v>
      </c>
      <c r="M276">
        <v>-30</v>
      </c>
      <c r="N276">
        <v>11</v>
      </c>
      <c r="O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14812</v>
      </c>
      <c r="AE276">
        <v>1218</v>
      </c>
      <c r="AF276">
        <v>13594</v>
      </c>
      <c r="AG276" s="2">
        <v>8.2230623820000001E-2</v>
      </c>
      <c r="AH276" t="s">
        <v>31</v>
      </c>
      <c r="AI276" s="4">
        <v>2671</v>
      </c>
      <c r="AJ276" s="4">
        <v>124078</v>
      </c>
      <c r="AK276" s="4">
        <v>7823</v>
      </c>
      <c r="AL276" s="4">
        <v>2289</v>
      </c>
      <c r="AM276" s="4">
        <v>136861</v>
      </c>
      <c r="AN276" s="5">
        <f ca="1">IFERROR(__xludf.DUMMYFUNCTION("""COMPUTED_VALUE"""),165)</f>
        <v>165</v>
      </c>
    </row>
    <row r="277" spans="1:40" x14ac:dyDescent="0.35">
      <c r="A277" s="1">
        <v>276</v>
      </c>
      <c r="B277" s="7">
        <v>44166</v>
      </c>
      <c r="C277">
        <v>18</v>
      </c>
      <c r="D277">
        <v>1024</v>
      </c>
      <c r="E277">
        <v>114</v>
      </c>
      <c r="F277">
        <v>-98</v>
      </c>
      <c r="G277" s="5">
        <f ca="1">IFERROR(__xludf.DUMMYFUNCTION("""COMPUTED_VALUE"""),5092)</f>
        <v>5092</v>
      </c>
      <c r="H277" s="5">
        <f ca="1">IFERROR(__xludf.DUMMYFUNCTION("""COMPUTED_VALUE"""),1058)</f>
        <v>1058</v>
      </c>
      <c r="I277">
        <v>-24</v>
      </c>
      <c r="J277">
        <v>1</v>
      </c>
      <c r="K277">
        <v>-47</v>
      </c>
      <c r="L277">
        <v>-36</v>
      </c>
      <c r="M277">
        <v>-31</v>
      </c>
      <c r="N277">
        <v>11</v>
      </c>
      <c r="O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17812</v>
      </c>
      <c r="AE277">
        <v>1248</v>
      </c>
      <c r="AF277">
        <v>16564</v>
      </c>
      <c r="AG277" s="2">
        <v>7.0065124640000004E-2</v>
      </c>
      <c r="AH277" t="s">
        <v>31</v>
      </c>
      <c r="AI277" s="4">
        <v>2689</v>
      </c>
      <c r="AJ277" s="4">
        <v>125102</v>
      </c>
      <c r="AK277" s="4">
        <v>7937</v>
      </c>
      <c r="AL277" s="4">
        <v>2191</v>
      </c>
      <c r="AM277" s="4">
        <v>137919</v>
      </c>
      <c r="AN277" s="5">
        <f ca="1">IFERROR(__xludf.DUMMYFUNCTION("""COMPUTED_VALUE"""),16)</f>
        <v>16</v>
      </c>
    </row>
    <row r="278" spans="1:40" x14ac:dyDescent="0.35">
      <c r="A278" s="1">
        <v>277</v>
      </c>
      <c r="B278" s="7">
        <v>44167</v>
      </c>
      <c r="C278">
        <v>21</v>
      </c>
      <c r="D278">
        <v>1061</v>
      </c>
      <c r="E278">
        <v>265</v>
      </c>
      <c r="F278">
        <v>-181</v>
      </c>
      <c r="G278" s="5">
        <f ca="1">IFERROR(__xludf.DUMMYFUNCTION("""COMPUTED_VALUE"""),5533)</f>
        <v>5533</v>
      </c>
      <c r="H278" s="5">
        <f ca="1">IFERROR(__xludf.DUMMYFUNCTION("""COMPUTED_VALUE"""),1166)</f>
        <v>1166</v>
      </c>
      <c r="I278">
        <v>-24</v>
      </c>
      <c r="J278">
        <v>-3</v>
      </c>
      <c r="K278">
        <v>-47</v>
      </c>
      <c r="L278">
        <v>-38</v>
      </c>
      <c r="M278">
        <v>-30</v>
      </c>
      <c r="N278">
        <v>12</v>
      </c>
      <c r="O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14211</v>
      </c>
      <c r="AE278">
        <v>1303</v>
      </c>
      <c r="AF278">
        <v>12908</v>
      </c>
      <c r="AG278" s="2">
        <v>9.1689536269999997E-2</v>
      </c>
      <c r="AH278" t="s">
        <v>31</v>
      </c>
      <c r="AI278" s="4">
        <v>2710</v>
      </c>
      <c r="AJ278" s="4">
        <v>126163</v>
      </c>
      <c r="AK278" s="4">
        <v>8202</v>
      </c>
      <c r="AL278" s="4">
        <v>2010</v>
      </c>
      <c r="AM278" s="4">
        <v>139085</v>
      </c>
      <c r="AN278" s="5">
        <f ca="1">IFERROR(__xludf.DUMMYFUNCTION("""COMPUTED_VALUE"""),84)</f>
        <v>84</v>
      </c>
    </row>
    <row r="279" spans="1:40" x14ac:dyDescent="0.35">
      <c r="A279" s="1">
        <v>278</v>
      </c>
      <c r="B279" s="7">
        <v>44168</v>
      </c>
      <c r="C279">
        <v>24</v>
      </c>
      <c r="D279">
        <v>973</v>
      </c>
      <c r="E279">
        <v>-47</v>
      </c>
      <c r="F279">
        <v>203</v>
      </c>
      <c r="G279" s="5">
        <f ca="1">IFERROR(__xludf.DUMMYFUNCTION("""COMPUTED_VALUE"""),8369)</f>
        <v>8369</v>
      </c>
      <c r="H279" s="5">
        <f ca="1">IFERROR(__xludf.DUMMYFUNCTION("""COMPUTED_VALUE"""),1153)</f>
        <v>1153</v>
      </c>
      <c r="I279">
        <v>-26</v>
      </c>
      <c r="J279">
        <v>-6</v>
      </c>
      <c r="K279">
        <v>-48</v>
      </c>
      <c r="L279">
        <v>-40</v>
      </c>
      <c r="M279">
        <v>-32</v>
      </c>
      <c r="N279">
        <v>12</v>
      </c>
      <c r="O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14671</v>
      </c>
      <c r="AE279">
        <v>1232</v>
      </c>
      <c r="AF279">
        <v>13439</v>
      </c>
      <c r="AG279" s="2">
        <v>8.3975189150000004E-2</v>
      </c>
      <c r="AH279" t="s">
        <v>31</v>
      </c>
      <c r="AI279" s="4">
        <v>2734</v>
      </c>
      <c r="AJ279" s="4">
        <v>127136</v>
      </c>
      <c r="AK279" s="4">
        <v>8155</v>
      </c>
      <c r="AL279" s="4">
        <v>2213</v>
      </c>
      <c r="AM279" s="4">
        <v>140238</v>
      </c>
      <c r="AN279" s="5">
        <f ca="1">IFERROR(__xludf.DUMMYFUNCTION("""COMPUTED_VALUE"""),156)</f>
        <v>156</v>
      </c>
    </row>
    <row r="280" spans="1:40" x14ac:dyDescent="0.35">
      <c r="A280" s="1">
        <v>279</v>
      </c>
      <c r="B280" s="7">
        <v>44169</v>
      </c>
      <c r="C280">
        <v>23</v>
      </c>
      <c r="D280">
        <v>915</v>
      </c>
      <c r="E280">
        <v>-82</v>
      </c>
      <c r="F280">
        <v>176</v>
      </c>
      <c r="G280" s="5">
        <f ca="1">IFERROR(__xludf.DUMMYFUNCTION("""COMPUTED_VALUE"""),5803)</f>
        <v>5803</v>
      </c>
      <c r="H280" s="5">
        <f ca="1">IFERROR(__xludf.DUMMYFUNCTION("""COMPUTED_VALUE"""),1032)</f>
        <v>1032</v>
      </c>
      <c r="I280">
        <v>-23</v>
      </c>
      <c r="J280">
        <v>-2</v>
      </c>
      <c r="K280">
        <v>-43</v>
      </c>
      <c r="L280">
        <v>-37</v>
      </c>
      <c r="M280">
        <v>-30</v>
      </c>
      <c r="N280">
        <v>12</v>
      </c>
      <c r="O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16534</v>
      </c>
      <c r="AE280">
        <v>1510</v>
      </c>
      <c r="AF280">
        <v>15024</v>
      </c>
      <c r="AG280" s="2">
        <v>9.1326962619999993E-2</v>
      </c>
      <c r="AH280" t="s">
        <v>31</v>
      </c>
      <c r="AI280" s="4">
        <v>2757</v>
      </c>
      <c r="AJ280" s="4">
        <v>128051</v>
      </c>
      <c r="AK280" s="4">
        <v>8073</v>
      </c>
      <c r="AL280" s="4">
        <v>2389</v>
      </c>
      <c r="AM280" s="4">
        <v>141270</v>
      </c>
      <c r="AN280" s="5">
        <f ca="1">IFERROR(__xludf.DUMMYFUNCTION("""COMPUTED_VALUE"""),94)</f>
        <v>94</v>
      </c>
    </row>
    <row r="281" spans="1:40" x14ac:dyDescent="0.35">
      <c r="A281" s="1">
        <v>280</v>
      </c>
      <c r="B281" s="7">
        <v>44170</v>
      </c>
      <c r="C281">
        <v>22</v>
      </c>
      <c r="D281">
        <v>1016</v>
      </c>
      <c r="E281">
        <v>550</v>
      </c>
      <c r="F281">
        <v>-228</v>
      </c>
      <c r="G281" s="5">
        <f ca="1">IFERROR(__xludf.DUMMYFUNCTION("""COMPUTED_VALUE"""),6027)</f>
        <v>6027</v>
      </c>
      <c r="H281" s="5">
        <f ca="1">IFERROR(__xludf.DUMMYFUNCTION("""COMPUTED_VALUE"""),1360)</f>
        <v>1360</v>
      </c>
      <c r="I281">
        <v>-25</v>
      </c>
      <c r="J281">
        <v>-2</v>
      </c>
      <c r="K281">
        <v>-44</v>
      </c>
      <c r="L281">
        <v>-27</v>
      </c>
      <c r="M281">
        <v>-18</v>
      </c>
      <c r="N281">
        <v>6</v>
      </c>
      <c r="O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14671</v>
      </c>
      <c r="AE281">
        <v>1168</v>
      </c>
      <c r="AF281">
        <v>13503</v>
      </c>
      <c r="AG281" s="2">
        <v>7.9612841660000003E-2</v>
      </c>
      <c r="AH281" t="s">
        <v>31</v>
      </c>
      <c r="AI281" s="4">
        <v>2779</v>
      </c>
      <c r="AJ281" s="4">
        <v>129067</v>
      </c>
      <c r="AK281" s="4">
        <v>8623</v>
      </c>
      <c r="AL281" s="4">
        <v>2161</v>
      </c>
      <c r="AM281" s="4">
        <v>142630</v>
      </c>
      <c r="AN281" s="5">
        <f ca="1">IFERROR(__xludf.DUMMYFUNCTION("""COMPUTED_VALUE"""),322)</f>
        <v>322</v>
      </c>
    </row>
    <row r="282" spans="1:40" x14ac:dyDescent="0.35">
      <c r="A282" s="1">
        <v>281</v>
      </c>
      <c r="B282" s="7">
        <v>44171</v>
      </c>
      <c r="C282">
        <v>20</v>
      </c>
      <c r="D282">
        <v>1069</v>
      </c>
      <c r="E282">
        <v>196</v>
      </c>
      <c r="F282">
        <v>46</v>
      </c>
      <c r="G282" s="5">
        <f ca="1">IFERROR(__xludf.DUMMYFUNCTION("""COMPUTED_VALUE"""),6089)</f>
        <v>6089</v>
      </c>
      <c r="H282" s="5">
        <f ca="1">IFERROR(__xludf.DUMMYFUNCTION("""COMPUTED_VALUE"""),1331)</f>
        <v>1331</v>
      </c>
      <c r="I282">
        <v>-33</v>
      </c>
      <c r="J282">
        <v>-13</v>
      </c>
      <c r="K282">
        <v>-59</v>
      </c>
      <c r="L282">
        <v>-33</v>
      </c>
      <c r="M282">
        <v>-16</v>
      </c>
      <c r="N282">
        <v>8</v>
      </c>
      <c r="O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7812</v>
      </c>
      <c r="AE282">
        <v>936</v>
      </c>
      <c r="AF282">
        <v>6876</v>
      </c>
      <c r="AG282" s="2">
        <v>0.1198156682</v>
      </c>
      <c r="AH282" t="s">
        <v>31</v>
      </c>
      <c r="AI282" s="4">
        <v>2799</v>
      </c>
      <c r="AJ282" s="4">
        <v>130136</v>
      </c>
      <c r="AK282" s="4">
        <v>8819</v>
      </c>
      <c r="AL282" s="4">
        <v>2207</v>
      </c>
      <c r="AM282" s="4">
        <v>143961</v>
      </c>
      <c r="AN282" s="5">
        <f ca="1">IFERROR(__xludf.DUMMYFUNCTION("""COMPUTED_VALUE"""),242)</f>
        <v>242</v>
      </c>
    </row>
    <row r="283" spans="1:40" x14ac:dyDescent="0.35">
      <c r="A283" s="1">
        <v>282</v>
      </c>
      <c r="B283" s="7">
        <v>44172</v>
      </c>
      <c r="C283">
        <v>24</v>
      </c>
      <c r="D283">
        <v>935</v>
      </c>
      <c r="E283">
        <v>654</v>
      </c>
      <c r="F283">
        <v>-147</v>
      </c>
      <c r="G283" s="5">
        <f ca="1">IFERROR(__xludf.DUMMYFUNCTION("""COMPUTED_VALUE"""),5754)</f>
        <v>5754</v>
      </c>
      <c r="H283" s="5">
        <f ca="1">IFERROR(__xludf.DUMMYFUNCTION("""COMPUTED_VALUE"""),1466)</f>
        <v>1466</v>
      </c>
      <c r="I283">
        <v>-28</v>
      </c>
      <c r="J283">
        <v>-9</v>
      </c>
      <c r="K283">
        <v>-54</v>
      </c>
      <c r="L283">
        <v>-40</v>
      </c>
      <c r="M283">
        <v>-33</v>
      </c>
      <c r="N283">
        <v>12</v>
      </c>
      <c r="O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15711</v>
      </c>
      <c r="AE283">
        <v>1254</v>
      </c>
      <c r="AF283">
        <v>14457</v>
      </c>
      <c r="AG283" s="2">
        <v>7.9816688940000005E-2</v>
      </c>
      <c r="AH283" t="s">
        <v>31</v>
      </c>
      <c r="AI283" s="4">
        <v>2823</v>
      </c>
      <c r="AJ283" s="4">
        <v>131071</v>
      </c>
      <c r="AK283" s="4">
        <v>9473</v>
      </c>
      <c r="AL283" s="4">
        <v>2060</v>
      </c>
      <c r="AM283" s="4">
        <v>145427</v>
      </c>
      <c r="AN283" s="5">
        <f ca="1">IFERROR(__xludf.DUMMYFUNCTION("""COMPUTED_VALUE"""),507)</f>
        <v>507</v>
      </c>
    </row>
    <row r="284" spans="1:40" x14ac:dyDescent="0.35">
      <c r="A284" s="1">
        <v>283</v>
      </c>
      <c r="B284" s="7">
        <v>44173</v>
      </c>
      <c r="C284">
        <v>19</v>
      </c>
      <c r="D284">
        <v>1177</v>
      </c>
      <c r="E284">
        <v>177</v>
      </c>
      <c r="F284">
        <v>-199</v>
      </c>
      <c r="G284" s="5">
        <f ca="1">IFERROR(__xludf.DUMMYFUNCTION("""COMPUTED_VALUE"""),5292)</f>
        <v>5292</v>
      </c>
      <c r="H284" s="5">
        <f ca="1">IFERROR(__xludf.DUMMYFUNCTION("""COMPUTED_VALUE"""),1174)</f>
        <v>1174</v>
      </c>
      <c r="I284">
        <v>-26</v>
      </c>
      <c r="J284">
        <v>-6</v>
      </c>
      <c r="K284">
        <v>-51</v>
      </c>
      <c r="L284">
        <v>-37</v>
      </c>
      <c r="M284">
        <v>-31</v>
      </c>
      <c r="N284">
        <v>11</v>
      </c>
      <c r="O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13678</v>
      </c>
      <c r="AE284">
        <v>1352</v>
      </c>
      <c r="AF284">
        <v>12326</v>
      </c>
      <c r="AG284" s="2">
        <v>9.8844860359999995E-2</v>
      </c>
      <c r="AH284" t="s">
        <v>31</v>
      </c>
      <c r="AI284" s="4">
        <v>2842</v>
      </c>
      <c r="AJ284" s="4">
        <v>132248</v>
      </c>
      <c r="AK284" s="4">
        <v>9650</v>
      </c>
      <c r="AL284" s="4">
        <v>1861</v>
      </c>
      <c r="AM284" s="4">
        <v>146601</v>
      </c>
      <c r="AN284" s="5">
        <f ca="1">IFERROR(__xludf.DUMMYFUNCTION("""COMPUTED_VALUE"""),-22)</f>
        <v>-22</v>
      </c>
    </row>
    <row r="285" spans="1:40" x14ac:dyDescent="0.35">
      <c r="A285" s="1">
        <v>284</v>
      </c>
      <c r="B285" s="7">
        <v>44174</v>
      </c>
      <c r="C285">
        <v>18</v>
      </c>
      <c r="D285">
        <v>1070</v>
      </c>
      <c r="E285">
        <v>53</v>
      </c>
      <c r="F285">
        <v>96</v>
      </c>
      <c r="G285" s="5">
        <f ca="1">IFERROR(__xludf.DUMMYFUNCTION("""COMPUTED_VALUE"""),6058)</f>
        <v>6058</v>
      </c>
      <c r="H285" s="5">
        <f ca="1">IFERROR(__xludf.DUMMYFUNCTION("""COMPUTED_VALUE"""),1237)</f>
        <v>1237</v>
      </c>
      <c r="I285">
        <v>-26</v>
      </c>
      <c r="J285">
        <v>-9</v>
      </c>
      <c r="K285">
        <v>-44</v>
      </c>
      <c r="L285">
        <v>-49</v>
      </c>
      <c r="M285">
        <v>-59</v>
      </c>
      <c r="N285">
        <v>19</v>
      </c>
      <c r="O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15061</v>
      </c>
      <c r="AE285">
        <v>1180</v>
      </c>
      <c r="AF285">
        <v>13881</v>
      </c>
      <c r="AG285" s="2">
        <v>7.8348051259999996E-2</v>
      </c>
      <c r="AH285" t="s">
        <v>31</v>
      </c>
      <c r="AI285" s="4">
        <v>2860</v>
      </c>
      <c r="AJ285" s="4">
        <v>133318</v>
      </c>
      <c r="AK285" s="4">
        <v>9703</v>
      </c>
      <c r="AL285" s="4">
        <v>1957</v>
      </c>
      <c r="AM285" s="4">
        <v>147838</v>
      </c>
      <c r="AN285" s="5">
        <f ca="1">IFERROR(__xludf.DUMMYFUNCTION("""COMPUTED_VALUE"""),149)</f>
        <v>149</v>
      </c>
    </row>
    <row r="286" spans="1:40" x14ac:dyDescent="0.35">
      <c r="A286" s="1">
        <v>285</v>
      </c>
      <c r="B286" s="7">
        <v>44175</v>
      </c>
      <c r="C286">
        <v>20</v>
      </c>
      <c r="D286">
        <v>1048</v>
      </c>
      <c r="E286">
        <v>-312</v>
      </c>
      <c r="F286">
        <v>424</v>
      </c>
      <c r="G286" s="5">
        <f ca="1">IFERROR(__xludf.DUMMYFUNCTION("""COMPUTED_VALUE"""),6033)</f>
        <v>6033</v>
      </c>
      <c r="H286" s="5">
        <f ca="1">IFERROR(__xludf.DUMMYFUNCTION("""COMPUTED_VALUE"""),1180)</f>
        <v>1180</v>
      </c>
      <c r="I286">
        <v>-27</v>
      </c>
      <c r="J286">
        <v>-7</v>
      </c>
      <c r="K286">
        <v>-49</v>
      </c>
      <c r="L286">
        <v>-36</v>
      </c>
      <c r="M286">
        <v>-29</v>
      </c>
      <c r="N286">
        <v>12</v>
      </c>
      <c r="O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16712</v>
      </c>
      <c r="AE286">
        <v>1447</v>
      </c>
      <c r="AF286">
        <v>15265</v>
      </c>
      <c r="AG286" s="2">
        <v>8.6584490190000002E-2</v>
      </c>
      <c r="AH286" t="s">
        <v>31</v>
      </c>
      <c r="AI286" s="4">
        <v>2880</v>
      </c>
      <c r="AJ286" s="4">
        <v>134366</v>
      </c>
      <c r="AK286" s="4">
        <v>9391</v>
      </c>
      <c r="AL286" s="4">
        <v>2381</v>
      </c>
      <c r="AM286" s="4">
        <v>149018</v>
      </c>
      <c r="AN286" s="5">
        <f ca="1">IFERROR(__xludf.DUMMYFUNCTION("""COMPUTED_VALUE"""),112)</f>
        <v>112</v>
      </c>
    </row>
    <row r="287" spans="1:40" x14ac:dyDescent="0.35">
      <c r="A287" s="1">
        <v>286</v>
      </c>
      <c r="B287" s="7">
        <v>44176</v>
      </c>
      <c r="C287">
        <v>22</v>
      </c>
      <c r="D287">
        <v>1179</v>
      </c>
      <c r="E287">
        <v>-313</v>
      </c>
      <c r="F287">
        <v>344</v>
      </c>
      <c r="G287" s="5">
        <f ca="1">IFERROR(__xludf.DUMMYFUNCTION("""COMPUTED_VALUE"""),6310)</f>
        <v>6310</v>
      </c>
      <c r="H287" s="5">
        <f ca="1">IFERROR(__xludf.DUMMYFUNCTION("""COMPUTED_VALUE"""),1232)</f>
        <v>1232</v>
      </c>
      <c r="I287">
        <v>-24</v>
      </c>
      <c r="J287">
        <v>-4</v>
      </c>
      <c r="K287">
        <v>-43</v>
      </c>
      <c r="L287">
        <v>-37</v>
      </c>
      <c r="M287">
        <v>-29</v>
      </c>
      <c r="N287">
        <v>13</v>
      </c>
      <c r="O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15921</v>
      </c>
      <c r="AE287">
        <v>1346</v>
      </c>
      <c r="AF287">
        <v>14575</v>
      </c>
      <c r="AG287" s="2">
        <v>8.4542428239999995E-2</v>
      </c>
      <c r="AH287" t="s">
        <v>31</v>
      </c>
      <c r="AI287" s="4">
        <v>2902</v>
      </c>
      <c r="AJ287" s="4">
        <v>135545</v>
      </c>
      <c r="AK287" s="4">
        <v>9078</v>
      </c>
      <c r="AL287" s="4">
        <v>2725</v>
      </c>
      <c r="AM287" s="4">
        <v>150250</v>
      </c>
      <c r="AN287" s="5">
        <f ca="1">IFERROR(__xludf.DUMMYFUNCTION("""COMPUTED_VALUE"""),31)</f>
        <v>31</v>
      </c>
    </row>
    <row r="288" spans="1:40" x14ac:dyDescent="0.35">
      <c r="A288" s="1">
        <v>287</v>
      </c>
      <c r="B288" s="7">
        <v>44177</v>
      </c>
      <c r="C288">
        <v>20</v>
      </c>
      <c r="D288">
        <v>944</v>
      </c>
      <c r="E288">
        <v>-256</v>
      </c>
      <c r="F288">
        <v>243</v>
      </c>
      <c r="G288" s="5">
        <f ca="1">IFERROR(__xludf.DUMMYFUNCTION("""COMPUTED_VALUE"""),6388)</f>
        <v>6388</v>
      </c>
      <c r="H288" s="5">
        <f ca="1">IFERROR(__xludf.DUMMYFUNCTION("""COMPUTED_VALUE"""),951)</f>
        <v>951</v>
      </c>
      <c r="I288">
        <v>-26</v>
      </c>
      <c r="J288">
        <v>-3</v>
      </c>
      <c r="K288">
        <v>-46</v>
      </c>
      <c r="L288">
        <v>-28</v>
      </c>
      <c r="M288">
        <v>-15</v>
      </c>
      <c r="N288">
        <v>8</v>
      </c>
      <c r="O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12321</v>
      </c>
      <c r="AE288">
        <v>1443</v>
      </c>
      <c r="AF288">
        <v>10878</v>
      </c>
      <c r="AG288" s="2">
        <v>0.1171171171</v>
      </c>
      <c r="AH288" t="s">
        <v>31</v>
      </c>
      <c r="AI288" s="4">
        <v>2922</v>
      </c>
      <c r="AJ288" s="4">
        <v>136489</v>
      </c>
      <c r="AK288" s="4">
        <v>8822</v>
      </c>
      <c r="AL288" s="4">
        <v>2968</v>
      </c>
      <c r="AM288" s="4">
        <v>151201</v>
      </c>
      <c r="AN288" s="5">
        <f ca="1">IFERROR(__xludf.DUMMYFUNCTION("""COMPUTED_VALUE"""),-13)</f>
        <v>-13</v>
      </c>
    </row>
    <row r="289" spans="1:40" x14ac:dyDescent="0.35">
      <c r="A289" s="1">
        <v>288</v>
      </c>
      <c r="B289" s="7">
        <v>44178</v>
      </c>
      <c r="C289">
        <v>19</v>
      </c>
      <c r="D289">
        <v>1116</v>
      </c>
      <c r="E289">
        <v>-143</v>
      </c>
      <c r="F289">
        <v>306</v>
      </c>
      <c r="G289" s="5">
        <f ca="1">IFERROR(__xludf.DUMMYFUNCTION("""COMPUTED_VALUE"""),6189)</f>
        <v>6189</v>
      </c>
      <c r="H289" s="5">
        <f ca="1">IFERROR(__xludf.DUMMYFUNCTION("""COMPUTED_VALUE"""),1298)</f>
        <v>1298</v>
      </c>
      <c r="I289">
        <v>-30</v>
      </c>
      <c r="J289">
        <v>-9</v>
      </c>
      <c r="K289">
        <v>-50</v>
      </c>
      <c r="L289">
        <v>-27</v>
      </c>
      <c r="M289">
        <v>-10</v>
      </c>
      <c r="N289">
        <v>8</v>
      </c>
      <c r="O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7121</v>
      </c>
      <c r="AE289">
        <v>1190</v>
      </c>
      <c r="AF289">
        <v>5931</v>
      </c>
      <c r="AG289" s="2">
        <v>0.1671113608</v>
      </c>
      <c r="AH289" t="s">
        <v>31</v>
      </c>
      <c r="AI289" s="4">
        <v>2941</v>
      </c>
      <c r="AJ289" s="4">
        <v>137605</v>
      </c>
      <c r="AK289" s="4">
        <v>8679</v>
      </c>
      <c r="AL289" s="4">
        <v>3274</v>
      </c>
      <c r="AM289" s="4">
        <v>152499</v>
      </c>
      <c r="AN289" s="5">
        <f ca="1">IFERROR(__xludf.DUMMYFUNCTION("""COMPUTED_VALUE"""),163)</f>
        <v>163</v>
      </c>
    </row>
    <row r="290" spans="1:40" x14ac:dyDescent="0.35">
      <c r="A290" s="1">
        <v>289</v>
      </c>
      <c r="B290" s="7">
        <v>44179</v>
      </c>
      <c r="C290">
        <v>22</v>
      </c>
      <c r="D290">
        <v>1383</v>
      </c>
      <c r="E290">
        <v>315</v>
      </c>
      <c r="F290">
        <v>-154</v>
      </c>
      <c r="G290" s="5">
        <f ca="1">IFERROR(__xludf.DUMMYFUNCTION("""COMPUTED_VALUE"""),5489)</f>
        <v>5489</v>
      </c>
      <c r="H290" s="5">
        <f ca="1">IFERROR(__xludf.DUMMYFUNCTION("""COMPUTED_VALUE"""),1566)</f>
        <v>1566</v>
      </c>
      <c r="I290">
        <v>-27</v>
      </c>
      <c r="J290">
        <v>-7</v>
      </c>
      <c r="K290">
        <v>-50</v>
      </c>
      <c r="L290">
        <v>-37</v>
      </c>
      <c r="M290">
        <v>-30</v>
      </c>
      <c r="N290">
        <v>13</v>
      </c>
      <c r="O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14125</v>
      </c>
      <c r="AE290">
        <v>1407</v>
      </c>
      <c r="AF290">
        <v>12718</v>
      </c>
      <c r="AG290" s="2">
        <v>9.9610619469999995E-2</v>
      </c>
      <c r="AH290" t="s">
        <v>31</v>
      </c>
      <c r="AI290" s="4">
        <v>2963</v>
      </c>
      <c r="AJ290" s="4">
        <v>138988</v>
      </c>
      <c r="AK290" s="4">
        <v>8994</v>
      </c>
      <c r="AL290" s="4">
        <v>3120</v>
      </c>
      <c r="AM290" s="4">
        <v>154065</v>
      </c>
      <c r="AN290" s="5">
        <f ca="1">IFERROR(__xludf.DUMMYFUNCTION("""COMPUTED_VALUE"""),161)</f>
        <v>161</v>
      </c>
    </row>
    <row r="291" spans="1:40" x14ac:dyDescent="0.35">
      <c r="A291" s="1">
        <v>290</v>
      </c>
      <c r="B291" s="7">
        <v>44180</v>
      </c>
      <c r="C291">
        <v>27</v>
      </c>
      <c r="D291">
        <v>1237</v>
      </c>
      <c r="E291">
        <v>-351</v>
      </c>
      <c r="F291">
        <v>144</v>
      </c>
      <c r="G291" s="5">
        <f ca="1">IFERROR(__xludf.DUMMYFUNCTION("""COMPUTED_VALUE"""),6120)</f>
        <v>6120</v>
      </c>
      <c r="H291" s="5">
        <f ca="1">IFERROR(__xludf.DUMMYFUNCTION("""COMPUTED_VALUE"""),1057)</f>
        <v>1057</v>
      </c>
      <c r="I291">
        <v>-27</v>
      </c>
      <c r="J291">
        <v>-6</v>
      </c>
      <c r="K291">
        <v>-49</v>
      </c>
      <c r="L291">
        <v>-36</v>
      </c>
      <c r="M291">
        <v>-31</v>
      </c>
      <c r="N291">
        <v>13</v>
      </c>
      <c r="O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16123</v>
      </c>
      <c r="AE291">
        <v>1675</v>
      </c>
      <c r="AF291">
        <v>14448</v>
      </c>
      <c r="AG291" s="2">
        <v>0.10388885439999999</v>
      </c>
      <c r="AH291" t="s">
        <v>31</v>
      </c>
      <c r="AI291" s="4">
        <v>2990</v>
      </c>
      <c r="AJ291" s="4">
        <v>140225</v>
      </c>
      <c r="AK291" s="4">
        <v>8643</v>
      </c>
      <c r="AL291" s="4">
        <v>3264</v>
      </c>
      <c r="AM291" s="4">
        <v>155122</v>
      </c>
      <c r="AN291" s="5">
        <f ca="1">IFERROR(__xludf.DUMMYFUNCTION("""COMPUTED_VALUE"""),-207)</f>
        <v>-207</v>
      </c>
    </row>
    <row r="292" spans="1:40" x14ac:dyDescent="0.35">
      <c r="A292" s="1">
        <v>291</v>
      </c>
      <c r="B292" s="7">
        <v>44181</v>
      </c>
      <c r="C292">
        <v>20</v>
      </c>
      <c r="D292">
        <v>1140</v>
      </c>
      <c r="E292">
        <v>-380</v>
      </c>
      <c r="F292">
        <v>441</v>
      </c>
      <c r="G292" s="5">
        <f ca="1">IFERROR(__xludf.DUMMYFUNCTION("""COMPUTED_VALUE"""),6725)</f>
        <v>6725</v>
      </c>
      <c r="H292" s="5">
        <f ca="1">IFERROR(__xludf.DUMMYFUNCTION("""COMPUTED_VALUE"""),1221)</f>
        <v>1221</v>
      </c>
      <c r="I292">
        <v>-26</v>
      </c>
      <c r="J292">
        <v>-6</v>
      </c>
      <c r="K292">
        <v>-48</v>
      </c>
      <c r="L292">
        <v>-36</v>
      </c>
      <c r="M292">
        <v>-30</v>
      </c>
      <c r="N292">
        <v>12</v>
      </c>
      <c r="O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19211</v>
      </c>
      <c r="AE292">
        <v>1888</v>
      </c>
      <c r="AF292">
        <v>17323</v>
      </c>
      <c r="AG292" s="2">
        <v>9.8277028789999998E-2</v>
      </c>
      <c r="AH292" t="s">
        <v>31</v>
      </c>
      <c r="AI292" s="4">
        <v>3010</v>
      </c>
      <c r="AJ292" s="4">
        <v>141365</v>
      </c>
      <c r="AK292" s="4">
        <v>8263</v>
      </c>
      <c r="AL292" s="4">
        <v>3705</v>
      </c>
      <c r="AM292" s="4">
        <v>156343</v>
      </c>
      <c r="AN292" s="5">
        <f ca="1">IFERROR(__xludf.DUMMYFUNCTION("""COMPUTED_VALUE"""),61)</f>
        <v>61</v>
      </c>
    </row>
    <row r="293" spans="1:40" x14ac:dyDescent="0.35">
      <c r="A293" s="1">
        <v>292</v>
      </c>
      <c r="B293" s="7">
        <v>44182</v>
      </c>
      <c r="C293">
        <v>17</v>
      </c>
      <c r="D293">
        <v>1376</v>
      </c>
      <c r="E293">
        <v>-412</v>
      </c>
      <c r="F293">
        <v>709</v>
      </c>
      <c r="G293" s="5">
        <f ca="1">IFERROR(__xludf.DUMMYFUNCTION("""COMPUTED_VALUE"""),7354)</f>
        <v>7354</v>
      </c>
      <c r="H293" s="5">
        <f ca="1">IFERROR(__xludf.DUMMYFUNCTION("""COMPUTED_VALUE"""),1690)</f>
        <v>1690</v>
      </c>
      <c r="I293">
        <v>-26</v>
      </c>
      <c r="J293">
        <v>-6</v>
      </c>
      <c r="K293">
        <v>-46</v>
      </c>
      <c r="L293">
        <v>-35</v>
      </c>
      <c r="M293">
        <v>-30</v>
      </c>
      <c r="N293">
        <v>12</v>
      </c>
      <c r="O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21021</v>
      </c>
      <c r="AE293">
        <v>1952</v>
      </c>
      <c r="AF293">
        <v>19069</v>
      </c>
      <c r="AG293" s="2">
        <v>9.2859521429999994E-2</v>
      </c>
      <c r="AH293" t="s">
        <v>31</v>
      </c>
      <c r="AI293" s="4">
        <v>3027</v>
      </c>
      <c r="AJ293" s="4">
        <v>142741</v>
      </c>
      <c r="AK293" s="4">
        <v>7851</v>
      </c>
      <c r="AL293" s="4">
        <v>4414</v>
      </c>
      <c r="AM293" s="4">
        <v>158033</v>
      </c>
      <c r="AN293" s="5">
        <f ca="1">IFERROR(__xludf.DUMMYFUNCTION("""COMPUTED_VALUE"""),297)</f>
        <v>297</v>
      </c>
    </row>
    <row r="294" spans="1:40" x14ac:dyDescent="0.35">
      <c r="A294" s="1">
        <v>293</v>
      </c>
      <c r="B294" s="7">
        <v>44183</v>
      </c>
      <c r="C294">
        <v>21</v>
      </c>
      <c r="D294">
        <v>1218</v>
      </c>
      <c r="E294">
        <v>-178</v>
      </c>
      <c r="F294">
        <v>526</v>
      </c>
      <c r="G294" s="5">
        <f ca="1">IFERROR(__xludf.DUMMYFUNCTION("""COMPUTED_VALUE"""),6689)</f>
        <v>6689</v>
      </c>
      <c r="H294" s="5">
        <f ca="1">IFERROR(__xludf.DUMMYFUNCTION("""COMPUTED_VALUE"""),1587)</f>
        <v>1587</v>
      </c>
      <c r="I294">
        <v>-23</v>
      </c>
      <c r="J294">
        <v>-3</v>
      </c>
      <c r="K294">
        <v>-37</v>
      </c>
      <c r="L294">
        <v>-34</v>
      </c>
      <c r="M294">
        <v>-29</v>
      </c>
      <c r="N294">
        <v>13</v>
      </c>
      <c r="O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18100</v>
      </c>
      <c r="AE294">
        <v>1772</v>
      </c>
      <c r="AF294">
        <v>16328</v>
      </c>
      <c r="AG294" s="2">
        <v>9.7900552490000001E-2</v>
      </c>
      <c r="AH294" t="s">
        <v>31</v>
      </c>
      <c r="AI294" s="4">
        <v>3048</v>
      </c>
      <c r="AJ294" s="4">
        <v>143959</v>
      </c>
      <c r="AK294" s="4">
        <v>7673</v>
      </c>
      <c r="AL294" s="4">
        <v>4940</v>
      </c>
      <c r="AM294" s="4">
        <v>159620</v>
      </c>
      <c r="AN294" s="5">
        <f ca="1">IFERROR(__xludf.DUMMYFUNCTION("""COMPUTED_VALUE"""),348)</f>
        <v>348</v>
      </c>
    </row>
    <row r="295" spans="1:40" x14ac:dyDescent="0.35">
      <c r="A295" s="1">
        <v>294</v>
      </c>
      <c r="B295" s="7">
        <v>44184</v>
      </c>
      <c r="C295">
        <v>20</v>
      </c>
      <c r="D295">
        <v>1107</v>
      </c>
      <c r="E295">
        <v>439</v>
      </c>
      <c r="F295">
        <v>333</v>
      </c>
      <c r="G295" s="5">
        <f ca="1">IFERROR(__xludf.DUMMYFUNCTION("""COMPUTED_VALUE"""),7751)</f>
        <v>7751</v>
      </c>
      <c r="H295" s="5">
        <f ca="1">IFERROR(__xludf.DUMMYFUNCTION("""COMPUTED_VALUE"""),1899)</f>
        <v>1899</v>
      </c>
      <c r="I295">
        <v>-27</v>
      </c>
      <c r="J295">
        <v>-4</v>
      </c>
      <c r="K295">
        <v>-45</v>
      </c>
      <c r="L295">
        <v>-27</v>
      </c>
      <c r="M295">
        <v>-14</v>
      </c>
      <c r="N295">
        <v>8</v>
      </c>
      <c r="O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12812</v>
      </c>
      <c r="AE295">
        <v>1311</v>
      </c>
      <c r="AF295">
        <v>11501</v>
      </c>
      <c r="AG295" s="2">
        <v>0.10232594439999999</v>
      </c>
      <c r="AH295" t="s">
        <v>31</v>
      </c>
      <c r="AI295" s="4">
        <v>3068</v>
      </c>
      <c r="AJ295" s="4">
        <v>145066</v>
      </c>
      <c r="AK295" s="4">
        <v>8112</v>
      </c>
      <c r="AL295" s="4">
        <v>5273</v>
      </c>
      <c r="AM295" s="4">
        <v>161519</v>
      </c>
      <c r="AN295" s="5">
        <f ca="1">IFERROR(__xludf.DUMMYFUNCTION("""COMPUTED_VALUE"""),772)</f>
        <v>772</v>
      </c>
    </row>
    <row r="296" spans="1:40" x14ac:dyDescent="0.35">
      <c r="A296" s="1">
        <v>295</v>
      </c>
      <c r="B296" s="7">
        <v>44185</v>
      </c>
      <c r="C296">
        <v>19</v>
      </c>
      <c r="D296">
        <v>1892</v>
      </c>
      <c r="E296">
        <v>-55</v>
      </c>
      <c r="F296">
        <v>-264</v>
      </c>
      <c r="G296" s="5">
        <f ca="1">IFERROR(__xludf.DUMMYFUNCTION("""COMPUTED_VALUE"""),6982)</f>
        <v>6982</v>
      </c>
      <c r="H296" s="5">
        <f ca="1">IFERROR(__xludf.DUMMYFUNCTION("""COMPUTED_VALUE"""),1592)</f>
        <v>1592</v>
      </c>
      <c r="I296">
        <v>-31</v>
      </c>
      <c r="J296">
        <v>-11</v>
      </c>
      <c r="K296">
        <v>-54</v>
      </c>
      <c r="L296">
        <v>-27</v>
      </c>
      <c r="M296">
        <v>-11</v>
      </c>
      <c r="N296">
        <v>8</v>
      </c>
      <c r="O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8314</v>
      </c>
      <c r="AE296">
        <v>1151</v>
      </c>
      <c r="AF296">
        <v>7163</v>
      </c>
      <c r="AG296" s="2">
        <v>0.13844118350000001</v>
      </c>
      <c r="AH296" t="s">
        <v>31</v>
      </c>
      <c r="AI296" s="4">
        <v>3087</v>
      </c>
      <c r="AJ296" s="4">
        <v>146958</v>
      </c>
      <c r="AK296" s="4">
        <v>8057</v>
      </c>
      <c r="AL296" s="4">
        <v>5009</v>
      </c>
      <c r="AM296" s="4">
        <v>163111</v>
      </c>
      <c r="AN296" s="5">
        <f ca="1">IFERROR(__xludf.DUMMYFUNCTION("""COMPUTED_VALUE"""),-319)</f>
        <v>-319</v>
      </c>
    </row>
    <row r="297" spans="1:40" x14ac:dyDescent="0.35">
      <c r="A297" s="1">
        <v>296</v>
      </c>
      <c r="B297" s="7">
        <v>44186</v>
      </c>
      <c r="C297">
        <v>10</v>
      </c>
      <c r="D297">
        <v>1350</v>
      </c>
      <c r="E297">
        <v>309</v>
      </c>
      <c r="F297">
        <v>-203</v>
      </c>
      <c r="G297" s="5">
        <f ca="1">IFERROR(__xludf.DUMMYFUNCTION("""COMPUTED_VALUE"""),6848)</f>
        <v>6848</v>
      </c>
      <c r="H297" s="5">
        <f ca="1">IFERROR(__xludf.DUMMYFUNCTION("""COMPUTED_VALUE"""),1466)</f>
        <v>1466</v>
      </c>
      <c r="I297">
        <v>-25</v>
      </c>
      <c r="J297">
        <v>-5</v>
      </c>
      <c r="K297">
        <v>-46</v>
      </c>
      <c r="L297">
        <v>-35</v>
      </c>
      <c r="M297">
        <v>-31</v>
      </c>
      <c r="N297">
        <v>12</v>
      </c>
      <c r="O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17312</v>
      </c>
      <c r="AE297">
        <v>2028</v>
      </c>
      <c r="AF297">
        <v>15284</v>
      </c>
      <c r="AG297" s="2">
        <v>0.11714417739999999</v>
      </c>
      <c r="AH297" t="s">
        <v>31</v>
      </c>
      <c r="AI297" s="4">
        <v>3097</v>
      </c>
      <c r="AJ297" s="4">
        <v>148308</v>
      </c>
      <c r="AK297" s="4">
        <v>8366</v>
      </c>
      <c r="AL297" s="4">
        <v>4806</v>
      </c>
      <c r="AM297" s="4">
        <v>164577</v>
      </c>
      <c r="AN297" s="5">
        <f ca="1">IFERROR(__xludf.DUMMYFUNCTION("""COMPUTED_VALUE"""),106)</f>
        <v>106</v>
      </c>
    </row>
    <row r="298" spans="1:40" x14ac:dyDescent="0.35">
      <c r="A298" s="1">
        <v>297</v>
      </c>
      <c r="B298" s="7">
        <v>44187</v>
      </c>
      <c r="C298">
        <v>18</v>
      </c>
      <c r="D298">
        <v>1383</v>
      </c>
      <c r="E298">
        <v>254</v>
      </c>
      <c r="F298">
        <v>-344</v>
      </c>
      <c r="G298" s="5">
        <f ca="1">IFERROR(__xludf.DUMMYFUNCTION("""COMPUTED_VALUE"""),6347)</f>
        <v>6347</v>
      </c>
      <c r="H298" s="5">
        <f ca="1">IFERROR(__xludf.DUMMYFUNCTION("""COMPUTED_VALUE"""),1311)</f>
        <v>1311</v>
      </c>
      <c r="I298">
        <v>-25</v>
      </c>
      <c r="J298">
        <v>-5</v>
      </c>
      <c r="K298">
        <v>-46</v>
      </c>
      <c r="L298">
        <v>-35</v>
      </c>
      <c r="M298">
        <v>-32</v>
      </c>
      <c r="N298">
        <v>12</v>
      </c>
      <c r="O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15524</v>
      </c>
      <c r="AE298">
        <v>1652</v>
      </c>
      <c r="AF298">
        <v>13872</v>
      </c>
      <c r="AG298" s="2">
        <v>0.1064158722</v>
      </c>
      <c r="AH298" t="s">
        <v>31</v>
      </c>
      <c r="AI298" s="4">
        <v>3115</v>
      </c>
      <c r="AJ298" s="4">
        <v>149691</v>
      </c>
      <c r="AK298" s="4">
        <v>8620</v>
      </c>
      <c r="AL298" s="4">
        <v>4462</v>
      </c>
      <c r="AM298" s="4">
        <v>165888</v>
      </c>
      <c r="AN298" s="5">
        <f ca="1">IFERROR(__xludf.DUMMYFUNCTION("""COMPUTED_VALUE"""),-90)</f>
        <v>-90</v>
      </c>
    </row>
    <row r="299" spans="1:40" x14ac:dyDescent="0.35">
      <c r="A299" s="1">
        <v>298</v>
      </c>
      <c r="B299" s="7">
        <v>44188</v>
      </c>
      <c r="C299">
        <v>15</v>
      </c>
      <c r="D299">
        <v>1431</v>
      </c>
      <c r="E299">
        <v>23</v>
      </c>
      <c r="F299">
        <v>485</v>
      </c>
      <c r="G299" s="5">
        <f ca="1">IFERROR(__xludf.DUMMYFUNCTION("""COMPUTED_VALUE"""),7514)</f>
        <v>7514</v>
      </c>
      <c r="H299" s="5">
        <f ca="1">IFERROR(__xludf.DUMMYFUNCTION("""COMPUTED_VALUE"""),1954)</f>
        <v>1954</v>
      </c>
      <c r="I299">
        <v>-23</v>
      </c>
      <c r="J299">
        <v>-2</v>
      </c>
      <c r="K299">
        <v>-46</v>
      </c>
      <c r="L299">
        <v>-33</v>
      </c>
      <c r="M299">
        <v>-32</v>
      </c>
      <c r="N299">
        <v>11</v>
      </c>
      <c r="O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19341</v>
      </c>
      <c r="AE299">
        <v>2070</v>
      </c>
      <c r="AF299">
        <v>17271</v>
      </c>
      <c r="AG299" s="2">
        <v>0.107026524</v>
      </c>
      <c r="AH299" t="s">
        <v>31</v>
      </c>
      <c r="AI299" s="4">
        <v>3130</v>
      </c>
      <c r="AJ299" s="4">
        <v>151122</v>
      </c>
      <c r="AK299" s="4">
        <v>8643</v>
      </c>
      <c r="AL299" s="4">
        <v>4947</v>
      </c>
      <c r="AM299" s="4">
        <v>167842</v>
      </c>
      <c r="AN299" s="5">
        <f ca="1">IFERROR(__xludf.DUMMYFUNCTION("""COMPUTED_VALUE"""),508)</f>
        <v>508</v>
      </c>
    </row>
    <row r="300" spans="1:40" x14ac:dyDescent="0.35">
      <c r="A300" s="1">
        <v>299</v>
      </c>
      <c r="B300" s="7">
        <v>44189</v>
      </c>
      <c r="C300">
        <v>16</v>
      </c>
      <c r="D300">
        <v>1369</v>
      </c>
      <c r="E300">
        <v>190</v>
      </c>
      <c r="F300">
        <v>358</v>
      </c>
      <c r="G300" s="5">
        <f ca="1">IFERROR(__xludf.DUMMYFUNCTION("""COMPUTED_VALUE"""),7199)</f>
        <v>7199</v>
      </c>
      <c r="H300" s="5">
        <f ca="1">IFERROR(__xludf.DUMMYFUNCTION("""COMPUTED_VALUE"""),1933)</f>
        <v>1933</v>
      </c>
      <c r="I300">
        <v>-27</v>
      </c>
      <c r="J300">
        <v>-7</v>
      </c>
      <c r="K300">
        <v>-43</v>
      </c>
      <c r="L300">
        <v>-42</v>
      </c>
      <c r="M300">
        <v>-51</v>
      </c>
      <c r="N300">
        <v>15</v>
      </c>
      <c r="O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18471</v>
      </c>
      <c r="AE300">
        <v>1899</v>
      </c>
      <c r="AF300">
        <v>16572</v>
      </c>
      <c r="AG300" s="2">
        <v>0.10280981</v>
      </c>
      <c r="AH300" t="s">
        <v>31</v>
      </c>
      <c r="AI300" s="4">
        <v>3146</v>
      </c>
      <c r="AJ300" s="4">
        <v>152491</v>
      </c>
      <c r="AK300" s="4">
        <v>8833</v>
      </c>
      <c r="AL300" s="4">
        <v>5305</v>
      </c>
      <c r="AM300" s="4">
        <v>169775</v>
      </c>
      <c r="AN300" s="5">
        <f ca="1">IFERROR(__xludf.DUMMYFUNCTION("""COMPUTED_VALUE"""),548)</f>
        <v>548</v>
      </c>
    </row>
    <row r="301" spans="1:40" x14ac:dyDescent="0.35">
      <c r="A301" s="1">
        <v>300</v>
      </c>
      <c r="B301" s="7">
        <v>44190</v>
      </c>
      <c r="C301">
        <v>21</v>
      </c>
      <c r="D301">
        <v>1751</v>
      </c>
      <c r="E301">
        <v>-113</v>
      </c>
      <c r="F301">
        <v>437</v>
      </c>
      <c r="G301" s="5">
        <f ca="1">IFERROR(__xludf.DUMMYFUNCTION("""COMPUTED_VALUE"""),7259)</f>
        <v>7259</v>
      </c>
      <c r="H301" s="5">
        <f ca="1">IFERROR(__xludf.DUMMYFUNCTION("""COMPUTED_VALUE"""),2096)</f>
        <v>2096</v>
      </c>
      <c r="I301">
        <v>-34</v>
      </c>
      <c r="J301">
        <v>-17</v>
      </c>
      <c r="K301">
        <v>-42</v>
      </c>
      <c r="L301">
        <v>-53</v>
      </c>
      <c r="M301">
        <v>-66</v>
      </c>
      <c r="N301">
        <v>22</v>
      </c>
      <c r="O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10882</v>
      </c>
      <c r="AE301">
        <v>1881</v>
      </c>
      <c r="AF301">
        <v>9001</v>
      </c>
      <c r="AG301" s="2">
        <v>0.17285425469999999</v>
      </c>
      <c r="AH301" t="s">
        <v>31</v>
      </c>
      <c r="AI301" s="4">
        <v>3167</v>
      </c>
      <c r="AJ301" s="4">
        <v>154242</v>
      </c>
      <c r="AK301" s="4">
        <v>8720</v>
      </c>
      <c r="AL301" s="4">
        <v>5742</v>
      </c>
      <c r="AM301" s="4">
        <v>171871</v>
      </c>
      <c r="AN301" s="5">
        <f ca="1">IFERROR(__xludf.DUMMYFUNCTION("""COMPUTED_VALUE"""),324)</f>
        <v>324</v>
      </c>
    </row>
    <row r="302" spans="1:40" x14ac:dyDescent="0.35">
      <c r="A302" s="1">
        <v>301</v>
      </c>
      <c r="B302" s="7">
        <v>44191</v>
      </c>
      <c r="C302">
        <v>15</v>
      </c>
      <c r="D302">
        <v>2556</v>
      </c>
      <c r="E302">
        <v>719</v>
      </c>
      <c r="F302">
        <v>-1232</v>
      </c>
      <c r="G302" s="5">
        <f ca="1">IFERROR(__xludf.DUMMYFUNCTION("""COMPUTED_VALUE"""),6740)</f>
        <v>6740</v>
      </c>
      <c r="H302" s="5">
        <f ca="1">IFERROR(__xludf.DUMMYFUNCTION("""COMPUTED_VALUE"""),2058)</f>
        <v>2058</v>
      </c>
      <c r="I302">
        <v>-36</v>
      </c>
      <c r="J302">
        <v>-15</v>
      </c>
      <c r="K302">
        <v>-49</v>
      </c>
      <c r="L302">
        <v>-38</v>
      </c>
      <c r="M302">
        <v>-26</v>
      </c>
      <c r="N302">
        <v>10</v>
      </c>
      <c r="O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10612</v>
      </c>
      <c r="AE302">
        <v>1531</v>
      </c>
      <c r="AF302">
        <v>9081</v>
      </c>
      <c r="AG302" s="2">
        <v>0.14427063700000001</v>
      </c>
      <c r="AH302" t="s">
        <v>31</v>
      </c>
      <c r="AI302" s="4">
        <v>3182</v>
      </c>
      <c r="AJ302" s="4">
        <v>156798</v>
      </c>
      <c r="AK302" s="4">
        <v>9439</v>
      </c>
      <c r="AL302" s="4">
        <v>4510</v>
      </c>
      <c r="AM302" s="4">
        <v>173929</v>
      </c>
      <c r="AN302" s="5">
        <f ca="1">IFERROR(__xludf.DUMMYFUNCTION("""COMPUTED_VALUE"""),-513)</f>
        <v>-513</v>
      </c>
    </row>
    <row r="303" spans="1:40" x14ac:dyDescent="0.35">
      <c r="A303" s="1">
        <v>302</v>
      </c>
      <c r="B303" s="7">
        <v>44192</v>
      </c>
      <c r="C303">
        <v>22</v>
      </c>
      <c r="D303">
        <v>1817</v>
      </c>
      <c r="E303">
        <v>216</v>
      </c>
      <c r="F303">
        <v>-58</v>
      </c>
      <c r="G303" s="5">
        <f ca="1">IFERROR(__xludf.DUMMYFUNCTION("""COMPUTED_VALUE"""),6528)</f>
        <v>6528</v>
      </c>
      <c r="H303" s="5">
        <f ca="1">IFERROR(__xludf.DUMMYFUNCTION("""COMPUTED_VALUE"""),1997)</f>
        <v>1997</v>
      </c>
      <c r="I303">
        <v>-36</v>
      </c>
      <c r="J303">
        <v>-17</v>
      </c>
      <c r="K303">
        <v>-53</v>
      </c>
      <c r="L303">
        <v>-33</v>
      </c>
      <c r="M303">
        <v>-11</v>
      </c>
      <c r="N303">
        <v>8</v>
      </c>
      <c r="O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10712</v>
      </c>
      <c r="AE303">
        <v>1294</v>
      </c>
      <c r="AF303">
        <v>9418</v>
      </c>
      <c r="AG303" s="2">
        <v>0.1207991038</v>
      </c>
      <c r="AH303" t="s">
        <v>31</v>
      </c>
      <c r="AI303" s="4">
        <v>3204</v>
      </c>
      <c r="AJ303" s="4">
        <v>158615</v>
      </c>
      <c r="AK303" s="4">
        <v>9655</v>
      </c>
      <c r="AL303" s="4">
        <v>4452</v>
      </c>
      <c r="AM303" s="4">
        <v>175926</v>
      </c>
      <c r="AN303" s="5">
        <f ca="1">IFERROR(__xludf.DUMMYFUNCTION("""COMPUTED_VALUE"""),158)</f>
        <v>158</v>
      </c>
    </row>
    <row r="304" spans="1:40" x14ac:dyDescent="0.35">
      <c r="A304" s="1">
        <v>303</v>
      </c>
      <c r="B304" s="7">
        <v>44193</v>
      </c>
      <c r="C304">
        <v>22</v>
      </c>
      <c r="D304">
        <v>1263</v>
      </c>
      <c r="E304">
        <v>264</v>
      </c>
      <c r="F304">
        <v>129</v>
      </c>
      <c r="G304" s="5">
        <f ca="1">IFERROR(__xludf.DUMMYFUNCTION("""COMPUTED_VALUE"""),5854)</f>
        <v>5854</v>
      </c>
      <c r="H304" s="5">
        <f ca="1">IFERROR(__xludf.DUMMYFUNCTION("""COMPUTED_VALUE"""),1678)</f>
        <v>1678</v>
      </c>
      <c r="I304">
        <v>-28</v>
      </c>
      <c r="J304">
        <v>-6</v>
      </c>
      <c r="K304">
        <v>-48</v>
      </c>
      <c r="L304">
        <v>-40</v>
      </c>
      <c r="M304">
        <v>-36</v>
      </c>
      <c r="N304">
        <v>13</v>
      </c>
      <c r="O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20216</v>
      </c>
      <c r="AE304">
        <v>2181</v>
      </c>
      <c r="AF304">
        <v>18035</v>
      </c>
      <c r="AG304" s="2">
        <v>0.1078848437</v>
      </c>
      <c r="AH304" t="s">
        <v>31</v>
      </c>
      <c r="AI304" s="4">
        <v>3226</v>
      </c>
      <c r="AJ304" s="4">
        <v>159878</v>
      </c>
      <c r="AK304" s="4">
        <v>9919</v>
      </c>
      <c r="AL304" s="4">
        <v>4581</v>
      </c>
      <c r="AM304" s="4">
        <v>177604</v>
      </c>
      <c r="AN304" s="5">
        <f ca="1">IFERROR(__xludf.DUMMYFUNCTION("""COMPUTED_VALUE"""),393)</f>
        <v>393</v>
      </c>
    </row>
    <row r="305" spans="1:40" x14ac:dyDescent="0.35">
      <c r="A305" s="1">
        <v>304</v>
      </c>
      <c r="B305" s="7">
        <v>44194</v>
      </c>
      <c r="C305">
        <v>20</v>
      </c>
      <c r="D305">
        <v>1459</v>
      </c>
      <c r="E305">
        <v>99</v>
      </c>
      <c r="F305">
        <v>478</v>
      </c>
      <c r="G305" s="5">
        <f ca="1">IFERROR(__xludf.DUMMYFUNCTION("""COMPUTED_VALUE"""),7903)</f>
        <v>7903</v>
      </c>
      <c r="H305" s="5">
        <f ca="1">IFERROR(__xludf.DUMMYFUNCTION("""COMPUTED_VALUE"""),2056)</f>
        <v>2056</v>
      </c>
      <c r="I305">
        <v>-29</v>
      </c>
      <c r="J305">
        <v>-8</v>
      </c>
      <c r="K305">
        <v>-49</v>
      </c>
      <c r="L305">
        <v>-40</v>
      </c>
      <c r="M305">
        <v>-38</v>
      </c>
      <c r="N305">
        <v>14</v>
      </c>
      <c r="O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20112</v>
      </c>
      <c r="AE305">
        <v>2547</v>
      </c>
      <c r="AF305">
        <v>17565</v>
      </c>
      <c r="AG305" s="2">
        <v>0.12664081150000001</v>
      </c>
      <c r="AH305" t="s">
        <v>31</v>
      </c>
      <c r="AI305" s="4">
        <v>3246</v>
      </c>
      <c r="AJ305" s="4">
        <v>161337</v>
      </c>
      <c r="AK305" s="4">
        <v>10018</v>
      </c>
      <c r="AL305" s="4">
        <v>5059</v>
      </c>
      <c r="AM305" s="4">
        <v>179660</v>
      </c>
      <c r="AN305" s="5">
        <f ca="1">IFERROR(__xludf.DUMMYFUNCTION("""COMPUTED_VALUE"""),577)</f>
        <v>577</v>
      </c>
    </row>
    <row r="306" spans="1:40" x14ac:dyDescent="0.35">
      <c r="A306" s="1">
        <v>305</v>
      </c>
      <c r="B306" s="7">
        <v>44195</v>
      </c>
      <c r="C306">
        <v>20</v>
      </c>
      <c r="D306">
        <v>1574</v>
      </c>
      <c r="E306">
        <v>-136</v>
      </c>
      <c r="F306">
        <v>595</v>
      </c>
      <c r="G306" s="5">
        <f ca="1">IFERROR(__xludf.DUMMYFUNCTION("""COMPUTED_VALUE"""),8002)</f>
        <v>8002</v>
      </c>
      <c r="H306" s="5">
        <f ca="1">IFERROR(__xludf.DUMMYFUNCTION("""COMPUTED_VALUE"""),2053)</f>
        <v>2053</v>
      </c>
      <c r="I306">
        <v>-28</v>
      </c>
      <c r="J306">
        <v>-4</v>
      </c>
      <c r="K306">
        <v>-50</v>
      </c>
      <c r="L306">
        <v>-38</v>
      </c>
      <c r="M306">
        <v>-38</v>
      </c>
      <c r="N306">
        <v>13</v>
      </c>
      <c r="O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19514</v>
      </c>
      <c r="AE306">
        <v>2565</v>
      </c>
      <c r="AF306">
        <v>16949</v>
      </c>
      <c r="AG306" s="2">
        <v>0.13144409139999999</v>
      </c>
      <c r="AH306" t="s">
        <v>31</v>
      </c>
      <c r="AI306" s="4">
        <v>3266</v>
      </c>
      <c r="AJ306" s="4">
        <v>162911</v>
      </c>
      <c r="AK306" s="4">
        <v>9882</v>
      </c>
      <c r="AL306" s="4">
        <v>5654</v>
      </c>
      <c r="AM306" s="4">
        <v>181713</v>
      </c>
      <c r="AN306" s="5">
        <f ca="1">IFERROR(__xludf.DUMMYFUNCTION("""COMPUTED_VALUE"""),459)</f>
        <v>459</v>
      </c>
    </row>
    <row r="307" spans="1:40" x14ac:dyDescent="0.35">
      <c r="A307" s="1">
        <v>306</v>
      </c>
      <c r="B307" s="7">
        <v>44196</v>
      </c>
      <c r="C307">
        <v>21</v>
      </c>
      <c r="D307">
        <v>1970</v>
      </c>
      <c r="E307">
        <v>-136</v>
      </c>
      <c r="F307">
        <v>167</v>
      </c>
      <c r="G307" s="5">
        <f ca="1">IFERROR(__xludf.DUMMYFUNCTION("""COMPUTED_VALUE"""),8074)</f>
        <v>8074</v>
      </c>
      <c r="H307" s="5">
        <f ca="1">IFERROR(__xludf.DUMMYFUNCTION("""COMPUTED_VALUE"""),2022)</f>
        <v>2022</v>
      </c>
      <c r="I307">
        <v>-32</v>
      </c>
      <c r="J307">
        <v>-2</v>
      </c>
      <c r="K307">
        <v>-47</v>
      </c>
      <c r="L307">
        <v>-44</v>
      </c>
      <c r="M307">
        <v>-55</v>
      </c>
      <c r="N307">
        <v>15</v>
      </c>
      <c r="O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16718</v>
      </c>
      <c r="AE307">
        <v>2321</v>
      </c>
      <c r="AF307">
        <v>14397</v>
      </c>
      <c r="AG307" s="2">
        <v>0.13883239620000001</v>
      </c>
      <c r="AH307" t="s">
        <v>31</v>
      </c>
      <c r="AI307" s="4">
        <v>3287</v>
      </c>
      <c r="AJ307" s="4">
        <v>164881</v>
      </c>
      <c r="AK307" s="4">
        <v>9746</v>
      </c>
      <c r="AL307" s="4">
        <v>5821</v>
      </c>
      <c r="AM307" s="4">
        <v>183735</v>
      </c>
      <c r="AN307" s="5">
        <f ca="1">IFERROR(__xludf.DUMMYFUNCTION("""COMPUTED_VALUE"""),31)</f>
        <v>31</v>
      </c>
    </row>
    <row r="308" spans="1:40" x14ac:dyDescent="0.35">
      <c r="A308" s="1">
        <v>307</v>
      </c>
      <c r="B308" s="7">
        <v>44197</v>
      </c>
      <c r="C308">
        <v>21</v>
      </c>
      <c r="D308">
        <v>1631</v>
      </c>
      <c r="E308">
        <v>336</v>
      </c>
      <c r="F308">
        <v>-32</v>
      </c>
      <c r="G308" s="5">
        <f ca="1">IFERROR(__xludf.DUMMYFUNCTION("""COMPUTED_VALUE"""),8072)</f>
        <v>8072</v>
      </c>
      <c r="H308" s="5">
        <f ca="1">IFERROR(__xludf.DUMMYFUNCTION("""COMPUTED_VALUE"""),1956)</f>
        <v>1956</v>
      </c>
      <c r="I308">
        <v>-46</v>
      </c>
      <c r="J308">
        <v>-27</v>
      </c>
      <c r="K308">
        <v>-51</v>
      </c>
      <c r="L308">
        <v>-61</v>
      </c>
      <c r="M308">
        <v>-73</v>
      </c>
      <c r="N308">
        <v>22</v>
      </c>
      <c r="O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7812</v>
      </c>
      <c r="AE308">
        <v>1281</v>
      </c>
      <c r="AF308">
        <v>6531</v>
      </c>
      <c r="AG308" s="2">
        <v>0.1639784946</v>
      </c>
      <c r="AH308" t="s">
        <v>31</v>
      </c>
      <c r="AI308" s="4">
        <v>3308</v>
      </c>
      <c r="AJ308" s="4">
        <v>166512</v>
      </c>
      <c r="AK308" s="4">
        <v>10082</v>
      </c>
      <c r="AL308" s="4">
        <v>5789</v>
      </c>
      <c r="AM308" s="4">
        <v>185691</v>
      </c>
      <c r="AN308" s="5">
        <f ca="1">IFERROR(__xludf.DUMMYFUNCTION("""COMPUTED_VALUE"""),304)</f>
        <v>304</v>
      </c>
    </row>
    <row r="309" spans="1:40" x14ac:dyDescent="0.35">
      <c r="A309" s="1">
        <v>308</v>
      </c>
      <c r="B309" s="7">
        <v>44198</v>
      </c>
      <c r="C309">
        <v>26</v>
      </c>
      <c r="D309">
        <v>2269</v>
      </c>
      <c r="E309">
        <v>790</v>
      </c>
      <c r="F309">
        <v>-1190</v>
      </c>
      <c r="G309" s="5">
        <f ca="1">IFERROR(__xludf.DUMMYFUNCTION("""COMPUTED_VALUE"""),7203)</f>
        <v>7203</v>
      </c>
      <c r="H309" s="5">
        <f ca="1">IFERROR(__xludf.DUMMYFUNCTION("""COMPUTED_VALUE"""),1895)</f>
        <v>1895</v>
      </c>
      <c r="I309">
        <v>-39</v>
      </c>
      <c r="J309">
        <v>-15</v>
      </c>
      <c r="K309">
        <v>-50</v>
      </c>
      <c r="L309">
        <v>-41</v>
      </c>
      <c r="M309">
        <v>-33</v>
      </c>
      <c r="N309">
        <v>11</v>
      </c>
      <c r="O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12611</v>
      </c>
      <c r="AE309">
        <v>1960</v>
      </c>
      <c r="AF309">
        <v>10651</v>
      </c>
      <c r="AG309" s="2">
        <v>0.1554198715</v>
      </c>
      <c r="AH309" t="s">
        <v>31</v>
      </c>
      <c r="AI309" s="4">
        <v>3334</v>
      </c>
      <c r="AJ309" s="4">
        <v>168781</v>
      </c>
      <c r="AK309" s="4">
        <v>10872</v>
      </c>
      <c r="AL309" s="4">
        <v>4599</v>
      </c>
      <c r="AM309" s="4">
        <v>187586</v>
      </c>
      <c r="AN309" s="5">
        <f ca="1">IFERROR(__xludf.DUMMYFUNCTION("""COMPUTED_VALUE"""),-400)</f>
        <v>-400</v>
      </c>
    </row>
    <row r="310" spans="1:40" x14ac:dyDescent="0.35">
      <c r="A310" s="1">
        <v>309</v>
      </c>
      <c r="B310" s="7">
        <v>44199</v>
      </c>
      <c r="C310">
        <v>11</v>
      </c>
      <c r="D310">
        <v>1729</v>
      </c>
      <c r="E310">
        <v>106</v>
      </c>
      <c r="F310">
        <v>-189</v>
      </c>
      <c r="G310" s="5">
        <f ca="1">IFERROR(__xludf.DUMMYFUNCTION("""COMPUTED_VALUE"""),6877)</f>
        <v>6877</v>
      </c>
      <c r="H310" s="5">
        <f ca="1">IFERROR(__xludf.DUMMYFUNCTION("""COMPUTED_VALUE"""),1657)</f>
        <v>1657</v>
      </c>
      <c r="I310">
        <v>-40</v>
      </c>
      <c r="J310">
        <v>-19</v>
      </c>
      <c r="K310">
        <v>-58</v>
      </c>
      <c r="L310">
        <v>-34</v>
      </c>
      <c r="M310">
        <v>-15</v>
      </c>
      <c r="N310">
        <v>9</v>
      </c>
      <c r="O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10391</v>
      </c>
      <c r="AE310">
        <v>1671</v>
      </c>
      <c r="AF310">
        <v>8720</v>
      </c>
      <c r="AG310" s="2">
        <v>0.1608122414</v>
      </c>
      <c r="AH310" t="s">
        <v>31</v>
      </c>
      <c r="AI310" s="4">
        <v>3345</v>
      </c>
      <c r="AJ310" s="4">
        <v>170510</v>
      </c>
      <c r="AK310" s="4">
        <v>10978</v>
      </c>
      <c r="AL310" s="4">
        <v>4410</v>
      </c>
      <c r="AM310" s="4">
        <v>189243</v>
      </c>
      <c r="AN310" s="5">
        <f ca="1">IFERROR(__xludf.DUMMYFUNCTION("""COMPUTED_VALUE"""),-83)</f>
        <v>-83</v>
      </c>
    </row>
    <row r="311" spans="1:40" x14ac:dyDescent="0.35">
      <c r="A311" s="1">
        <v>310</v>
      </c>
      <c r="B311" s="7">
        <v>44200</v>
      </c>
      <c r="C311">
        <v>24</v>
      </c>
      <c r="D311">
        <v>2526</v>
      </c>
      <c r="E311">
        <v>-607</v>
      </c>
      <c r="F311">
        <v>-111</v>
      </c>
      <c r="G311" s="5">
        <f ca="1">IFERROR(__xludf.DUMMYFUNCTION("""COMPUTED_VALUE"""),6753)</f>
        <v>6753</v>
      </c>
      <c r="H311" s="5">
        <f ca="1">IFERROR(__xludf.DUMMYFUNCTION("""COMPUTED_VALUE"""),1832)</f>
        <v>1832</v>
      </c>
      <c r="I311">
        <v>-29</v>
      </c>
      <c r="J311">
        <v>-5</v>
      </c>
      <c r="K311">
        <v>-50</v>
      </c>
      <c r="L311">
        <v>-39</v>
      </c>
      <c r="M311">
        <v>-32</v>
      </c>
      <c r="N311">
        <v>13</v>
      </c>
      <c r="O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18712</v>
      </c>
      <c r="AE311">
        <v>2186</v>
      </c>
      <c r="AF311">
        <v>16526</v>
      </c>
      <c r="AG311" s="2">
        <v>0.1168234288</v>
      </c>
      <c r="AH311" t="s">
        <v>31</v>
      </c>
      <c r="AI311" s="4">
        <v>3369</v>
      </c>
      <c r="AJ311" s="4">
        <v>173036</v>
      </c>
      <c r="AK311" s="4">
        <v>10371</v>
      </c>
      <c r="AL311" s="4">
        <v>4299</v>
      </c>
      <c r="AM311" s="4">
        <v>191075</v>
      </c>
      <c r="AN311" s="5">
        <f ca="1">IFERROR(__xludf.DUMMYFUNCTION("""COMPUTED_VALUE"""),-718)</f>
        <v>-718</v>
      </c>
    </row>
    <row r="312" spans="1:40" x14ac:dyDescent="0.35">
      <c r="A312" s="1">
        <v>311</v>
      </c>
      <c r="B312" s="7">
        <v>44201</v>
      </c>
      <c r="C312">
        <v>23</v>
      </c>
      <c r="D312">
        <v>1095</v>
      </c>
      <c r="E312">
        <v>526</v>
      </c>
      <c r="F312">
        <v>180</v>
      </c>
      <c r="G312" s="5">
        <f ca="1">IFERROR(__xludf.DUMMYFUNCTION("""COMPUTED_VALUE"""),7445)</f>
        <v>7445</v>
      </c>
      <c r="H312" s="5">
        <f ca="1">IFERROR(__xludf.DUMMYFUNCTION("""COMPUTED_VALUE"""),1824)</f>
        <v>1824</v>
      </c>
      <c r="I312">
        <v>-32</v>
      </c>
      <c r="J312">
        <v>-9</v>
      </c>
      <c r="K312">
        <v>-53</v>
      </c>
      <c r="L312">
        <v>-39</v>
      </c>
      <c r="M312">
        <v>-33</v>
      </c>
      <c r="N312">
        <v>14</v>
      </c>
      <c r="O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19123</v>
      </c>
      <c r="AE312">
        <v>2420</v>
      </c>
      <c r="AF312">
        <v>16703</v>
      </c>
      <c r="AG312" s="2">
        <v>0.1265491816</v>
      </c>
      <c r="AH312" t="s">
        <v>31</v>
      </c>
      <c r="AI312" s="4">
        <v>3392</v>
      </c>
      <c r="AJ312" s="4">
        <v>174131</v>
      </c>
      <c r="AK312" s="4">
        <v>10897</v>
      </c>
      <c r="AL312" s="4">
        <v>4479</v>
      </c>
      <c r="AM312" s="4">
        <v>192899</v>
      </c>
      <c r="AN312" s="5">
        <f ca="1">IFERROR(__xludf.DUMMYFUNCTION("""COMPUTED_VALUE"""),706)</f>
        <v>706</v>
      </c>
    </row>
    <row r="313" spans="1:40" x14ac:dyDescent="0.35">
      <c r="A313" s="1">
        <v>312</v>
      </c>
      <c r="B313" s="7">
        <v>44202</v>
      </c>
      <c r="C313">
        <v>18</v>
      </c>
      <c r="D313">
        <v>1310</v>
      </c>
      <c r="E313">
        <v>1299</v>
      </c>
      <c r="F313">
        <v>-225</v>
      </c>
      <c r="G313" s="5">
        <f ca="1">IFERROR(__xludf.DUMMYFUNCTION("""COMPUTED_VALUE"""),8854)</f>
        <v>8854</v>
      </c>
      <c r="H313" s="5">
        <f ca="1">IFERROR(__xludf.DUMMYFUNCTION("""COMPUTED_VALUE"""),2402)</f>
        <v>2402</v>
      </c>
      <c r="I313">
        <v>-30</v>
      </c>
      <c r="J313">
        <v>-11</v>
      </c>
      <c r="K313">
        <v>-52</v>
      </c>
      <c r="L313">
        <v>-40</v>
      </c>
      <c r="M313">
        <v>-32</v>
      </c>
      <c r="N313">
        <v>14</v>
      </c>
      <c r="O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22131</v>
      </c>
      <c r="AE313">
        <v>2481</v>
      </c>
      <c r="AF313">
        <v>19650</v>
      </c>
      <c r="AG313" s="2">
        <v>0.1121051918</v>
      </c>
      <c r="AH313" t="s">
        <v>31</v>
      </c>
      <c r="AI313" s="4">
        <v>3410</v>
      </c>
      <c r="AJ313" s="4">
        <v>175441</v>
      </c>
      <c r="AK313" s="4">
        <v>12196</v>
      </c>
      <c r="AL313" s="4">
        <v>4254</v>
      </c>
      <c r="AM313" s="4">
        <v>195301</v>
      </c>
      <c r="AN313" s="5">
        <f ca="1">IFERROR(__xludf.DUMMYFUNCTION("""COMPUTED_VALUE"""),1074)</f>
        <v>1074</v>
      </c>
    </row>
    <row r="314" spans="1:40" x14ac:dyDescent="0.35">
      <c r="A314" s="1">
        <v>313</v>
      </c>
      <c r="B314" s="7">
        <v>44203</v>
      </c>
      <c r="C314">
        <v>25</v>
      </c>
      <c r="D314">
        <v>1441</v>
      </c>
      <c r="E314">
        <v>585</v>
      </c>
      <c r="F314">
        <v>347</v>
      </c>
      <c r="G314" s="5">
        <f ca="1">IFERROR(__xludf.DUMMYFUNCTION("""COMPUTED_VALUE"""),9321)</f>
        <v>9321</v>
      </c>
      <c r="H314" s="5">
        <f ca="1">IFERROR(__xludf.DUMMYFUNCTION("""COMPUTED_VALUE"""),2398)</f>
        <v>2398</v>
      </c>
      <c r="I314">
        <v>-31</v>
      </c>
      <c r="J314">
        <v>-10</v>
      </c>
      <c r="K314">
        <v>-51</v>
      </c>
      <c r="L314">
        <v>-41</v>
      </c>
      <c r="M314">
        <v>-33</v>
      </c>
      <c r="N314">
        <v>15</v>
      </c>
      <c r="O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20011</v>
      </c>
      <c r="AE314">
        <v>2834</v>
      </c>
      <c r="AF314">
        <v>17177</v>
      </c>
      <c r="AG314" s="2">
        <v>0.14162210780000001</v>
      </c>
      <c r="AH314" t="s">
        <v>31</v>
      </c>
      <c r="AI314" s="4">
        <v>3435</v>
      </c>
      <c r="AJ314" s="4">
        <v>176882</v>
      </c>
      <c r="AK314" s="4">
        <v>12781</v>
      </c>
      <c r="AL314" s="4">
        <v>4601</v>
      </c>
      <c r="AM314" s="4">
        <v>197699</v>
      </c>
      <c r="AN314" s="5">
        <f ca="1">IFERROR(__xludf.DUMMYFUNCTION("""COMPUTED_VALUE"""),932)</f>
        <v>932</v>
      </c>
    </row>
    <row r="315" spans="1:40" x14ac:dyDescent="0.35">
      <c r="A315" s="1">
        <v>314</v>
      </c>
      <c r="B315" s="7">
        <v>44204</v>
      </c>
      <c r="C315">
        <v>28</v>
      </c>
      <c r="D315">
        <v>2680</v>
      </c>
      <c r="E315">
        <v>616</v>
      </c>
      <c r="F315">
        <v>-365</v>
      </c>
      <c r="G315" s="5">
        <f ca="1">IFERROR(__xludf.DUMMYFUNCTION("""COMPUTED_VALUE"""),10617)</f>
        <v>10617</v>
      </c>
      <c r="H315" s="5">
        <f ca="1">IFERROR(__xludf.DUMMYFUNCTION("""COMPUTED_VALUE"""),2959)</f>
        <v>2959</v>
      </c>
      <c r="I315">
        <v>-28</v>
      </c>
      <c r="J315">
        <v>-9</v>
      </c>
      <c r="K315">
        <v>-44</v>
      </c>
      <c r="L315">
        <v>-41</v>
      </c>
      <c r="M315">
        <v>-31</v>
      </c>
      <c r="N315">
        <v>15</v>
      </c>
      <c r="O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20471</v>
      </c>
      <c r="AE315">
        <v>2774</v>
      </c>
      <c r="AF315">
        <v>17697</v>
      </c>
      <c r="AG315" s="2">
        <v>0.13550876849999999</v>
      </c>
      <c r="AH315" t="s">
        <v>31</v>
      </c>
      <c r="AI315" s="4">
        <v>3463</v>
      </c>
      <c r="AJ315" s="4">
        <v>179562</v>
      </c>
      <c r="AK315" s="4">
        <v>13397</v>
      </c>
      <c r="AL315" s="4">
        <v>4236</v>
      </c>
      <c r="AM315" s="4">
        <v>200658</v>
      </c>
      <c r="AN315" s="5">
        <f ca="1">IFERROR(__xludf.DUMMYFUNCTION("""COMPUTED_VALUE"""),251)</f>
        <v>251</v>
      </c>
    </row>
    <row r="316" spans="1:40" x14ac:dyDescent="0.35">
      <c r="A316" s="1">
        <v>315</v>
      </c>
      <c r="B316" s="7">
        <v>44205</v>
      </c>
      <c r="C316">
        <v>22</v>
      </c>
      <c r="D316">
        <v>2051</v>
      </c>
      <c r="E316">
        <v>-321</v>
      </c>
      <c r="F316">
        <v>1001</v>
      </c>
      <c r="G316" s="5">
        <f ca="1">IFERROR(__xludf.DUMMYFUNCTION("""COMPUTED_VALUE"""),10046)</f>
        <v>10046</v>
      </c>
      <c r="H316" s="5">
        <f ca="1">IFERROR(__xludf.DUMMYFUNCTION("""COMPUTED_VALUE"""),2753)</f>
        <v>2753</v>
      </c>
      <c r="I316">
        <v>-38</v>
      </c>
      <c r="J316">
        <v>-18</v>
      </c>
      <c r="K316">
        <v>-58</v>
      </c>
      <c r="L316">
        <v>-39</v>
      </c>
      <c r="M316">
        <v>-20</v>
      </c>
      <c r="N316">
        <v>11</v>
      </c>
      <c r="O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17512</v>
      </c>
      <c r="AE316">
        <v>2892</v>
      </c>
      <c r="AF316">
        <v>14620</v>
      </c>
      <c r="AG316" s="2">
        <v>0.16514390130000001</v>
      </c>
      <c r="AH316" t="s">
        <v>31</v>
      </c>
      <c r="AI316" s="4">
        <v>3485</v>
      </c>
      <c r="AJ316" s="4">
        <v>181613</v>
      </c>
      <c r="AK316" s="4">
        <v>13076</v>
      </c>
      <c r="AL316" s="4">
        <v>5237</v>
      </c>
      <c r="AM316" s="4">
        <v>203411</v>
      </c>
      <c r="AN316" s="5">
        <f ca="1">IFERROR(__xludf.DUMMYFUNCTION("""COMPUTED_VALUE"""),680)</f>
        <v>680</v>
      </c>
    </row>
    <row r="317" spans="1:40" x14ac:dyDescent="0.35">
      <c r="A317" s="1">
        <v>316</v>
      </c>
      <c r="B317" s="7">
        <v>44206</v>
      </c>
      <c r="C317">
        <v>32</v>
      </c>
      <c r="D317">
        <v>2963</v>
      </c>
      <c r="E317">
        <v>90</v>
      </c>
      <c r="F317">
        <v>-374</v>
      </c>
      <c r="G317" s="5">
        <f ca="1">IFERROR(__xludf.DUMMYFUNCTION("""COMPUTED_VALUE"""),9640)</f>
        <v>9640</v>
      </c>
      <c r="H317" s="5">
        <f ca="1">IFERROR(__xludf.DUMMYFUNCTION("""COMPUTED_VALUE"""),2711)</f>
        <v>2711</v>
      </c>
      <c r="I317">
        <v>-32</v>
      </c>
      <c r="J317">
        <v>-9</v>
      </c>
      <c r="K317">
        <v>-55</v>
      </c>
      <c r="L317">
        <v>-34</v>
      </c>
      <c r="M317">
        <v>-12</v>
      </c>
      <c r="N317">
        <v>9</v>
      </c>
      <c r="O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10312</v>
      </c>
      <c r="AE317">
        <v>2346</v>
      </c>
      <c r="AF317">
        <v>7966</v>
      </c>
      <c r="AG317" s="2">
        <v>0.2275019395</v>
      </c>
      <c r="AH317" t="s">
        <v>31</v>
      </c>
      <c r="AI317" s="4">
        <v>3517</v>
      </c>
      <c r="AJ317" s="4">
        <v>184576</v>
      </c>
      <c r="AK317" s="4">
        <v>13166</v>
      </c>
      <c r="AL317" s="4">
        <v>4863</v>
      </c>
      <c r="AM317" s="4">
        <v>206122</v>
      </c>
      <c r="AN317" s="5">
        <f ca="1">IFERROR(__xludf.DUMMYFUNCTION("""COMPUTED_VALUE"""),-284)</f>
        <v>-284</v>
      </c>
    </row>
    <row r="318" spans="1:40" x14ac:dyDescent="0.35">
      <c r="A318" s="1">
        <v>317</v>
      </c>
      <c r="B318" s="7">
        <v>44207</v>
      </c>
      <c r="C318">
        <v>34</v>
      </c>
      <c r="D318">
        <v>2510</v>
      </c>
      <c r="E318">
        <v>375</v>
      </c>
      <c r="F318">
        <v>-458</v>
      </c>
      <c r="G318" s="5">
        <f ca="1">IFERROR(__xludf.DUMMYFUNCTION("""COMPUTED_VALUE"""),8692)</f>
        <v>8692</v>
      </c>
      <c r="H318" s="5">
        <f ca="1">IFERROR(__xludf.DUMMYFUNCTION("""COMPUTED_VALUE"""),2461)</f>
        <v>2461</v>
      </c>
      <c r="I318">
        <v>-32</v>
      </c>
      <c r="J318">
        <v>-12</v>
      </c>
      <c r="K318">
        <v>-50</v>
      </c>
      <c r="L318">
        <v>-43</v>
      </c>
      <c r="M318">
        <v>-34</v>
      </c>
      <c r="N318">
        <v>15</v>
      </c>
      <c r="O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14715</v>
      </c>
      <c r="AE318">
        <v>2869</v>
      </c>
      <c r="AF318">
        <v>11846</v>
      </c>
      <c r="AG318" s="2">
        <v>0.19497111789999999</v>
      </c>
      <c r="AH318" t="s">
        <v>32</v>
      </c>
      <c r="AI318" s="4">
        <v>3551</v>
      </c>
      <c r="AJ318" s="4">
        <v>187086</v>
      </c>
      <c r="AK318" s="4">
        <v>13541</v>
      </c>
      <c r="AL318" s="4">
        <v>4405</v>
      </c>
      <c r="AM318" s="4">
        <v>208583</v>
      </c>
      <c r="AN318" s="5">
        <f ca="1">IFERROR(__xludf.DUMMYFUNCTION("""COMPUTED_VALUE"""),-83)</f>
        <v>-83</v>
      </c>
    </row>
    <row r="319" spans="1:40" x14ac:dyDescent="0.35">
      <c r="A319" s="1">
        <v>318</v>
      </c>
      <c r="B319" s="7">
        <v>44208</v>
      </c>
      <c r="C319">
        <v>38</v>
      </c>
      <c r="D319">
        <v>1589</v>
      </c>
      <c r="E319">
        <v>1050</v>
      </c>
      <c r="F319">
        <v>-8</v>
      </c>
      <c r="G319" s="5">
        <f ca="1">IFERROR(__xludf.DUMMYFUNCTION("""COMPUTED_VALUE"""),10047)</f>
        <v>10047</v>
      </c>
      <c r="H319" s="5">
        <f ca="1">IFERROR(__xludf.DUMMYFUNCTION("""COMPUTED_VALUE"""),2669)</f>
        <v>2669</v>
      </c>
      <c r="I319">
        <v>-36</v>
      </c>
      <c r="J319">
        <v>-17</v>
      </c>
      <c r="K319">
        <v>-54</v>
      </c>
      <c r="L319">
        <v>-44</v>
      </c>
      <c r="M319">
        <v>-36</v>
      </c>
      <c r="N319">
        <v>15</v>
      </c>
      <c r="O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16312</v>
      </c>
      <c r="AE319">
        <v>3088</v>
      </c>
      <c r="AF319">
        <v>13224</v>
      </c>
      <c r="AG319" s="2">
        <v>0.18930848459999999</v>
      </c>
      <c r="AH319" t="s">
        <v>32</v>
      </c>
      <c r="AI319" s="4">
        <v>3589</v>
      </c>
      <c r="AJ319" s="4">
        <v>188675</v>
      </c>
      <c r="AK319" s="4">
        <v>14591</v>
      </c>
      <c r="AL319" s="4">
        <v>4397</v>
      </c>
      <c r="AM319" s="4">
        <v>211252</v>
      </c>
      <c r="AN319" s="5">
        <f ca="1">IFERROR(__xludf.DUMMYFUNCTION("""COMPUTED_VALUE"""),1042)</f>
        <v>1042</v>
      </c>
    </row>
    <row r="320" spans="1:40" x14ac:dyDescent="0.35">
      <c r="A320" s="1">
        <v>319</v>
      </c>
      <c r="B320" s="7">
        <v>44209</v>
      </c>
      <c r="C320">
        <v>45</v>
      </c>
      <c r="D320">
        <v>2960</v>
      </c>
      <c r="E320">
        <v>418</v>
      </c>
      <c r="F320">
        <v>53</v>
      </c>
      <c r="G320" s="5">
        <f ca="1">IFERROR(__xludf.DUMMYFUNCTION("""COMPUTED_VALUE"""),11278)</f>
        <v>11278</v>
      </c>
      <c r="H320" s="5">
        <f ca="1">IFERROR(__xludf.DUMMYFUNCTION("""COMPUTED_VALUE"""),3476)</f>
        <v>3476</v>
      </c>
      <c r="I320">
        <v>-36</v>
      </c>
      <c r="J320">
        <v>-18</v>
      </c>
      <c r="K320">
        <v>-53</v>
      </c>
      <c r="L320">
        <v>-45</v>
      </c>
      <c r="M320">
        <v>-36</v>
      </c>
      <c r="N320">
        <v>14</v>
      </c>
      <c r="O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19121</v>
      </c>
      <c r="AE320">
        <v>3214</v>
      </c>
      <c r="AF320">
        <v>15907</v>
      </c>
      <c r="AG320" s="2">
        <v>0.16808744310000001</v>
      </c>
      <c r="AH320" t="s">
        <v>32</v>
      </c>
      <c r="AI320" s="4">
        <v>3634</v>
      </c>
      <c r="AJ320" s="4">
        <v>191635</v>
      </c>
      <c r="AK320" s="4">
        <v>15009</v>
      </c>
      <c r="AL320" s="4">
        <v>4450</v>
      </c>
      <c r="AM320" s="4">
        <v>214728</v>
      </c>
      <c r="AN320" s="5">
        <f ca="1">IFERROR(__xludf.DUMMYFUNCTION("""COMPUTED_VALUE"""),471)</f>
        <v>471</v>
      </c>
    </row>
    <row r="321" spans="1:40" x14ac:dyDescent="0.35">
      <c r="A321" s="1">
        <v>320</v>
      </c>
      <c r="B321" s="7">
        <v>44210</v>
      </c>
      <c r="C321">
        <v>41</v>
      </c>
      <c r="D321">
        <v>2084</v>
      </c>
      <c r="E321">
        <v>843</v>
      </c>
      <c r="F321">
        <v>197</v>
      </c>
      <c r="G321" s="5">
        <f ca="1">IFERROR(__xludf.DUMMYFUNCTION("""COMPUTED_VALUE"""),11557)</f>
        <v>11557</v>
      </c>
      <c r="H321" s="5">
        <f ca="1">IFERROR(__xludf.DUMMYFUNCTION("""COMPUTED_VALUE"""),3165)</f>
        <v>3165</v>
      </c>
      <c r="I321">
        <v>-38</v>
      </c>
      <c r="J321">
        <v>-23</v>
      </c>
      <c r="K321">
        <v>-53</v>
      </c>
      <c r="L321">
        <v>-48</v>
      </c>
      <c r="M321">
        <v>-40</v>
      </c>
      <c r="N321">
        <v>12</v>
      </c>
      <c r="O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20982</v>
      </c>
      <c r="AE321">
        <v>2759</v>
      </c>
      <c r="AF321">
        <v>18223</v>
      </c>
      <c r="AG321" s="2">
        <v>0.1314936612</v>
      </c>
      <c r="AH321" t="s">
        <v>32</v>
      </c>
      <c r="AI321" s="4">
        <v>3675</v>
      </c>
      <c r="AJ321" s="4">
        <v>193719</v>
      </c>
      <c r="AK321" s="4">
        <v>15852</v>
      </c>
      <c r="AL321" s="4">
        <v>4647</v>
      </c>
      <c r="AM321" s="4">
        <v>217893</v>
      </c>
      <c r="AN321" s="5">
        <f ca="1">IFERROR(__xludf.DUMMYFUNCTION("""COMPUTED_VALUE"""),1040)</f>
        <v>1040</v>
      </c>
    </row>
    <row r="322" spans="1:40" x14ac:dyDescent="0.35">
      <c r="A322" s="1">
        <v>321</v>
      </c>
      <c r="B322" s="7">
        <v>44211</v>
      </c>
      <c r="C322">
        <v>35</v>
      </c>
      <c r="D322">
        <v>2205</v>
      </c>
      <c r="E322">
        <v>-299</v>
      </c>
      <c r="F322">
        <v>600</v>
      </c>
      <c r="G322" s="5">
        <f ca="1">IFERROR(__xludf.DUMMYFUNCTION("""COMPUTED_VALUE"""),12818)</f>
        <v>12818</v>
      </c>
      <c r="H322" s="5">
        <f ca="1">IFERROR(__xludf.DUMMYFUNCTION("""COMPUTED_VALUE"""),2541)</f>
        <v>2541</v>
      </c>
      <c r="I322">
        <v>-36</v>
      </c>
      <c r="J322">
        <v>-22</v>
      </c>
      <c r="K322">
        <v>-48</v>
      </c>
      <c r="L322">
        <v>-49</v>
      </c>
      <c r="M322">
        <v>-40</v>
      </c>
      <c r="N322">
        <v>13</v>
      </c>
      <c r="O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22812</v>
      </c>
      <c r="AE322">
        <v>3217</v>
      </c>
      <c r="AF322">
        <v>19595</v>
      </c>
      <c r="AG322" s="2">
        <v>0.14102226900000001</v>
      </c>
      <c r="AH322" t="s">
        <v>32</v>
      </c>
      <c r="AI322" s="4">
        <v>3710</v>
      </c>
      <c r="AJ322" s="4">
        <v>195924</v>
      </c>
      <c r="AK322" s="4">
        <v>15553</v>
      </c>
      <c r="AL322" s="4">
        <v>5247</v>
      </c>
      <c r="AM322" s="4">
        <v>220434</v>
      </c>
      <c r="AN322" s="5">
        <f ca="1">IFERROR(__xludf.DUMMYFUNCTION("""COMPUTED_VALUE"""),301)</f>
        <v>301</v>
      </c>
    </row>
    <row r="323" spans="1:40" x14ac:dyDescent="0.35">
      <c r="A323" s="1">
        <v>322</v>
      </c>
      <c r="B323" s="7">
        <v>44212</v>
      </c>
      <c r="C323">
        <v>35</v>
      </c>
      <c r="D323">
        <v>2212</v>
      </c>
      <c r="E323">
        <v>1971</v>
      </c>
      <c r="F323">
        <v>-682</v>
      </c>
      <c r="G323" s="5">
        <f ca="1">IFERROR(__xludf.DUMMYFUNCTION("""COMPUTED_VALUE"""),14224)</f>
        <v>14224</v>
      </c>
      <c r="H323" s="5">
        <f ca="1">IFERROR(__xludf.DUMMYFUNCTION("""COMPUTED_VALUE"""),3536)</f>
        <v>3536</v>
      </c>
      <c r="I323">
        <v>-39</v>
      </c>
      <c r="J323">
        <v>-21</v>
      </c>
      <c r="K323">
        <v>-53</v>
      </c>
      <c r="L323">
        <v>-44</v>
      </c>
      <c r="M323">
        <v>-28</v>
      </c>
      <c r="N323">
        <v>8</v>
      </c>
      <c r="O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17617</v>
      </c>
      <c r="AE323">
        <v>2559</v>
      </c>
      <c r="AF323">
        <v>15058</v>
      </c>
      <c r="AG323" s="2">
        <v>0.14525742180000001</v>
      </c>
      <c r="AH323" t="s">
        <v>32</v>
      </c>
      <c r="AI323" s="4">
        <v>3745</v>
      </c>
      <c r="AJ323" s="4">
        <v>198136</v>
      </c>
      <c r="AK323" s="4">
        <v>17524</v>
      </c>
      <c r="AL323" s="4">
        <v>4565</v>
      </c>
      <c r="AM323" s="4">
        <v>223970</v>
      </c>
      <c r="AN323" s="5">
        <f ca="1">IFERROR(__xludf.DUMMYFUNCTION("""COMPUTED_VALUE"""),1289)</f>
        <v>1289</v>
      </c>
    </row>
    <row r="324" spans="1:40" x14ac:dyDescent="0.35">
      <c r="A324" s="1">
        <v>323</v>
      </c>
      <c r="B324" s="7">
        <v>44213</v>
      </c>
      <c r="C324">
        <v>34</v>
      </c>
      <c r="D324">
        <v>3771</v>
      </c>
      <c r="E324">
        <v>-783</v>
      </c>
      <c r="F324">
        <v>373</v>
      </c>
      <c r="G324" s="5">
        <f ca="1">IFERROR(__xludf.DUMMYFUNCTION("""COMPUTED_VALUE"""),11287)</f>
        <v>11287</v>
      </c>
      <c r="H324" s="5">
        <f ca="1">IFERROR(__xludf.DUMMYFUNCTION("""COMPUTED_VALUE"""),3395)</f>
        <v>3395</v>
      </c>
      <c r="I324">
        <v>-41</v>
      </c>
      <c r="J324">
        <v>-24</v>
      </c>
      <c r="K324">
        <v>-57</v>
      </c>
      <c r="L324">
        <v>-43</v>
      </c>
      <c r="M324">
        <v>-23</v>
      </c>
      <c r="N324">
        <v>8</v>
      </c>
      <c r="O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12813</v>
      </c>
      <c r="AE324">
        <v>2361</v>
      </c>
      <c r="AF324">
        <v>10452</v>
      </c>
      <c r="AG324" s="2">
        <v>0.18426597989999999</v>
      </c>
      <c r="AH324" t="s">
        <v>32</v>
      </c>
      <c r="AI324" s="4">
        <v>3779</v>
      </c>
      <c r="AJ324" s="4">
        <v>201907</v>
      </c>
      <c r="AK324" s="4">
        <v>16741</v>
      </c>
      <c r="AL324" s="4">
        <v>4938</v>
      </c>
      <c r="AM324" s="4">
        <v>227365</v>
      </c>
      <c r="AN324" s="5">
        <f ca="1">IFERROR(__xludf.DUMMYFUNCTION("""COMPUTED_VALUE"""),-410)</f>
        <v>-410</v>
      </c>
    </row>
    <row r="325" spans="1:40" x14ac:dyDescent="0.35">
      <c r="A325" s="1">
        <v>324</v>
      </c>
      <c r="B325" s="7">
        <v>44214</v>
      </c>
      <c r="C325">
        <v>36</v>
      </c>
      <c r="D325">
        <v>2804</v>
      </c>
      <c r="E325">
        <v>-322</v>
      </c>
      <c r="F325">
        <v>-157</v>
      </c>
      <c r="G325" s="5">
        <f ca="1">IFERROR(__xludf.DUMMYFUNCTION("""COMPUTED_VALUE"""),9086)</f>
        <v>9086</v>
      </c>
      <c r="H325" s="5">
        <f ca="1">IFERROR(__xludf.DUMMYFUNCTION("""COMPUTED_VALUE"""),2361)</f>
        <v>2361</v>
      </c>
      <c r="I325">
        <v>-39</v>
      </c>
      <c r="J325">
        <v>-24</v>
      </c>
      <c r="K325">
        <v>-55</v>
      </c>
      <c r="L325">
        <v>-48</v>
      </c>
      <c r="M325">
        <v>-41</v>
      </c>
      <c r="N325">
        <v>14</v>
      </c>
      <c r="O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20101</v>
      </c>
      <c r="AE325">
        <v>2839</v>
      </c>
      <c r="AF325">
        <v>17262</v>
      </c>
      <c r="AG325" s="2">
        <v>0.1412367544</v>
      </c>
      <c r="AH325" t="s">
        <v>32</v>
      </c>
      <c r="AI325" s="4">
        <v>3815</v>
      </c>
      <c r="AJ325" s="4">
        <v>204711</v>
      </c>
      <c r="AK325" s="4">
        <v>16419</v>
      </c>
      <c r="AL325" s="4">
        <v>4781</v>
      </c>
      <c r="AM325" s="4">
        <v>229726</v>
      </c>
      <c r="AN325" s="5">
        <f ca="1">IFERROR(__xludf.DUMMYFUNCTION("""COMPUTED_VALUE"""),-479)</f>
        <v>-479</v>
      </c>
    </row>
    <row r="326" spans="1:40" x14ac:dyDescent="0.35">
      <c r="A326" s="1">
        <v>325</v>
      </c>
      <c r="B326" s="7">
        <v>44215</v>
      </c>
      <c r="C326">
        <v>21</v>
      </c>
      <c r="D326">
        <v>4527</v>
      </c>
      <c r="E326">
        <v>-1815</v>
      </c>
      <c r="F326">
        <v>-170</v>
      </c>
      <c r="G326" s="5">
        <f ca="1">IFERROR(__xludf.DUMMYFUNCTION("""COMPUTED_VALUE"""),10365)</f>
        <v>10365</v>
      </c>
      <c r="H326" s="5">
        <f ca="1">IFERROR(__xludf.DUMMYFUNCTION("""COMPUTED_VALUE"""),2563)</f>
        <v>2563</v>
      </c>
      <c r="I326">
        <v>-39</v>
      </c>
      <c r="J326">
        <v>-23</v>
      </c>
      <c r="K326">
        <v>-56</v>
      </c>
      <c r="L326">
        <v>-49</v>
      </c>
      <c r="M326">
        <v>-41</v>
      </c>
      <c r="N326">
        <v>14</v>
      </c>
      <c r="O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20812</v>
      </c>
      <c r="AE326">
        <v>3126</v>
      </c>
      <c r="AF326">
        <v>17686</v>
      </c>
      <c r="AG326" s="2">
        <v>0.1502018067</v>
      </c>
      <c r="AH326" t="s">
        <v>32</v>
      </c>
      <c r="AI326" s="4">
        <v>3836</v>
      </c>
      <c r="AJ326" s="4">
        <v>209238</v>
      </c>
      <c r="AK326" s="4">
        <v>14604</v>
      </c>
      <c r="AL326" s="4">
        <v>4611</v>
      </c>
      <c r="AM326" s="4">
        <v>232289</v>
      </c>
      <c r="AN326" s="5">
        <f ca="1">IFERROR(__xludf.DUMMYFUNCTION("""COMPUTED_VALUE"""),-1985)</f>
        <v>-1985</v>
      </c>
    </row>
    <row r="327" spans="1:40" x14ac:dyDescent="0.35">
      <c r="A327" s="1">
        <v>326</v>
      </c>
      <c r="B327" s="7">
        <v>44216</v>
      </c>
      <c r="C327">
        <v>32</v>
      </c>
      <c r="D327">
        <v>1745</v>
      </c>
      <c r="E327">
        <v>1785</v>
      </c>
      <c r="F327">
        <v>224</v>
      </c>
      <c r="G327" s="5">
        <f ca="1">IFERROR(__xludf.DUMMYFUNCTION("""COMPUTED_VALUE"""),12568)</f>
        <v>12568</v>
      </c>
      <c r="H327" s="5">
        <f ca="1">IFERROR(__xludf.DUMMYFUNCTION("""COMPUTED_VALUE"""),3786)</f>
        <v>3786</v>
      </c>
      <c r="I327">
        <v>-38</v>
      </c>
      <c r="J327">
        <v>-23</v>
      </c>
      <c r="K327">
        <v>-55</v>
      </c>
      <c r="L327">
        <v>-49</v>
      </c>
      <c r="M327">
        <v>-40</v>
      </c>
      <c r="N327">
        <v>14</v>
      </c>
      <c r="O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23411</v>
      </c>
      <c r="AE327">
        <v>3174</v>
      </c>
      <c r="AF327">
        <v>20237</v>
      </c>
      <c r="AG327" s="2">
        <v>0.13557729269999999</v>
      </c>
      <c r="AH327" t="s">
        <v>32</v>
      </c>
      <c r="AI327" s="4">
        <v>3868</v>
      </c>
      <c r="AJ327" s="4">
        <v>210983</v>
      </c>
      <c r="AK327" s="4">
        <v>16389</v>
      </c>
      <c r="AL327" s="4">
        <v>4835</v>
      </c>
      <c r="AM327" s="4">
        <v>236075</v>
      </c>
      <c r="AN327" s="5">
        <f ca="1">IFERROR(__xludf.DUMMYFUNCTION("""COMPUTED_VALUE"""),2009)</f>
        <v>2009</v>
      </c>
    </row>
    <row r="328" spans="1:40" x14ac:dyDescent="0.35">
      <c r="A328" s="1">
        <v>327</v>
      </c>
      <c r="B328" s="7">
        <v>44217</v>
      </c>
      <c r="C328">
        <v>32</v>
      </c>
      <c r="D328">
        <v>2587</v>
      </c>
      <c r="E328">
        <v>577</v>
      </c>
      <c r="F328">
        <v>-45</v>
      </c>
      <c r="G328" s="5">
        <f ca="1">IFERROR(__xludf.DUMMYFUNCTION("""COMPUTED_VALUE"""),11703)</f>
        <v>11703</v>
      </c>
      <c r="H328" s="5">
        <f ca="1">IFERROR(__xludf.DUMMYFUNCTION("""COMPUTED_VALUE"""),3151)</f>
        <v>3151</v>
      </c>
      <c r="I328">
        <v>-39</v>
      </c>
      <c r="J328">
        <v>-24</v>
      </c>
      <c r="K328">
        <v>-54</v>
      </c>
      <c r="L328">
        <v>-49</v>
      </c>
      <c r="M328">
        <v>-40</v>
      </c>
      <c r="N328">
        <v>14</v>
      </c>
      <c r="O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24312</v>
      </c>
      <c r="AE328">
        <v>3719</v>
      </c>
      <c r="AF328">
        <v>20593</v>
      </c>
      <c r="AG328" s="2">
        <v>0.15296972689999999</v>
      </c>
      <c r="AH328" t="s">
        <v>32</v>
      </c>
      <c r="AI328" s="4">
        <v>3900</v>
      </c>
      <c r="AJ328" s="4">
        <v>213570</v>
      </c>
      <c r="AK328" s="4">
        <v>16966</v>
      </c>
      <c r="AL328" s="4">
        <v>4790</v>
      </c>
      <c r="AM328" s="4">
        <v>239226</v>
      </c>
      <c r="AN328" s="5">
        <f ca="1">IFERROR(__xludf.DUMMYFUNCTION("""COMPUTED_VALUE"""),532)</f>
        <v>532</v>
      </c>
    </row>
    <row r="329" spans="1:40" x14ac:dyDescent="0.35">
      <c r="A329" s="1">
        <v>328</v>
      </c>
      <c r="B329" s="7">
        <v>44218</v>
      </c>
      <c r="C329">
        <v>40</v>
      </c>
      <c r="D329">
        <v>2149</v>
      </c>
      <c r="E329">
        <v>786</v>
      </c>
      <c r="F329">
        <v>817</v>
      </c>
      <c r="G329" s="5">
        <f ca="1">IFERROR(__xludf.DUMMYFUNCTION("""COMPUTED_VALUE"""),13632)</f>
        <v>13632</v>
      </c>
      <c r="H329" s="5">
        <f ca="1">IFERROR(__xludf.DUMMYFUNCTION("""COMPUTED_VALUE"""),3792)</f>
        <v>3792</v>
      </c>
      <c r="I329">
        <v>-35</v>
      </c>
      <c r="J329">
        <v>-20</v>
      </c>
      <c r="K329">
        <v>-47</v>
      </c>
      <c r="L329">
        <v>-48</v>
      </c>
      <c r="M329">
        <v>-37</v>
      </c>
      <c r="N329">
        <v>15</v>
      </c>
      <c r="O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22812</v>
      </c>
      <c r="AE329">
        <v>3350</v>
      </c>
      <c r="AF329">
        <v>19462</v>
      </c>
      <c r="AG329" s="2">
        <v>0.14685253379999999</v>
      </c>
      <c r="AH329" t="s">
        <v>32</v>
      </c>
      <c r="AI329" s="4">
        <v>3940</v>
      </c>
      <c r="AJ329" s="4">
        <v>215719</v>
      </c>
      <c r="AK329" s="4">
        <v>17752</v>
      </c>
      <c r="AL329" s="4">
        <v>5607</v>
      </c>
      <c r="AM329" s="4">
        <v>243018</v>
      </c>
      <c r="AN329" s="5">
        <f ca="1">IFERROR(__xludf.DUMMYFUNCTION("""COMPUTED_VALUE"""),1603)</f>
        <v>1603</v>
      </c>
    </row>
    <row r="330" spans="1:40" x14ac:dyDescent="0.35">
      <c r="A330" s="1">
        <v>329</v>
      </c>
      <c r="B330" s="7">
        <v>44219</v>
      </c>
      <c r="C330">
        <v>40</v>
      </c>
      <c r="D330">
        <v>3568</v>
      </c>
      <c r="E330">
        <v>905</v>
      </c>
      <c r="F330">
        <v>-1228</v>
      </c>
      <c r="G330" s="5">
        <f ca="1">IFERROR(__xludf.DUMMYFUNCTION("""COMPUTED_VALUE"""),12191)</f>
        <v>12191</v>
      </c>
      <c r="H330" s="5">
        <f ca="1">IFERROR(__xludf.DUMMYFUNCTION("""COMPUTED_VALUE"""),3285)</f>
        <v>3285</v>
      </c>
      <c r="I330">
        <v>-37</v>
      </c>
      <c r="J330">
        <v>-17</v>
      </c>
      <c r="K330">
        <v>-52</v>
      </c>
      <c r="L330">
        <v>-41</v>
      </c>
      <c r="M330">
        <v>-23</v>
      </c>
      <c r="N330">
        <v>9</v>
      </c>
      <c r="O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18612</v>
      </c>
      <c r="AE330">
        <v>3612</v>
      </c>
      <c r="AF330">
        <v>15000</v>
      </c>
      <c r="AG330" s="2">
        <v>0.194068343</v>
      </c>
      <c r="AH330" t="s">
        <v>32</v>
      </c>
      <c r="AI330" s="4">
        <v>3980</v>
      </c>
      <c r="AJ330" s="4">
        <v>219287</v>
      </c>
      <c r="AK330" s="4">
        <v>18657</v>
      </c>
      <c r="AL330" s="4">
        <v>4379</v>
      </c>
      <c r="AM330" s="4">
        <v>246303</v>
      </c>
      <c r="AN330" s="5">
        <f ca="1">IFERROR(__xludf.DUMMYFUNCTION("""COMPUTED_VALUE"""),-323)</f>
        <v>-323</v>
      </c>
    </row>
    <row r="331" spans="1:40" x14ac:dyDescent="0.35">
      <c r="A331" s="1">
        <v>330</v>
      </c>
      <c r="B331" s="7">
        <v>44220</v>
      </c>
      <c r="C331">
        <v>44</v>
      </c>
      <c r="D331">
        <v>2280</v>
      </c>
      <c r="E331">
        <v>897</v>
      </c>
      <c r="F331">
        <v>291</v>
      </c>
      <c r="G331" s="5">
        <f ca="1">IFERROR(__xludf.DUMMYFUNCTION("""COMPUTED_VALUE"""),11788)</f>
        <v>11788</v>
      </c>
      <c r="H331" s="5">
        <f ca="1">IFERROR(__xludf.DUMMYFUNCTION("""COMPUTED_VALUE"""),3512)</f>
        <v>3512</v>
      </c>
      <c r="I331">
        <v>-48</v>
      </c>
      <c r="J331">
        <v>-33</v>
      </c>
      <c r="K331">
        <v>-71</v>
      </c>
      <c r="L331">
        <v>-50</v>
      </c>
      <c r="M331">
        <v>-26</v>
      </c>
      <c r="N331">
        <v>13</v>
      </c>
      <c r="O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16788</v>
      </c>
      <c r="AE331">
        <v>2572</v>
      </c>
      <c r="AF331">
        <v>14216</v>
      </c>
      <c r="AG331" s="2">
        <v>0.15320466999999999</v>
      </c>
      <c r="AH331" t="s">
        <v>32</v>
      </c>
      <c r="AI331" s="4">
        <v>4024</v>
      </c>
      <c r="AJ331" s="4">
        <v>221567</v>
      </c>
      <c r="AK331" s="4">
        <v>19554</v>
      </c>
      <c r="AL331" s="4">
        <v>4670</v>
      </c>
      <c r="AM331" s="4">
        <v>249815</v>
      </c>
      <c r="AN331" s="5">
        <f ca="1">IFERROR(__xludf.DUMMYFUNCTION("""COMPUTED_VALUE"""),1188)</f>
        <v>1188</v>
      </c>
    </row>
    <row r="332" spans="1:40" x14ac:dyDescent="0.35">
      <c r="A332" s="1">
        <v>331</v>
      </c>
      <c r="B332" s="7">
        <v>44221</v>
      </c>
      <c r="C332">
        <v>39</v>
      </c>
      <c r="D332">
        <v>2504</v>
      </c>
      <c r="E332">
        <v>315</v>
      </c>
      <c r="F332">
        <v>-407</v>
      </c>
      <c r="G332" s="5">
        <f ca="1">IFERROR(__xludf.DUMMYFUNCTION("""COMPUTED_VALUE"""),9994)</f>
        <v>9994</v>
      </c>
      <c r="H332" s="5">
        <f ca="1">IFERROR(__xludf.DUMMYFUNCTION("""COMPUTED_VALUE"""),2451)</f>
        <v>2451</v>
      </c>
      <c r="I332">
        <v>-34</v>
      </c>
      <c r="J332">
        <v>-16</v>
      </c>
      <c r="K332">
        <v>-52</v>
      </c>
      <c r="L332">
        <v>-45</v>
      </c>
      <c r="M332">
        <v>-37</v>
      </c>
      <c r="N332">
        <v>14</v>
      </c>
      <c r="O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17812</v>
      </c>
      <c r="AE332">
        <v>2038</v>
      </c>
      <c r="AF332">
        <v>15774</v>
      </c>
      <c r="AG332" s="2">
        <v>0.1144172468</v>
      </c>
      <c r="AH332" t="s">
        <v>32</v>
      </c>
      <c r="AI332" s="4">
        <v>4063</v>
      </c>
      <c r="AJ332" s="4">
        <v>224071</v>
      </c>
      <c r="AK332" s="4">
        <v>19869</v>
      </c>
      <c r="AL332" s="4">
        <v>4263</v>
      </c>
      <c r="AM332" s="4">
        <v>252266</v>
      </c>
      <c r="AN332" s="5">
        <f ca="1">IFERROR(__xludf.DUMMYFUNCTION("""COMPUTED_VALUE"""),-92)</f>
        <v>-92</v>
      </c>
    </row>
    <row r="333" spans="1:40" x14ac:dyDescent="0.35">
      <c r="A333" s="1">
        <v>332</v>
      </c>
      <c r="B333" s="7">
        <v>44222</v>
      </c>
      <c r="C333">
        <v>45</v>
      </c>
      <c r="D333">
        <v>2939</v>
      </c>
      <c r="E333">
        <v>-437</v>
      </c>
      <c r="F333">
        <v>-233</v>
      </c>
      <c r="G333" s="5">
        <f ca="1">IFERROR(__xludf.DUMMYFUNCTION("""COMPUTED_VALUE"""),13094)</f>
        <v>13094</v>
      </c>
      <c r="H333" s="5">
        <f ca="1">IFERROR(__xludf.DUMMYFUNCTION("""COMPUTED_VALUE"""),2314)</f>
        <v>2314</v>
      </c>
      <c r="I333">
        <v>-36</v>
      </c>
      <c r="J333">
        <v>-18</v>
      </c>
      <c r="K333">
        <v>-55</v>
      </c>
      <c r="L333">
        <v>-45</v>
      </c>
      <c r="M333">
        <v>-38</v>
      </c>
      <c r="N333">
        <v>14</v>
      </c>
      <c r="O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19012</v>
      </c>
      <c r="AE333">
        <v>2136</v>
      </c>
      <c r="AF333">
        <v>16876</v>
      </c>
      <c r="AG333" s="2">
        <v>0.1123500947</v>
      </c>
      <c r="AH333" t="s">
        <v>32</v>
      </c>
      <c r="AI333" s="4">
        <v>4108</v>
      </c>
      <c r="AJ333" s="4">
        <v>227010</v>
      </c>
      <c r="AK333" s="4">
        <v>19432</v>
      </c>
      <c r="AL333" s="4">
        <v>4030</v>
      </c>
      <c r="AM333" s="4">
        <v>254580</v>
      </c>
      <c r="AN333" s="5">
        <f ca="1">IFERROR(__xludf.DUMMYFUNCTION("""COMPUTED_VALUE"""),-670)</f>
        <v>-670</v>
      </c>
    </row>
    <row r="334" spans="1:40" x14ac:dyDescent="0.35">
      <c r="A334" s="1">
        <v>333</v>
      </c>
      <c r="B334" s="7">
        <v>44223</v>
      </c>
      <c r="C334">
        <v>26</v>
      </c>
      <c r="D334">
        <v>2971</v>
      </c>
      <c r="E334">
        <v>-904</v>
      </c>
      <c r="F334">
        <v>-257</v>
      </c>
      <c r="G334" s="5">
        <f ca="1">IFERROR(__xludf.DUMMYFUNCTION("""COMPUTED_VALUE"""),11948)</f>
        <v>11948</v>
      </c>
      <c r="H334" s="5">
        <f ca="1">IFERROR(__xludf.DUMMYFUNCTION("""COMPUTED_VALUE"""),1836)</f>
        <v>1836</v>
      </c>
      <c r="I334">
        <v>-35</v>
      </c>
      <c r="J334">
        <v>-18</v>
      </c>
      <c r="K334">
        <v>-54</v>
      </c>
      <c r="L334">
        <v>-46</v>
      </c>
      <c r="M334">
        <v>-37</v>
      </c>
      <c r="N334">
        <v>14</v>
      </c>
      <c r="O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20188</v>
      </c>
      <c r="AE334">
        <v>3026</v>
      </c>
      <c r="AF334">
        <v>17162</v>
      </c>
      <c r="AG334" s="2">
        <v>0.14989102439999999</v>
      </c>
      <c r="AH334" t="s">
        <v>32</v>
      </c>
      <c r="AI334" s="4">
        <v>4134</v>
      </c>
      <c r="AJ334" s="4">
        <v>229981</v>
      </c>
      <c r="AK334" s="4">
        <v>18528</v>
      </c>
      <c r="AL334" s="4">
        <v>3773</v>
      </c>
      <c r="AM334" s="4">
        <v>256416</v>
      </c>
      <c r="AN334" s="5">
        <f ca="1">IFERROR(__xludf.DUMMYFUNCTION("""COMPUTED_VALUE"""),-1161)</f>
        <v>-1161</v>
      </c>
    </row>
    <row r="335" spans="1:40" x14ac:dyDescent="0.35">
      <c r="A335" s="1">
        <v>334</v>
      </c>
      <c r="B335" s="7">
        <v>44224</v>
      </c>
      <c r="C335">
        <v>51</v>
      </c>
      <c r="D335">
        <v>2720</v>
      </c>
      <c r="E335">
        <v>-55</v>
      </c>
      <c r="F335">
        <v>173</v>
      </c>
      <c r="G335" s="5">
        <f ca="1">IFERROR(__xludf.DUMMYFUNCTION("""COMPUTED_VALUE"""),13695)</f>
        <v>13695</v>
      </c>
      <c r="H335" s="5">
        <f ca="1">IFERROR(__xludf.DUMMYFUNCTION("""COMPUTED_VALUE"""),2889)</f>
        <v>2889</v>
      </c>
      <c r="I335">
        <v>-34</v>
      </c>
      <c r="J335">
        <v>-15</v>
      </c>
      <c r="K335">
        <v>-50</v>
      </c>
      <c r="L335">
        <v>-45</v>
      </c>
      <c r="M335">
        <v>-37</v>
      </c>
      <c r="N335">
        <v>13</v>
      </c>
      <c r="O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21923</v>
      </c>
      <c r="AE335">
        <v>3143</v>
      </c>
      <c r="AF335">
        <v>18780</v>
      </c>
      <c r="AG335" s="2">
        <v>0.14336541529999999</v>
      </c>
      <c r="AH335" t="s">
        <v>32</v>
      </c>
      <c r="AI335" s="4">
        <v>4185</v>
      </c>
      <c r="AJ335" s="4">
        <v>232701</v>
      </c>
      <c r="AK335" s="4">
        <v>18473</v>
      </c>
      <c r="AL335" s="4">
        <v>3946</v>
      </c>
      <c r="AM335" s="4">
        <v>259305</v>
      </c>
      <c r="AN335" s="5">
        <f ca="1">IFERROR(__xludf.DUMMYFUNCTION("""COMPUTED_VALUE"""),118)</f>
        <v>118</v>
      </c>
    </row>
    <row r="336" spans="1:40" x14ac:dyDescent="0.35">
      <c r="A336" s="1">
        <v>335</v>
      </c>
      <c r="B336" s="7">
        <v>44225</v>
      </c>
      <c r="C336">
        <v>39</v>
      </c>
      <c r="D336">
        <v>2439</v>
      </c>
      <c r="E336">
        <v>908</v>
      </c>
      <c r="F336">
        <v>62</v>
      </c>
      <c r="G336" s="5">
        <f ca="1">IFERROR(__xludf.DUMMYFUNCTION("""COMPUTED_VALUE"""),13802)</f>
        <v>13802</v>
      </c>
      <c r="H336" s="5">
        <f ca="1">IFERROR(__xludf.DUMMYFUNCTION("""COMPUTED_VALUE"""),3448)</f>
        <v>3448</v>
      </c>
      <c r="I336">
        <v>-33</v>
      </c>
      <c r="J336">
        <v>-14</v>
      </c>
      <c r="K336">
        <v>-46</v>
      </c>
      <c r="L336">
        <v>-45</v>
      </c>
      <c r="M336">
        <v>-36</v>
      </c>
      <c r="N336">
        <v>14</v>
      </c>
      <c r="O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20312</v>
      </c>
      <c r="AE336">
        <v>3160</v>
      </c>
      <c r="AF336">
        <v>17152</v>
      </c>
      <c r="AG336" s="2">
        <v>0.15557306030000001</v>
      </c>
      <c r="AH336" t="s">
        <v>32</v>
      </c>
      <c r="AI336" s="4">
        <v>4224</v>
      </c>
      <c r="AJ336" s="4">
        <v>235140</v>
      </c>
      <c r="AK336" s="4">
        <v>19381</v>
      </c>
      <c r="AL336" s="4">
        <v>4008</v>
      </c>
      <c r="AM336" s="4">
        <v>262753</v>
      </c>
      <c r="AN336" s="5">
        <f ca="1">IFERROR(__xludf.DUMMYFUNCTION("""COMPUTED_VALUE"""),970)</f>
        <v>970</v>
      </c>
    </row>
    <row r="337" spans="1:40" x14ac:dyDescent="0.35">
      <c r="A337" s="1">
        <v>336</v>
      </c>
      <c r="B337" s="7">
        <v>44226</v>
      </c>
      <c r="C337">
        <v>30</v>
      </c>
      <c r="D337">
        <v>3255</v>
      </c>
      <c r="E337">
        <v>1158</v>
      </c>
      <c r="F337">
        <v>-952</v>
      </c>
      <c r="G337" s="5">
        <f ca="1">IFERROR(__xludf.DUMMYFUNCTION("""COMPUTED_VALUE"""),14518)</f>
        <v>14518</v>
      </c>
      <c r="H337" s="5">
        <f ca="1">IFERROR(__xludf.DUMMYFUNCTION("""COMPUTED_VALUE"""),3491)</f>
        <v>3491</v>
      </c>
      <c r="I337">
        <v>-36</v>
      </c>
      <c r="J337">
        <v>-12</v>
      </c>
      <c r="K337">
        <v>-56</v>
      </c>
      <c r="L337">
        <v>-39</v>
      </c>
      <c r="M337">
        <v>-23</v>
      </c>
      <c r="N337">
        <v>8</v>
      </c>
      <c r="O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18451</v>
      </c>
      <c r="AE337">
        <v>3474</v>
      </c>
      <c r="AF337">
        <v>14977</v>
      </c>
      <c r="AG337" s="2">
        <v>0.18828247789999999</v>
      </c>
      <c r="AH337" t="s">
        <v>32</v>
      </c>
      <c r="AI337" s="4">
        <v>4254</v>
      </c>
      <c r="AJ337" s="4">
        <v>238395</v>
      </c>
      <c r="AK337" s="4">
        <v>20539</v>
      </c>
      <c r="AL337" s="4">
        <v>3056</v>
      </c>
      <c r="AM337" s="4">
        <v>266244</v>
      </c>
      <c r="AN337" s="5">
        <f ca="1">IFERROR(__xludf.DUMMYFUNCTION("""COMPUTED_VALUE"""),206)</f>
        <v>206</v>
      </c>
    </row>
    <row r="338" spans="1:40" x14ac:dyDescent="0.35">
      <c r="A338" s="1">
        <v>337</v>
      </c>
      <c r="B338" s="7">
        <v>44227</v>
      </c>
      <c r="C338">
        <v>13</v>
      </c>
      <c r="D338">
        <v>3674</v>
      </c>
      <c r="E338">
        <v>-1267</v>
      </c>
      <c r="F338">
        <v>1054</v>
      </c>
      <c r="G338" s="5">
        <f ca="1">IFERROR(__xludf.DUMMYFUNCTION("""COMPUTED_VALUE"""),12001)</f>
        <v>12001</v>
      </c>
      <c r="H338" s="5">
        <f ca="1">IFERROR(__xludf.DUMMYFUNCTION("""COMPUTED_VALUE"""),3474)</f>
        <v>3474</v>
      </c>
      <c r="I338">
        <v>-33</v>
      </c>
      <c r="J338">
        <v>-8</v>
      </c>
      <c r="K338">
        <v>-60</v>
      </c>
      <c r="L338">
        <v>-35</v>
      </c>
      <c r="M338">
        <v>-16</v>
      </c>
      <c r="N338">
        <v>7</v>
      </c>
      <c r="O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10312</v>
      </c>
      <c r="AE338">
        <v>3102</v>
      </c>
      <c r="AF338">
        <v>7210</v>
      </c>
      <c r="AG338" s="2">
        <v>0.30081458490000001</v>
      </c>
      <c r="AH338" t="s">
        <v>32</v>
      </c>
      <c r="AI338" s="4">
        <v>4267</v>
      </c>
      <c r="AJ338" s="4">
        <v>242069</v>
      </c>
      <c r="AK338" s="4">
        <v>19272</v>
      </c>
      <c r="AL338" s="4">
        <v>4110</v>
      </c>
      <c r="AM338" s="4">
        <v>269718</v>
      </c>
      <c r="AN338" s="5">
        <f ca="1">IFERROR(__xludf.DUMMYFUNCTION("""COMPUTED_VALUE"""),-213)</f>
        <v>-213</v>
      </c>
    </row>
    <row r="339" spans="1:40" x14ac:dyDescent="0.35">
      <c r="A339" s="1">
        <v>338</v>
      </c>
      <c r="B339" s="7">
        <v>44228</v>
      </c>
      <c r="C339">
        <v>70</v>
      </c>
      <c r="D339">
        <v>2133</v>
      </c>
      <c r="E339">
        <v>552</v>
      </c>
      <c r="F339">
        <v>859</v>
      </c>
      <c r="G339" s="5">
        <f ca="1">IFERROR(__xludf.DUMMYFUNCTION("""COMPUTED_VALUE"""),10994)</f>
        <v>10994</v>
      </c>
      <c r="H339" s="5">
        <f ca="1">IFERROR(__xludf.DUMMYFUNCTION("""COMPUTED_VALUE"""),3614)</f>
        <v>3614</v>
      </c>
      <c r="I339">
        <v>-33</v>
      </c>
      <c r="J339">
        <v>-12</v>
      </c>
      <c r="K339">
        <v>-54</v>
      </c>
      <c r="L339">
        <v>-43</v>
      </c>
      <c r="M339">
        <v>-36</v>
      </c>
      <c r="N339">
        <v>12</v>
      </c>
      <c r="O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16217</v>
      </c>
      <c r="AE339">
        <v>3362</v>
      </c>
      <c r="AF339">
        <v>12855</v>
      </c>
      <c r="AG339" s="2">
        <v>0.20731331319999999</v>
      </c>
      <c r="AH339" t="s">
        <v>32</v>
      </c>
      <c r="AI339" s="4">
        <v>4337</v>
      </c>
      <c r="AJ339" s="4">
        <v>244202</v>
      </c>
      <c r="AK339" s="4">
        <v>19824</v>
      </c>
      <c r="AL339" s="4">
        <v>4969</v>
      </c>
      <c r="AM339" s="4">
        <v>273332</v>
      </c>
      <c r="AN339" s="5">
        <f ca="1">IFERROR(__xludf.DUMMYFUNCTION("""COMPUTED_VALUE"""),1411)</f>
        <v>1411</v>
      </c>
    </row>
    <row r="340" spans="1:40" x14ac:dyDescent="0.35">
      <c r="A340" s="1">
        <v>339</v>
      </c>
      <c r="B340" s="7">
        <v>44229</v>
      </c>
      <c r="C340">
        <v>42</v>
      </c>
      <c r="D340">
        <v>4313</v>
      </c>
      <c r="E340">
        <v>-899</v>
      </c>
      <c r="F340">
        <v>-94</v>
      </c>
      <c r="G340" s="5">
        <f ca="1">IFERROR(__xludf.DUMMYFUNCTION("""COMPUTED_VALUE"""),10379)</f>
        <v>10379</v>
      </c>
      <c r="H340" s="5">
        <f ca="1">IFERROR(__xludf.DUMMYFUNCTION("""COMPUTED_VALUE"""),3362)</f>
        <v>3362</v>
      </c>
      <c r="I340">
        <v>-32</v>
      </c>
      <c r="J340">
        <v>-7</v>
      </c>
      <c r="K340">
        <v>-52</v>
      </c>
      <c r="L340">
        <v>-42</v>
      </c>
      <c r="M340">
        <v>-37</v>
      </c>
      <c r="N340">
        <v>12</v>
      </c>
      <c r="O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18121</v>
      </c>
      <c r="AE340">
        <v>3567</v>
      </c>
      <c r="AF340">
        <v>14554</v>
      </c>
      <c r="AG340" s="2">
        <v>0.1968434413</v>
      </c>
      <c r="AH340" t="s">
        <v>32</v>
      </c>
      <c r="AI340" s="4">
        <v>4379</v>
      </c>
      <c r="AJ340" s="4">
        <v>248515</v>
      </c>
      <c r="AK340" s="4">
        <v>18925</v>
      </c>
      <c r="AL340" s="4">
        <v>4875</v>
      </c>
      <c r="AM340" s="4">
        <v>276694</v>
      </c>
      <c r="AN340" s="5">
        <f ca="1">IFERROR(__xludf.DUMMYFUNCTION("""COMPUTED_VALUE"""),-993)</f>
        <v>-993</v>
      </c>
    </row>
    <row r="341" spans="1:40" x14ac:dyDescent="0.35">
      <c r="A341" s="1">
        <v>340</v>
      </c>
      <c r="B341" s="7">
        <v>44230</v>
      </c>
      <c r="C341">
        <v>41</v>
      </c>
      <c r="D341">
        <v>1295</v>
      </c>
      <c r="E341">
        <v>2938</v>
      </c>
      <c r="F341">
        <v>-707</v>
      </c>
      <c r="G341" s="5">
        <f ca="1">IFERROR(__xludf.DUMMYFUNCTION("""COMPUTED_VALUE"""),11984)</f>
        <v>11984</v>
      </c>
      <c r="H341" s="5">
        <f ca="1">IFERROR(__xludf.DUMMYFUNCTION("""COMPUTED_VALUE"""),3567)</f>
        <v>3567</v>
      </c>
      <c r="I341">
        <v>-34</v>
      </c>
      <c r="J341">
        <v>-15</v>
      </c>
      <c r="K341">
        <v>-57</v>
      </c>
      <c r="L341">
        <v>-45</v>
      </c>
      <c r="M341">
        <v>-37</v>
      </c>
      <c r="N341">
        <v>13</v>
      </c>
      <c r="O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17875</v>
      </c>
      <c r="AE341">
        <v>3632</v>
      </c>
      <c r="AF341">
        <v>14243</v>
      </c>
      <c r="AG341" s="2">
        <v>0.20318881120000001</v>
      </c>
      <c r="AH341" t="s">
        <v>32</v>
      </c>
      <c r="AI341" s="4">
        <v>4420</v>
      </c>
      <c r="AJ341" s="4">
        <v>249810</v>
      </c>
      <c r="AK341" s="4">
        <v>21863</v>
      </c>
      <c r="AL341" s="4">
        <v>4168</v>
      </c>
      <c r="AM341" s="4">
        <v>280261</v>
      </c>
      <c r="AN341" s="5">
        <f ca="1">IFERROR(__xludf.DUMMYFUNCTION("""COMPUTED_VALUE"""),2231)</f>
        <v>2231</v>
      </c>
    </row>
    <row r="342" spans="1:40" x14ac:dyDescent="0.35">
      <c r="A342" s="1">
        <v>341</v>
      </c>
      <c r="B342" s="7">
        <v>44231</v>
      </c>
      <c r="C342">
        <v>41</v>
      </c>
      <c r="D342">
        <v>4345</v>
      </c>
      <c r="E342">
        <v>-1444</v>
      </c>
      <c r="F342">
        <v>690</v>
      </c>
      <c r="G342" s="5">
        <f ca="1">IFERROR(__xludf.DUMMYFUNCTION("""COMPUTED_VALUE"""),11434)</f>
        <v>11434</v>
      </c>
      <c r="H342" s="5">
        <f ca="1">IFERROR(__xludf.DUMMYFUNCTION("""COMPUTED_VALUE"""),3632)</f>
        <v>3632</v>
      </c>
      <c r="I342">
        <v>-35</v>
      </c>
      <c r="J342">
        <v>-17</v>
      </c>
      <c r="K342">
        <v>-55</v>
      </c>
      <c r="L342">
        <v>-45</v>
      </c>
      <c r="M342">
        <v>-37</v>
      </c>
      <c r="N342">
        <v>12</v>
      </c>
      <c r="O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19593</v>
      </c>
      <c r="AE342">
        <v>3340</v>
      </c>
      <c r="AF342">
        <v>16253</v>
      </c>
      <c r="AG342" s="2">
        <v>0.17046904509999999</v>
      </c>
      <c r="AH342" t="s">
        <v>32</v>
      </c>
      <c r="AI342" s="4">
        <v>4461</v>
      </c>
      <c r="AJ342" s="4">
        <v>254155</v>
      </c>
      <c r="AK342" s="4">
        <v>20419</v>
      </c>
      <c r="AL342" s="4">
        <v>4858</v>
      </c>
      <c r="AM342" s="4">
        <v>283893</v>
      </c>
      <c r="AN342" s="5">
        <f ca="1">IFERROR(__xludf.DUMMYFUNCTION("""COMPUTED_VALUE"""),-754)</f>
        <v>-754</v>
      </c>
    </row>
    <row r="343" spans="1:40" x14ac:dyDescent="0.35">
      <c r="A343" s="1">
        <v>342</v>
      </c>
      <c r="B343" s="7">
        <v>44232</v>
      </c>
      <c r="C343">
        <v>41</v>
      </c>
      <c r="D343">
        <v>2547</v>
      </c>
      <c r="E343">
        <v>772</v>
      </c>
      <c r="F343">
        <v>-20</v>
      </c>
      <c r="G343" s="5">
        <f ca="1">IFERROR(__xludf.DUMMYFUNCTION("""COMPUTED_VALUE"""),11749)</f>
        <v>11749</v>
      </c>
      <c r="H343" s="5">
        <f ca="1">IFERROR(__xludf.DUMMYFUNCTION("""COMPUTED_VALUE"""),3340)</f>
        <v>3340</v>
      </c>
      <c r="I343">
        <v>-28</v>
      </c>
      <c r="J343">
        <v>-6</v>
      </c>
      <c r="K343">
        <v>-46</v>
      </c>
      <c r="L343">
        <v>-42</v>
      </c>
      <c r="M343">
        <v>-35</v>
      </c>
      <c r="N343">
        <v>12</v>
      </c>
      <c r="O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17290</v>
      </c>
      <c r="AE343">
        <v>2379</v>
      </c>
      <c r="AF343">
        <v>14911</v>
      </c>
      <c r="AG343" s="2">
        <v>0.137593985</v>
      </c>
      <c r="AH343" t="s">
        <v>32</v>
      </c>
      <c r="AI343" s="4">
        <v>4502</v>
      </c>
      <c r="AJ343" s="4">
        <v>256702</v>
      </c>
      <c r="AK343" s="4">
        <v>21191</v>
      </c>
      <c r="AL343" s="4">
        <v>4838</v>
      </c>
      <c r="AM343" s="4">
        <v>287233</v>
      </c>
      <c r="AN343" s="5">
        <f ca="1">IFERROR(__xludf.DUMMYFUNCTION("""COMPUTED_VALUE"""),752)</f>
        <v>752</v>
      </c>
    </row>
    <row r="344" spans="1:40" x14ac:dyDescent="0.35">
      <c r="A344" s="1">
        <v>343</v>
      </c>
      <c r="B344" s="7">
        <v>44233</v>
      </c>
      <c r="C344">
        <v>39</v>
      </c>
      <c r="D344">
        <v>4325</v>
      </c>
      <c r="E344">
        <v>-1866</v>
      </c>
      <c r="F344">
        <v>-119</v>
      </c>
      <c r="G344" s="5">
        <f ca="1">IFERROR(__xludf.DUMMYFUNCTION("""COMPUTED_VALUE"""),12156)</f>
        <v>12156</v>
      </c>
      <c r="H344" s="5">
        <f ca="1">IFERROR(__xludf.DUMMYFUNCTION("""COMPUTED_VALUE"""),2379)</f>
        <v>2379</v>
      </c>
      <c r="I344">
        <v>-31</v>
      </c>
      <c r="J344">
        <v>-6</v>
      </c>
      <c r="K344">
        <v>-52</v>
      </c>
      <c r="L344">
        <v>-35</v>
      </c>
      <c r="M344">
        <v>-23</v>
      </c>
      <c r="N344">
        <v>7</v>
      </c>
      <c r="O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17758</v>
      </c>
      <c r="AE344">
        <v>4213</v>
      </c>
      <c r="AF344">
        <v>13545</v>
      </c>
      <c r="AG344" s="2">
        <v>0.23724518529999999</v>
      </c>
      <c r="AH344" t="s">
        <v>32</v>
      </c>
      <c r="AI344" s="4">
        <v>4541</v>
      </c>
      <c r="AJ344" s="4">
        <v>261027</v>
      </c>
      <c r="AK344" s="4">
        <v>19325</v>
      </c>
      <c r="AL344" s="4">
        <v>4719</v>
      </c>
      <c r="AM344" s="4">
        <v>289612</v>
      </c>
      <c r="AN344" s="5">
        <f ca="1">IFERROR(__xludf.DUMMYFUNCTION("""COMPUTED_VALUE"""),-1985)</f>
        <v>-1985</v>
      </c>
    </row>
    <row r="345" spans="1:40" x14ac:dyDescent="0.35">
      <c r="A345" s="1">
        <v>344</v>
      </c>
      <c r="B345" s="7">
        <v>44234</v>
      </c>
      <c r="C345">
        <v>46</v>
      </c>
      <c r="D345">
        <v>4342</v>
      </c>
      <c r="E345">
        <v>-1367</v>
      </c>
      <c r="F345">
        <v>1192</v>
      </c>
      <c r="G345" s="5">
        <f ca="1">IFERROR(__xludf.DUMMYFUNCTION("""COMPUTED_VALUE"""),10827)</f>
        <v>10827</v>
      </c>
      <c r="H345" s="5">
        <f ca="1">IFERROR(__xludf.DUMMYFUNCTION("""COMPUTED_VALUE"""),4213)</f>
        <v>4213</v>
      </c>
      <c r="I345">
        <v>-39</v>
      </c>
      <c r="J345">
        <v>-20</v>
      </c>
      <c r="K345">
        <v>-66</v>
      </c>
      <c r="L345">
        <v>-41</v>
      </c>
      <c r="M345">
        <v>-21</v>
      </c>
      <c r="N345">
        <v>8</v>
      </c>
      <c r="O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10197</v>
      </c>
      <c r="AE345">
        <v>3144</v>
      </c>
      <c r="AF345">
        <v>7053</v>
      </c>
      <c r="AG345" s="2">
        <v>0.30832597820000002</v>
      </c>
      <c r="AH345" t="s">
        <v>32</v>
      </c>
      <c r="AI345" s="4">
        <v>4587</v>
      </c>
      <c r="AJ345" s="4">
        <v>265369</v>
      </c>
      <c r="AK345" s="4">
        <v>17958</v>
      </c>
      <c r="AL345" s="4">
        <v>5911</v>
      </c>
      <c r="AM345" s="4">
        <v>293825</v>
      </c>
      <c r="AN345" s="5">
        <f ca="1">IFERROR(__xludf.DUMMYFUNCTION("""COMPUTED_VALUE"""),-175)</f>
        <v>-175</v>
      </c>
    </row>
    <row r="346" spans="1:40" x14ac:dyDescent="0.35">
      <c r="A346" s="1">
        <v>345</v>
      </c>
      <c r="B346" s="7">
        <v>44235</v>
      </c>
      <c r="C346">
        <v>44</v>
      </c>
      <c r="D346">
        <v>3416</v>
      </c>
      <c r="E346">
        <v>-192</v>
      </c>
      <c r="F346">
        <v>-124</v>
      </c>
      <c r="G346" s="5">
        <f ca="1">IFERROR(__xludf.DUMMYFUNCTION("""COMPUTED_VALUE"""),8242)</f>
        <v>8242</v>
      </c>
      <c r="H346" s="5">
        <f ca="1">IFERROR(__xludf.DUMMYFUNCTION("""COMPUTED_VALUE"""),3144)</f>
        <v>3144</v>
      </c>
      <c r="I346">
        <v>-33</v>
      </c>
      <c r="J346">
        <v>-14</v>
      </c>
      <c r="K346">
        <v>-55</v>
      </c>
      <c r="L346">
        <v>-43</v>
      </c>
      <c r="M346">
        <v>-37</v>
      </c>
      <c r="N346">
        <v>12</v>
      </c>
      <c r="O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16061</v>
      </c>
      <c r="AE346">
        <v>3437</v>
      </c>
      <c r="AF346">
        <v>12624</v>
      </c>
      <c r="AG346" s="2">
        <v>0.2139966378</v>
      </c>
      <c r="AH346" t="s">
        <v>32</v>
      </c>
      <c r="AI346" s="4">
        <v>4631</v>
      </c>
      <c r="AJ346" s="4">
        <v>268785</v>
      </c>
      <c r="AK346" s="4">
        <v>17766</v>
      </c>
      <c r="AL346" s="4">
        <v>5787</v>
      </c>
      <c r="AM346" s="4">
        <v>296969</v>
      </c>
      <c r="AN346" s="5">
        <f ca="1">IFERROR(__xludf.DUMMYFUNCTION("""COMPUTED_VALUE"""),-316)</f>
        <v>-316</v>
      </c>
    </row>
    <row r="347" spans="1:40" x14ac:dyDescent="0.35">
      <c r="A347" s="1">
        <v>346</v>
      </c>
      <c r="B347" s="7">
        <v>44236</v>
      </c>
      <c r="C347">
        <v>50</v>
      </c>
      <c r="D347">
        <v>2788</v>
      </c>
      <c r="E347">
        <v>408</v>
      </c>
      <c r="F347">
        <v>191</v>
      </c>
      <c r="G347" s="5">
        <f ca="1">IFERROR(__xludf.DUMMYFUNCTION("""COMPUTED_VALUE"""),8700)</f>
        <v>8700</v>
      </c>
      <c r="H347" s="5">
        <f ca="1">IFERROR(__xludf.DUMMYFUNCTION("""COMPUTED_VALUE"""),3437)</f>
        <v>3437</v>
      </c>
      <c r="I347">
        <v>-31</v>
      </c>
      <c r="J347">
        <v>-9</v>
      </c>
      <c r="K347">
        <v>-55</v>
      </c>
      <c r="L347">
        <v>-42</v>
      </c>
      <c r="M347">
        <v>-37</v>
      </c>
      <c r="N347">
        <v>11</v>
      </c>
      <c r="O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17660</v>
      </c>
      <c r="AE347">
        <v>3309</v>
      </c>
      <c r="AF347">
        <v>14351</v>
      </c>
      <c r="AG347" s="2">
        <v>0.18737259340000001</v>
      </c>
      <c r="AH347" t="s">
        <v>33</v>
      </c>
      <c r="AI347" s="4">
        <v>4681</v>
      </c>
      <c r="AJ347" s="4">
        <v>271573</v>
      </c>
      <c r="AK347" s="4">
        <v>18174</v>
      </c>
      <c r="AL347" s="4">
        <v>5978</v>
      </c>
      <c r="AM347" s="4">
        <v>300406</v>
      </c>
      <c r="AN347" s="5">
        <f ca="1">IFERROR(__xludf.DUMMYFUNCTION("""COMPUTED_VALUE"""),599)</f>
        <v>599</v>
      </c>
    </row>
    <row r="348" spans="1:40" x14ac:dyDescent="0.35">
      <c r="A348" s="1">
        <v>347</v>
      </c>
      <c r="B348" s="7">
        <v>44237</v>
      </c>
      <c r="C348">
        <v>44</v>
      </c>
      <c r="D348">
        <v>3244</v>
      </c>
      <c r="E348">
        <v>-1498</v>
      </c>
      <c r="F348">
        <v>1519</v>
      </c>
      <c r="G348" s="5">
        <f ca="1">IFERROR(__xludf.DUMMYFUNCTION("""COMPUTED_VALUE"""),8776)</f>
        <v>8776</v>
      </c>
      <c r="H348" s="5">
        <f ca="1">IFERROR(__xludf.DUMMYFUNCTION("""COMPUTED_VALUE"""),3309)</f>
        <v>3309</v>
      </c>
      <c r="I348">
        <v>-29</v>
      </c>
      <c r="J348">
        <v>-8</v>
      </c>
      <c r="K348">
        <v>-52</v>
      </c>
      <c r="L348">
        <v>-41</v>
      </c>
      <c r="M348">
        <v>-36</v>
      </c>
      <c r="N348">
        <v>11</v>
      </c>
      <c r="O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16571</v>
      </c>
      <c r="AE348">
        <v>2514</v>
      </c>
      <c r="AF348">
        <v>14057</v>
      </c>
      <c r="AG348" s="2">
        <v>0.1517108201</v>
      </c>
      <c r="AH348" t="s">
        <v>33</v>
      </c>
      <c r="AI348" s="4">
        <v>4725</v>
      </c>
      <c r="AJ348" s="4">
        <v>274817</v>
      </c>
      <c r="AK348" s="4">
        <v>16676</v>
      </c>
      <c r="AL348" s="4">
        <v>7497</v>
      </c>
      <c r="AM348" s="4">
        <v>303715</v>
      </c>
      <c r="AN348" s="5">
        <f ca="1">IFERROR(__xludf.DUMMYFUNCTION("""COMPUTED_VALUE"""),21)</f>
        <v>21</v>
      </c>
    </row>
    <row r="349" spans="1:40" x14ac:dyDescent="0.35">
      <c r="A349" s="1">
        <v>348</v>
      </c>
      <c r="B349" s="7">
        <v>44238</v>
      </c>
      <c r="C349">
        <v>23</v>
      </c>
      <c r="D349">
        <v>4005</v>
      </c>
      <c r="E349">
        <v>-2557</v>
      </c>
      <c r="F349">
        <v>1043</v>
      </c>
      <c r="G349" s="5">
        <f ca="1">IFERROR(__xludf.DUMMYFUNCTION("""COMPUTED_VALUE"""),8435)</f>
        <v>8435</v>
      </c>
      <c r="H349" s="5">
        <f ca="1">IFERROR(__xludf.DUMMYFUNCTION("""COMPUTED_VALUE"""),2514)</f>
        <v>2514</v>
      </c>
      <c r="I349">
        <v>-27</v>
      </c>
      <c r="J349">
        <v>-6</v>
      </c>
      <c r="K349">
        <v>-47</v>
      </c>
      <c r="L349">
        <v>-37</v>
      </c>
      <c r="M349">
        <v>-37</v>
      </c>
      <c r="N349">
        <v>9</v>
      </c>
      <c r="O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17319</v>
      </c>
      <c r="AE349">
        <v>3810</v>
      </c>
      <c r="AF349">
        <v>13509</v>
      </c>
      <c r="AG349" s="2">
        <v>0.21998960679999999</v>
      </c>
      <c r="AH349" t="s">
        <v>33</v>
      </c>
      <c r="AI349" s="4">
        <v>4748</v>
      </c>
      <c r="AJ349" s="4">
        <v>278822</v>
      </c>
      <c r="AK349" s="4">
        <v>14119</v>
      </c>
      <c r="AL349" s="4">
        <v>8540</v>
      </c>
      <c r="AM349" s="4">
        <v>306229</v>
      </c>
      <c r="AN349" s="5">
        <f ca="1">IFERROR(__xludf.DUMMYFUNCTION("""COMPUTED_VALUE"""),-1514)</f>
        <v>-1514</v>
      </c>
    </row>
    <row r="350" spans="1:40" x14ac:dyDescent="0.35">
      <c r="A350" s="1">
        <v>349</v>
      </c>
      <c r="B350" s="7">
        <v>44239</v>
      </c>
      <c r="C350">
        <v>50</v>
      </c>
      <c r="D350">
        <v>5757</v>
      </c>
      <c r="E350">
        <v>-3345</v>
      </c>
      <c r="F350">
        <v>1348</v>
      </c>
      <c r="G350" s="5">
        <f ca="1">IFERROR(__xludf.DUMMYFUNCTION("""COMPUTED_VALUE"""),9869)</f>
        <v>9869</v>
      </c>
      <c r="H350" s="5">
        <f ca="1">IFERROR(__xludf.DUMMYFUNCTION("""COMPUTED_VALUE"""),3810)</f>
        <v>3810</v>
      </c>
      <c r="I350">
        <v>-34</v>
      </c>
      <c r="J350">
        <v>-17</v>
      </c>
      <c r="K350">
        <v>-41</v>
      </c>
      <c r="L350">
        <v>-55</v>
      </c>
      <c r="M350">
        <v>-67</v>
      </c>
      <c r="N350">
        <v>20</v>
      </c>
      <c r="O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11203</v>
      </c>
      <c r="AE350">
        <v>3018</v>
      </c>
      <c r="AF350">
        <v>8185</v>
      </c>
      <c r="AG350" s="2">
        <v>0.26939212709999999</v>
      </c>
      <c r="AH350" t="s">
        <v>33</v>
      </c>
      <c r="AI350" s="4">
        <v>4798</v>
      </c>
      <c r="AJ350" s="4">
        <v>284579</v>
      </c>
      <c r="AK350" s="4">
        <v>10774</v>
      </c>
      <c r="AL350" s="4">
        <v>9888</v>
      </c>
      <c r="AM350" s="4">
        <v>310039</v>
      </c>
      <c r="AN350" s="5">
        <f ca="1">IFERROR(__xludf.DUMMYFUNCTION("""COMPUTED_VALUE"""),-1997)</f>
        <v>-1997</v>
      </c>
    </row>
    <row r="351" spans="1:40" x14ac:dyDescent="0.35">
      <c r="A351" s="1">
        <v>350</v>
      </c>
      <c r="B351" s="7">
        <v>44240</v>
      </c>
      <c r="C351">
        <v>52</v>
      </c>
      <c r="D351">
        <v>4610</v>
      </c>
      <c r="E351">
        <v>-1130</v>
      </c>
      <c r="F351">
        <v>-514</v>
      </c>
      <c r="G351" s="5">
        <f ca="1">IFERROR(__xludf.DUMMYFUNCTION("""COMPUTED_VALUE"""),8844)</f>
        <v>8844</v>
      </c>
      <c r="H351" s="5">
        <f ca="1">IFERROR(__xludf.DUMMYFUNCTION("""COMPUTED_VALUE"""),3018)</f>
        <v>3018</v>
      </c>
      <c r="I351">
        <v>-35</v>
      </c>
      <c r="J351">
        <v>-15</v>
      </c>
      <c r="K351">
        <v>-48</v>
      </c>
      <c r="L351">
        <v>-41</v>
      </c>
      <c r="M351">
        <v>-30</v>
      </c>
      <c r="N351">
        <v>8</v>
      </c>
      <c r="O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13524</v>
      </c>
      <c r="AE351">
        <v>2496</v>
      </c>
      <c r="AF351">
        <v>11028</v>
      </c>
      <c r="AG351" s="2">
        <v>0.18456078079999999</v>
      </c>
      <c r="AH351" t="s">
        <v>33</v>
      </c>
      <c r="AI351" s="4">
        <v>4850</v>
      </c>
      <c r="AJ351" s="4">
        <v>289189</v>
      </c>
      <c r="AK351" s="4">
        <v>9644</v>
      </c>
      <c r="AL351" s="4">
        <v>9374</v>
      </c>
      <c r="AM351" s="4">
        <v>313057</v>
      </c>
      <c r="AN351" s="5">
        <f ca="1">IFERROR(__xludf.DUMMYFUNCTION("""COMPUTED_VALUE"""),-1644)</f>
        <v>-1644</v>
      </c>
    </row>
    <row r="352" spans="1:40" x14ac:dyDescent="0.35">
      <c r="A352" s="1">
        <v>351</v>
      </c>
      <c r="B352" s="7">
        <v>44241</v>
      </c>
      <c r="C352">
        <v>45</v>
      </c>
      <c r="D352">
        <v>4349</v>
      </c>
      <c r="E352">
        <v>-627</v>
      </c>
      <c r="F352">
        <v>-1271</v>
      </c>
      <c r="G352" s="5">
        <f ca="1">IFERROR(__xludf.DUMMYFUNCTION("""COMPUTED_VALUE"""),6765)</f>
        <v>6765</v>
      </c>
      <c r="H352" s="5">
        <f ca="1">IFERROR(__xludf.DUMMYFUNCTION("""COMPUTED_VALUE"""),2496)</f>
        <v>2496</v>
      </c>
      <c r="I352">
        <v>-37</v>
      </c>
      <c r="J352">
        <v>-18</v>
      </c>
      <c r="K352">
        <v>-57</v>
      </c>
      <c r="L352">
        <v>-38</v>
      </c>
      <c r="M352">
        <v>-19</v>
      </c>
      <c r="N352">
        <v>7</v>
      </c>
      <c r="O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8239</v>
      </c>
      <c r="AE352">
        <v>1879</v>
      </c>
      <c r="AF352">
        <v>6360</v>
      </c>
      <c r="AG352" s="2">
        <v>0.228061658</v>
      </c>
      <c r="AH352" t="s">
        <v>33</v>
      </c>
      <c r="AI352" s="4">
        <v>4895</v>
      </c>
      <c r="AJ352" s="4">
        <v>293538</v>
      </c>
      <c r="AK352" s="4">
        <v>9017</v>
      </c>
      <c r="AL352" s="4">
        <v>8103</v>
      </c>
      <c r="AM352" s="4">
        <v>315553</v>
      </c>
      <c r="AN352" s="5">
        <f ca="1">IFERROR(__xludf.DUMMYFUNCTION("""COMPUTED_VALUE"""),-1898)</f>
        <v>-1898</v>
      </c>
    </row>
    <row r="353" spans="1:40" x14ac:dyDescent="0.35">
      <c r="A353" s="1">
        <v>352</v>
      </c>
      <c r="B353" s="7">
        <v>44242</v>
      </c>
      <c r="C353">
        <v>45</v>
      </c>
      <c r="D353">
        <v>2085</v>
      </c>
      <c r="E353">
        <v>-136</v>
      </c>
      <c r="F353">
        <v>-115</v>
      </c>
      <c r="G353" s="5">
        <f ca="1">IFERROR(__xludf.DUMMYFUNCTION("""COMPUTED_VALUE"""),6462)</f>
        <v>6462</v>
      </c>
      <c r="H353" s="5">
        <f ca="1">IFERROR(__xludf.DUMMYFUNCTION("""COMPUTED_VALUE"""),1879)</f>
        <v>1879</v>
      </c>
      <c r="I353">
        <v>-32</v>
      </c>
      <c r="J353">
        <v>-12</v>
      </c>
      <c r="K353">
        <v>-51</v>
      </c>
      <c r="L353">
        <v>-41</v>
      </c>
      <c r="M353">
        <v>-35</v>
      </c>
      <c r="N353">
        <v>11</v>
      </c>
      <c r="O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10681</v>
      </c>
      <c r="AE353">
        <v>1861</v>
      </c>
      <c r="AF353">
        <v>8820</v>
      </c>
      <c r="AG353" s="2">
        <v>0.17423462219999999</v>
      </c>
      <c r="AH353" t="s">
        <v>33</v>
      </c>
      <c r="AI353" s="4">
        <v>4940</v>
      </c>
      <c r="AJ353" s="4">
        <v>295623</v>
      </c>
      <c r="AK353" s="4">
        <v>8881</v>
      </c>
      <c r="AL353" s="4">
        <v>7988</v>
      </c>
      <c r="AM353" s="4">
        <v>317432</v>
      </c>
      <c r="AN353" s="5">
        <f ca="1">IFERROR(__xludf.DUMMYFUNCTION("""COMPUTED_VALUE"""),-251)</f>
        <v>-251</v>
      </c>
    </row>
    <row r="354" spans="1:40" x14ac:dyDescent="0.35">
      <c r="A354" s="1">
        <v>353</v>
      </c>
      <c r="B354" s="7">
        <v>44243</v>
      </c>
      <c r="C354">
        <v>47</v>
      </c>
      <c r="D354">
        <v>2072</v>
      </c>
      <c r="E354">
        <v>161</v>
      </c>
      <c r="F354">
        <v>-419</v>
      </c>
      <c r="G354" s="5">
        <f ca="1">IFERROR(__xludf.DUMMYFUNCTION("""COMPUTED_VALUE"""),10029)</f>
        <v>10029</v>
      </c>
      <c r="H354" s="5">
        <f ca="1">IFERROR(__xludf.DUMMYFUNCTION("""COMPUTED_VALUE"""),1861)</f>
        <v>1861</v>
      </c>
      <c r="I354">
        <v>-39</v>
      </c>
      <c r="J354">
        <v>-21</v>
      </c>
      <c r="K354">
        <v>-58</v>
      </c>
      <c r="L354">
        <v>-44</v>
      </c>
      <c r="M354">
        <v>-39</v>
      </c>
      <c r="N354">
        <v>13</v>
      </c>
      <c r="O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9306</v>
      </c>
      <c r="AE354">
        <v>1445</v>
      </c>
      <c r="AF354">
        <v>7861</v>
      </c>
      <c r="AG354" s="2">
        <v>0.15527616590000001</v>
      </c>
      <c r="AH354" t="s">
        <v>33</v>
      </c>
      <c r="AI354" s="4">
        <v>4987</v>
      </c>
      <c r="AJ354" s="4">
        <v>297695</v>
      </c>
      <c r="AK354" s="4">
        <v>9042</v>
      </c>
      <c r="AL354" s="4">
        <v>7569</v>
      </c>
      <c r="AM354" s="4">
        <v>319293</v>
      </c>
      <c r="AN354" s="5">
        <f ca="1">IFERROR(__xludf.DUMMYFUNCTION("""COMPUTED_VALUE"""),-258)</f>
        <v>-258</v>
      </c>
    </row>
    <row r="355" spans="1:40" x14ac:dyDescent="0.35">
      <c r="A355" s="1">
        <v>354</v>
      </c>
      <c r="B355" s="7">
        <v>44244</v>
      </c>
      <c r="C355">
        <v>39</v>
      </c>
      <c r="D355">
        <v>2100</v>
      </c>
      <c r="E355">
        <v>-575</v>
      </c>
      <c r="F355">
        <v>-119</v>
      </c>
      <c r="G355" s="5">
        <f ca="1">IFERROR(__xludf.DUMMYFUNCTION("""COMPUTED_VALUE"""),9687)</f>
        <v>9687</v>
      </c>
      <c r="H355" s="5">
        <f ca="1">IFERROR(__xludf.DUMMYFUNCTION("""COMPUTED_VALUE"""),1445)</f>
        <v>1445</v>
      </c>
      <c r="I355">
        <v>-32</v>
      </c>
      <c r="J355">
        <v>-12</v>
      </c>
      <c r="K355">
        <v>-51</v>
      </c>
      <c r="L355">
        <v>-42</v>
      </c>
      <c r="M355">
        <v>-34</v>
      </c>
      <c r="N355">
        <v>11</v>
      </c>
      <c r="O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9107</v>
      </c>
      <c r="AE355">
        <v>373</v>
      </c>
      <c r="AF355">
        <v>8734</v>
      </c>
      <c r="AG355" s="2">
        <v>4.0957505220000003E-2</v>
      </c>
      <c r="AH355" t="s">
        <v>33</v>
      </c>
      <c r="AI355" s="4">
        <v>5026</v>
      </c>
      <c r="AJ355" s="4">
        <v>299795</v>
      </c>
      <c r="AK355" s="4">
        <v>8467</v>
      </c>
      <c r="AL355" s="4">
        <v>7450</v>
      </c>
      <c r="AM355" s="4">
        <v>320738</v>
      </c>
      <c r="AN355" s="5">
        <f ca="1">IFERROR(__xludf.DUMMYFUNCTION("""COMPUTED_VALUE"""),-694)</f>
        <v>-694</v>
      </c>
    </row>
    <row r="356" spans="1:40" x14ac:dyDescent="0.35">
      <c r="A356" s="1">
        <v>355</v>
      </c>
      <c r="B356" s="7">
        <v>44245</v>
      </c>
      <c r="C356">
        <v>18</v>
      </c>
      <c r="D356">
        <v>2656</v>
      </c>
      <c r="E356">
        <v>-1400</v>
      </c>
      <c r="F356">
        <v>-901</v>
      </c>
      <c r="G356" s="5">
        <f ca="1">IFERROR(__xludf.DUMMYFUNCTION("""COMPUTED_VALUE"""),9039)</f>
        <v>9039</v>
      </c>
      <c r="H356" s="5">
        <f ca="1">IFERROR(__xludf.DUMMYFUNCTION("""COMPUTED_VALUE"""),373)</f>
        <v>373</v>
      </c>
      <c r="I356">
        <v>-39</v>
      </c>
      <c r="J356">
        <v>-23</v>
      </c>
      <c r="K356">
        <v>-57</v>
      </c>
      <c r="L356">
        <v>-45</v>
      </c>
      <c r="M356">
        <v>-36</v>
      </c>
      <c r="N356">
        <v>13</v>
      </c>
      <c r="O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15973</v>
      </c>
      <c r="AE356">
        <v>1920</v>
      </c>
      <c r="AF356">
        <v>14053</v>
      </c>
      <c r="AG356" s="2">
        <v>0.1202028423</v>
      </c>
      <c r="AH356" t="s">
        <v>33</v>
      </c>
      <c r="AI356" s="4">
        <v>5044</v>
      </c>
      <c r="AJ356" s="4">
        <v>302451</v>
      </c>
      <c r="AK356" s="4">
        <v>7067</v>
      </c>
      <c r="AL356" s="4">
        <v>6549</v>
      </c>
      <c r="AM356" s="4">
        <v>321111</v>
      </c>
      <c r="AN356" s="5">
        <f ca="1">IFERROR(__xludf.DUMMYFUNCTION("""COMPUTED_VALUE"""),-2301)</f>
        <v>-2301</v>
      </c>
    </row>
    <row r="357" spans="1:40" x14ac:dyDescent="0.35">
      <c r="A357" s="1">
        <v>356</v>
      </c>
      <c r="B357" s="7">
        <v>44246</v>
      </c>
      <c r="C357">
        <v>37</v>
      </c>
      <c r="D357">
        <v>2544</v>
      </c>
      <c r="E357">
        <v>256</v>
      </c>
      <c r="F357">
        <v>-917</v>
      </c>
      <c r="G357" s="5">
        <f ca="1">IFERROR(__xludf.DUMMYFUNCTION("""COMPUTED_VALUE"""),10614)</f>
        <v>10614</v>
      </c>
      <c r="H357" s="5">
        <f ca="1">IFERROR(__xludf.DUMMYFUNCTION("""COMPUTED_VALUE"""),1920)</f>
        <v>1920</v>
      </c>
      <c r="I357">
        <v>-30</v>
      </c>
      <c r="J357">
        <v>-10</v>
      </c>
      <c r="K357">
        <v>-46</v>
      </c>
      <c r="L357">
        <v>-43</v>
      </c>
      <c r="M357">
        <v>-34</v>
      </c>
      <c r="N357">
        <v>13</v>
      </c>
      <c r="O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12292</v>
      </c>
      <c r="AE357">
        <v>2872</v>
      </c>
      <c r="AF357">
        <v>9420</v>
      </c>
      <c r="AG357" s="2">
        <v>0.2336479011</v>
      </c>
      <c r="AH357" t="s">
        <v>33</v>
      </c>
      <c r="AI357" s="4">
        <v>5081</v>
      </c>
      <c r="AJ357" s="4">
        <v>304995</v>
      </c>
      <c r="AK357" s="4">
        <v>7323</v>
      </c>
      <c r="AL357" s="4">
        <v>5632</v>
      </c>
      <c r="AM357" s="4">
        <v>323031</v>
      </c>
      <c r="AN357" s="5">
        <f ca="1">IFERROR(__xludf.DUMMYFUNCTION("""COMPUTED_VALUE"""),-661)</f>
        <v>-661</v>
      </c>
    </row>
    <row r="358" spans="1:40" x14ac:dyDescent="0.35">
      <c r="A358" s="1">
        <v>357</v>
      </c>
      <c r="B358" s="7">
        <v>44247</v>
      </c>
      <c r="C358">
        <v>40</v>
      </c>
      <c r="D358">
        <v>2764</v>
      </c>
      <c r="E358">
        <v>-158</v>
      </c>
      <c r="F358">
        <v>226</v>
      </c>
      <c r="G358" s="5">
        <f ca="1">IFERROR(__xludf.DUMMYFUNCTION("""COMPUTED_VALUE"""),8054)</f>
        <v>8054</v>
      </c>
      <c r="H358" s="5">
        <f ca="1">IFERROR(__xludf.DUMMYFUNCTION("""COMPUTED_VALUE"""),2872)</f>
        <v>2872</v>
      </c>
      <c r="I358">
        <v>-38</v>
      </c>
      <c r="J358">
        <v>-14</v>
      </c>
      <c r="K358">
        <v>-55</v>
      </c>
      <c r="L358">
        <v>-40</v>
      </c>
      <c r="M358">
        <v>-25</v>
      </c>
      <c r="N358">
        <v>9</v>
      </c>
      <c r="O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13045</v>
      </c>
      <c r="AE358">
        <v>2720</v>
      </c>
      <c r="AF358">
        <v>10325</v>
      </c>
      <c r="AG358" s="2">
        <v>0.20850900729999999</v>
      </c>
      <c r="AH358" t="s">
        <v>33</v>
      </c>
      <c r="AI358" s="4">
        <v>5121</v>
      </c>
      <c r="AJ358" s="4">
        <v>307759</v>
      </c>
      <c r="AK358" s="4">
        <v>7165</v>
      </c>
      <c r="AL358" s="4">
        <v>5858</v>
      </c>
      <c r="AM358" s="4">
        <v>325903</v>
      </c>
      <c r="AN358" s="5">
        <f ca="1">IFERROR(__xludf.DUMMYFUNCTION("""COMPUTED_VALUE"""),68)</f>
        <v>68</v>
      </c>
    </row>
    <row r="359" spans="1:40" x14ac:dyDescent="0.35">
      <c r="A359" s="1">
        <v>358</v>
      </c>
      <c r="B359" s="7">
        <v>44248</v>
      </c>
      <c r="C359">
        <v>51</v>
      </c>
      <c r="D359">
        <v>2653</v>
      </c>
      <c r="E359">
        <v>-28</v>
      </c>
      <c r="F359">
        <v>44</v>
      </c>
      <c r="G359" s="5">
        <f ca="1">IFERROR(__xludf.DUMMYFUNCTION("""COMPUTED_VALUE"""),7300)</f>
        <v>7300</v>
      </c>
      <c r="H359" s="5">
        <f ca="1">IFERROR(__xludf.DUMMYFUNCTION("""COMPUTED_VALUE"""),2720)</f>
        <v>2720</v>
      </c>
      <c r="I359">
        <v>-35</v>
      </c>
      <c r="J359">
        <v>-12</v>
      </c>
      <c r="K359">
        <v>-57</v>
      </c>
      <c r="L359">
        <v>-38</v>
      </c>
      <c r="M359">
        <v>-17</v>
      </c>
      <c r="N359">
        <v>7</v>
      </c>
      <c r="O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9312</v>
      </c>
      <c r="AE359">
        <v>2471</v>
      </c>
      <c r="AF359">
        <v>6841</v>
      </c>
      <c r="AG359" s="2">
        <v>0.26535652920000002</v>
      </c>
      <c r="AH359" t="s">
        <v>33</v>
      </c>
      <c r="AI359" s="4">
        <v>5172</v>
      </c>
      <c r="AJ359" s="4">
        <v>310412</v>
      </c>
      <c r="AK359" s="4">
        <v>7137</v>
      </c>
      <c r="AL359" s="4">
        <v>5902</v>
      </c>
      <c r="AM359" s="4">
        <v>328623</v>
      </c>
      <c r="AN359" s="5">
        <f ca="1">IFERROR(__xludf.DUMMYFUNCTION("""COMPUTED_VALUE"""),16)</f>
        <v>16</v>
      </c>
    </row>
    <row r="360" spans="1:40" x14ac:dyDescent="0.35">
      <c r="A360" s="1">
        <v>359</v>
      </c>
      <c r="B360" s="7">
        <v>44249</v>
      </c>
      <c r="C360">
        <v>34</v>
      </c>
      <c r="D360">
        <v>2336</v>
      </c>
      <c r="E360">
        <v>391</v>
      </c>
      <c r="F360">
        <v>-290</v>
      </c>
      <c r="G360" s="5">
        <f ca="1">IFERROR(__xludf.DUMMYFUNCTION("""COMPUTED_VALUE"""),10180)</f>
        <v>10180</v>
      </c>
      <c r="H360" s="5">
        <f ca="1">IFERROR(__xludf.DUMMYFUNCTION("""COMPUTED_VALUE"""),2471)</f>
        <v>2471</v>
      </c>
      <c r="I360">
        <v>-31</v>
      </c>
      <c r="J360">
        <v>-12</v>
      </c>
      <c r="K360">
        <v>-50</v>
      </c>
      <c r="L360">
        <v>-43</v>
      </c>
      <c r="M360">
        <v>-34</v>
      </c>
      <c r="N360">
        <v>11</v>
      </c>
      <c r="O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11429</v>
      </c>
      <c r="AE360">
        <v>782</v>
      </c>
      <c r="AF360">
        <v>10647</v>
      </c>
      <c r="AG360" s="2">
        <v>6.8422434160000004E-2</v>
      </c>
      <c r="AH360" t="s">
        <v>33</v>
      </c>
      <c r="AI360" s="4">
        <v>5206</v>
      </c>
      <c r="AJ360" s="4">
        <v>312748</v>
      </c>
      <c r="AK360" s="4">
        <v>7528</v>
      </c>
      <c r="AL360" s="4">
        <v>5612</v>
      </c>
      <c r="AM360" s="4">
        <v>331094</v>
      </c>
      <c r="AN360" s="5">
        <f ca="1">IFERROR(__xludf.DUMMYFUNCTION("""COMPUTED_VALUE"""),101)</f>
        <v>101</v>
      </c>
    </row>
    <row r="361" spans="1:40" x14ac:dyDescent="0.35">
      <c r="A361" s="1">
        <v>360</v>
      </c>
      <c r="B361" s="7">
        <v>44250</v>
      </c>
      <c r="C361">
        <v>42</v>
      </c>
      <c r="D361">
        <v>1815</v>
      </c>
      <c r="E361">
        <v>-402</v>
      </c>
      <c r="F361">
        <v>-673</v>
      </c>
      <c r="G361" s="5">
        <f ca="1">IFERROR(__xludf.DUMMYFUNCTION("""COMPUTED_VALUE"""),9775)</f>
        <v>9775</v>
      </c>
      <c r="H361" s="5">
        <f ca="1">IFERROR(__xludf.DUMMYFUNCTION("""COMPUTED_VALUE"""),782)</f>
        <v>782</v>
      </c>
      <c r="I361">
        <v>-34</v>
      </c>
      <c r="J361">
        <v>-15</v>
      </c>
      <c r="K361">
        <v>-54</v>
      </c>
      <c r="L361">
        <v>-43</v>
      </c>
      <c r="M361">
        <v>-35</v>
      </c>
      <c r="N361">
        <v>11</v>
      </c>
      <c r="O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14002</v>
      </c>
      <c r="AE361">
        <v>782</v>
      </c>
      <c r="AF361">
        <v>13220</v>
      </c>
      <c r="AG361" s="2">
        <v>5.5849164409999999E-2</v>
      </c>
      <c r="AH361" t="s">
        <v>33</v>
      </c>
      <c r="AI361" s="4">
        <v>5248</v>
      </c>
      <c r="AJ361" s="4">
        <v>314563</v>
      </c>
      <c r="AK361" s="4">
        <v>7126</v>
      </c>
      <c r="AL361" s="4">
        <v>4939</v>
      </c>
      <c r="AM361" s="4">
        <v>331876</v>
      </c>
      <c r="AN361" s="5">
        <f ca="1">IFERROR(__xludf.DUMMYFUNCTION("""COMPUTED_VALUE"""),-1075)</f>
        <v>-1075</v>
      </c>
    </row>
    <row r="362" spans="1:40" x14ac:dyDescent="0.35">
      <c r="A362" s="1">
        <v>361</v>
      </c>
      <c r="B362" s="7">
        <v>44251</v>
      </c>
      <c r="C362">
        <v>53</v>
      </c>
      <c r="D362">
        <v>2440</v>
      </c>
      <c r="E362">
        <v>-1118</v>
      </c>
      <c r="F362">
        <v>-593</v>
      </c>
      <c r="G362" s="5">
        <f ca="1">IFERROR(__xludf.DUMMYFUNCTION("""COMPUTED_VALUE"""),7533)</f>
        <v>7533</v>
      </c>
      <c r="H362" s="5">
        <f ca="1">IFERROR(__xludf.DUMMYFUNCTION("""COMPUTED_VALUE"""),782)</f>
        <v>782</v>
      </c>
      <c r="I362">
        <v>-34</v>
      </c>
      <c r="J362">
        <v>-18</v>
      </c>
      <c r="K362">
        <v>-53</v>
      </c>
      <c r="L362">
        <v>-44</v>
      </c>
      <c r="M362">
        <v>-34</v>
      </c>
      <c r="N362">
        <v>12</v>
      </c>
      <c r="O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15038</v>
      </c>
      <c r="AE362">
        <v>1581</v>
      </c>
      <c r="AF362">
        <v>13457</v>
      </c>
      <c r="AG362" s="2">
        <v>0.10513366139999999</v>
      </c>
      <c r="AH362" t="s">
        <v>33</v>
      </c>
      <c r="AI362" s="4">
        <v>5301</v>
      </c>
      <c r="AJ362" s="4">
        <v>317003</v>
      </c>
      <c r="AK362" s="4">
        <v>6008</v>
      </c>
      <c r="AL362" s="4">
        <v>4346</v>
      </c>
      <c r="AM362" s="4">
        <v>332658</v>
      </c>
      <c r="AN362" s="5">
        <f ca="1">IFERROR(__xludf.DUMMYFUNCTION("""COMPUTED_VALUE"""),-1711)</f>
        <v>-1711</v>
      </c>
    </row>
    <row r="363" spans="1:40" x14ac:dyDescent="0.35">
      <c r="A363" s="1">
        <v>362</v>
      </c>
      <c r="B363" s="7">
        <v>44252</v>
      </c>
      <c r="C363">
        <v>45</v>
      </c>
      <c r="D363">
        <v>2323</v>
      </c>
      <c r="E363">
        <v>-509</v>
      </c>
      <c r="F363">
        <v>-278</v>
      </c>
      <c r="G363" s="5">
        <f ca="1">IFERROR(__xludf.DUMMYFUNCTION("""COMPUTED_VALUE"""),8493)</f>
        <v>8493</v>
      </c>
      <c r="H363" s="5">
        <f ca="1">IFERROR(__xludf.DUMMYFUNCTION("""COMPUTED_VALUE"""),1581)</f>
        <v>1581</v>
      </c>
      <c r="I363">
        <v>-29</v>
      </c>
      <c r="J363">
        <v>-7</v>
      </c>
      <c r="K363">
        <v>-49</v>
      </c>
      <c r="L363">
        <v>-41</v>
      </c>
      <c r="M363">
        <v>-33</v>
      </c>
      <c r="N363">
        <v>10</v>
      </c>
      <c r="O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13802</v>
      </c>
      <c r="AE363">
        <v>1661</v>
      </c>
      <c r="AF363">
        <v>12141</v>
      </c>
      <c r="AG363" s="2">
        <v>0.1203448776</v>
      </c>
      <c r="AH363" t="s">
        <v>33</v>
      </c>
      <c r="AI363" s="4">
        <v>5346</v>
      </c>
      <c r="AJ363" s="4">
        <v>319326</v>
      </c>
      <c r="AK363" s="4">
        <v>5499</v>
      </c>
      <c r="AL363" s="4">
        <v>4068</v>
      </c>
      <c r="AM363" s="4">
        <v>334239</v>
      </c>
      <c r="AN363" s="5">
        <f ca="1">IFERROR(__xludf.DUMMYFUNCTION("""COMPUTED_VALUE"""),-787)</f>
        <v>-787</v>
      </c>
    </row>
    <row r="364" spans="1:40" x14ac:dyDescent="0.35">
      <c r="A364" s="1">
        <v>363</v>
      </c>
      <c r="B364" s="7">
        <v>44253</v>
      </c>
      <c r="C364">
        <v>39</v>
      </c>
      <c r="D364">
        <v>1712</v>
      </c>
      <c r="E364">
        <v>61</v>
      </c>
      <c r="F364">
        <v>-151</v>
      </c>
      <c r="G364" s="5">
        <f ca="1">IFERROR(__xludf.DUMMYFUNCTION("""COMPUTED_VALUE"""),8232)</f>
        <v>8232</v>
      </c>
      <c r="H364" s="5">
        <f ca="1">IFERROR(__xludf.DUMMYFUNCTION("""COMPUTED_VALUE"""),1661)</f>
        <v>1661</v>
      </c>
      <c r="I364">
        <v>-24</v>
      </c>
      <c r="J364">
        <v>-2</v>
      </c>
      <c r="K364">
        <v>-41</v>
      </c>
      <c r="L364">
        <v>-39</v>
      </c>
      <c r="M364">
        <v>-32</v>
      </c>
      <c r="N364">
        <v>11</v>
      </c>
      <c r="O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13432</v>
      </c>
      <c r="AE364">
        <v>1737</v>
      </c>
      <c r="AF364">
        <v>11695</v>
      </c>
      <c r="AG364" s="2">
        <v>0.12931804650000001</v>
      </c>
      <c r="AH364" t="s">
        <v>33</v>
      </c>
      <c r="AI364" s="4">
        <v>5385</v>
      </c>
      <c r="AJ364" s="4">
        <v>321038</v>
      </c>
      <c r="AK364" s="4">
        <v>5560</v>
      </c>
      <c r="AL364" s="4">
        <v>3917</v>
      </c>
      <c r="AM364" s="4">
        <v>335900</v>
      </c>
      <c r="AN364" s="5">
        <f ca="1">IFERROR(__xludf.DUMMYFUNCTION("""COMPUTED_VALUE"""),-90)</f>
        <v>-90</v>
      </c>
    </row>
    <row r="365" spans="1:40" x14ac:dyDescent="0.35">
      <c r="A365" s="1">
        <v>364</v>
      </c>
      <c r="B365" s="7">
        <v>44254</v>
      </c>
      <c r="C365">
        <v>54</v>
      </c>
      <c r="D365">
        <v>1247</v>
      </c>
      <c r="E365">
        <v>325</v>
      </c>
      <c r="F365">
        <v>111</v>
      </c>
      <c r="G365" s="5">
        <f ca="1">IFERROR(__xludf.DUMMYFUNCTION("""COMPUTED_VALUE"""),6208)</f>
        <v>6208</v>
      </c>
      <c r="H365" s="5">
        <f ca="1">IFERROR(__xludf.DUMMYFUNCTION("""COMPUTED_VALUE"""),1737)</f>
        <v>1737</v>
      </c>
      <c r="I365">
        <v>-24</v>
      </c>
      <c r="J365">
        <v>4</v>
      </c>
      <c r="K365">
        <v>-42</v>
      </c>
      <c r="L365">
        <v>-30</v>
      </c>
      <c r="M365">
        <v>-19</v>
      </c>
      <c r="N365">
        <v>5</v>
      </c>
      <c r="O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12559</v>
      </c>
      <c r="AE365">
        <v>2098</v>
      </c>
      <c r="AF365">
        <v>10461</v>
      </c>
      <c r="AG365" s="2">
        <v>0.16705151679999999</v>
      </c>
      <c r="AH365" t="s">
        <v>33</v>
      </c>
      <c r="AI365" s="4">
        <v>5439</v>
      </c>
      <c r="AJ365" s="4">
        <v>322285</v>
      </c>
      <c r="AK365" s="4">
        <v>5885</v>
      </c>
      <c r="AL365" s="4">
        <v>4028</v>
      </c>
      <c r="AM365" s="4">
        <v>337637</v>
      </c>
      <c r="AN365" s="5">
        <f ca="1">IFERROR(__xludf.DUMMYFUNCTION("""COMPUTED_VALUE"""),436)</f>
        <v>436</v>
      </c>
    </row>
    <row r="366" spans="1:40" x14ac:dyDescent="0.35">
      <c r="A366" s="1">
        <v>365</v>
      </c>
      <c r="B366" s="7">
        <v>44255</v>
      </c>
      <c r="C366">
        <v>39</v>
      </c>
      <c r="D366">
        <v>1607</v>
      </c>
      <c r="E366">
        <v>55</v>
      </c>
      <c r="F366">
        <v>397</v>
      </c>
      <c r="G366" s="5">
        <f ca="1">IFERROR(__xludf.DUMMYFUNCTION("""COMPUTED_VALUE"""),5560)</f>
        <v>5560</v>
      </c>
      <c r="H366" s="5">
        <f ca="1">IFERROR(__xludf.DUMMYFUNCTION("""COMPUTED_VALUE"""),2098)</f>
        <v>2098</v>
      </c>
      <c r="I366">
        <v>-28</v>
      </c>
      <c r="J366">
        <v>-3</v>
      </c>
      <c r="K366">
        <v>-49</v>
      </c>
      <c r="L366">
        <v>-31</v>
      </c>
      <c r="M366">
        <v>-13</v>
      </c>
      <c r="N366">
        <v>5</v>
      </c>
      <c r="O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7797</v>
      </c>
      <c r="AE366">
        <v>2058</v>
      </c>
      <c r="AF366">
        <v>5739</v>
      </c>
      <c r="AG366" s="2">
        <v>0.26394767219999998</v>
      </c>
      <c r="AH366" t="s">
        <v>33</v>
      </c>
      <c r="AI366" s="4">
        <v>5478</v>
      </c>
      <c r="AJ366" s="4">
        <v>323892</v>
      </c>
      <c r="AK366" s="4">
        <v>5940</v>
      </c>
      <c r="AL366" s="4">
        <v>4425</v>
      </c>
      <c r="AM366" s="4">
        <v>339735</v>
      </c>
      <c r="AN366" s="5">
        <f ca="1">IFERROR(__xludf.DUMMYFUNCTION("""COMPUTED_VALUE"""),452)</f>
        <v>452</v>
      </c>
    </row>
    <row r="367" spans="1:40" x14ac:dyDescent="0.35">
      <c r="A367" s="1">
        <v>366</v>
      </c>
      <c r="B367" s="7">
        <v>44256</v>
      </c>
      <c r="C367">
        <v>50</v>
      </c>
      <c r="D367">
        <v>2617</v>
      </c>
      <c r="E367">
        <v>-49</v>
      </c>
      <c r="F367">
        <v>-560</v>
      </c>
      <c r="G367" s="5">
        <f ca="1">IFERROR(__xludf.DUMMYFUNCTION("""COMPUTED_VALUE"""),6680)</f>
        <v>6680</v>
      </c>
      <c r="H367" s="5">
        <f ca="1">IFERROR(__xludf.DUMMYFUNCTION("""COMPUTED_VALUE"""),2058)</f>
        <v>2058</v>
      </c>
      <c r="I367">
        <v>-29</v>
      </c>
      <c r="J367">
        <v>-5</v>
      </c>
      <c r="K367">
        <v>-51</v>
      </c>
      <c r="L367">
        <v>-40</v>
      </c>
      <c r="M367">
        <v>-33</v>
      </c>
      <c r="N367">
        <v>10</v>
      </c>
      <c r="O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10394</v>
      </c>
      <c r="AE367">
        <v>578</v>
      </c>
      <c r="AF367">
        <v>9816</v>
      </c>
      <c r="AG367" s="2">
        <v>5.5609005199999999E-2</v>
      </c>
      <c r="AH367" t="s">
        <v>33</v>
      </c>
      <c r="AI367" s="4">
        <v>5528</v>
      </c>
      <c r="AJ367" s="4">
        <v>326509</v>
      </c>
      <c r="AK367" s="4">
        <v>5891</v>
      </c>
      <c r="AL367" s="4">
        <v>3865</v>
      </c>
      <c r="AM367" s="4">
        <v>341793</v>
      </c>
      <c r="AN367" s="5">
        <f ca="1">IFERROR(__xludf.DUMMYFUNCTION("""COMPUTED_VALUE"""),-609)</f>
        <v>-609</v>
      </c>
    </row>
    <row r="368" spans="1:40" x14ac:dyDescent="0.35">
      <c r="A368" s="1">
        <v>367</v>
      </c>
      <c r="B368" s="7">
        <v>44257</v>
      </c>
      <c r="C368">
        <v>40</v>
      </c>
      <c r="D368">
        <v>2017</v>
      </c>
      <c r="E368">
        <v>-819</v>
      </c>
      <c r="F368">
        <v>-660</v>
      </c>
      <c r="G368" s="5">
        <f ca="1">IFERROR(__xludf.DUMMYFUNCTION("""COMPUTED_VALUE"""),5712)</f>
        <v>5712</v>
      </c>
      <c r="H368" s="5">
        <f ca="1">IFERROR(__xludf.DUMMYFUNCTION("""COMPUTED_VALUE"""),578)</f>
        <v>578</v>
      </c>
      <c r="I368">
        <v>-29</v>
      </c>
      <c r="J368">
        <v>-5</v>
      </c>
      <c r="K368">
        <v>-52</v>
      </c>
      <c r="L368">
        <v>-40</v>
      </c>
      <c r="M368">
        <v>-34</v>
      </c>
      <c r="N368">
        <v>10</v>
      </c>
      <c r="O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20538</v>
      </c>
      <c r="AE368">
        <v>1437</v>
      </c>
      <c r="AF368">
        <v>19101</v>
      </c>
      <c r="AG368" s="2">
        <v>6.996786445E-2</v>
      </c>
      <c r="AH368" t="s">
        <v>33</v>
      </c>
      <c r="AI368" s="4">
        <v>5568</v>
      </c>
      <c r="AJ368" s="4">
        <v>328526</v>
      </c>
      <c r="AK368" s="4">
        <v>5072</v>
      </c>
      <c r="AL368" s="4">
        <v>3205</v>
      </c>
      <c r="AM368" s="4">
        <v>342371</v>
      </c>
      <c r="AN368" s="5">
        <f ca="1">IFERROR(__xludf.DUMMYFUNCTION("""COMPUTED_VALUE"""),-1479)</f>
        <v>-1479</v>
      </c>
    </row>
    <row r="369" spans="1:40" x14ac:dyDescent="0.35">
      <c r="A369" s="1">
        <v>368</v>
      </c>
      <c r="B369" s="7">
        <v>44258</v>
      </c>
      <c r="C369">
        <v>45</v>
      </c>
      <c r="D369">
        <v>2490</v>
      </c>
      <c r="E369">
        <v>-1330</v>
      </c>
      <c r="F369">
        <v>232</v>
      </c>
      <c r="G369" s="5">
        <f ca="1">IFERROR(__xludf.DUMMYFUNCTION("""COMPUTED_VALUE"""),6808)</f>
        <v>6808</v>
      </c>
      <c r="H369" s="5">
        <f ca="1">IFERROR(__xludf.DUMMYFUNCTION("""COMPUTED_VALUE"""),1437)</f>
        <v>1437</v>
      </c>
      <c r="I369">
        <v>-27</v>
      </c>
      <c r="J369">
        <v>-5</v>
      </c>
      <c r="K369">
        <v>-49</v>
      </c>
      <c r="L369">
        <v>-39</v>
      </c>
      <c r="M369">
        <v>-33</v>
      </c>
      <c r="N369">
        <v>10</v>
      </c>
      <c r="O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14072</v>
      </c>
      <c r="AE369">
        <v>2008</v>
      </c>
      <c r="AF369">
        <v>12064</v>
      </c>
      <c r="AG369" s="2">
        <v>0.14269471289999999</v>
      </c>
      <c r="AH369" t="s">
        <v>33</v>
      </c>
      <c r="AI369" s="4">
        <v>5613</v>
      </c>
      <c r="AJ369" s="4">
        <v>331016</v>
      </c>
      <c r="AK369" s="4">
        <v>3742</v>
      </c>
      <c r="AL369" s="4">
        <v>3437</v>
      </c>
      <c r="AM369" s="4">
        <v>343808</v>
      </c>
      <c r="AN369" s="5">
        <f ca="1">IFERROR(__xludf.DUMMYFUNCTION("""COMPUTED_VALUE"""),-1098)</f>
        <v>-1098</v>
      </c>
    </row>
    <row r="370" spans="1:40" x14ac:dyDescent="0.35">
      <c r="A370" s="1">
        <v>369</v>
      </c>
      <c r="B370" s="7">
        <v>44259</v>
      </c>
      <c r="C370">
        <v>44</v>
      </c>
      <c r="D370">
        <v>1742</v>
      </c>
      <c r="E370">
        <v>198</v>
      </c>
      <c r="F370">
        <v>24</v>
      </c>
      <c r="G370" s="5">
        <f ca="1">IFERROR(__xludf.DUMMYFUNCTION("""COMPUTED_VALUE"""),7264)</f>
        <v>7264</v>
      </c>
      <c r="H370" s="5">
        <f ca="1">IFERROR(__xludf.DUMMYFUNCTION("""COMPUTED_VALUE"""),2008)</f>
        <v>2008</v>
      </c>
      <c r="I370">
        <v>-29</v>
      </c>
      <c r="J370">
        <v>-10</v>
      </c>
      <c r="K370">
        <v>-50</v>
      </c>
      <c r="L370">
        <v>-40</v>
      </c>
      <c r="M370">
        <v>-33</v>
      </c>
      <c r="N370">
        <v>10</v>
      </c>
      <c r="O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12608</v>
      </c>
      <c r="AE370">
        <v>1159</v>
      </c>
      <c r="AF370">
        <v>11449</v>
      </c>
      <c r="AG370" s="2">
        <v>9.1925761420000002E-2</v>
      </c>
      <c r="AH370" t="s">
        <v>33</v>
      </c>
      <c r="AI370" s="4">
        <v>5657</v>
      </c>
      <c r="AJ370" s="4">
        <v>332758</v>
      </c>
      <c r="AK370" s="4">
        <v>3940</v>
      </c>
      <c r="AL370" s="4">
        <v>3461</v>
      </c>
      <c r="AM370" s="4">
        <v>345816</v>
      </c>
      <c r="AN370" s="5">
        <f ca="1">IFERROR(__xludf.DUMMYFUNCTION("""COMPUTED_VALUE"""),222)</f>
        <v>222</v>
      </c>
    </row>
    <row r="371" spans="1:40" x14ac:dyDescent="0.35">
      <c r="A371" s="1">
        <v>370</v>
      </c>
      <c r="B371" s="7">
        <v>44260</v>
      </c>
      <c r="C371">
        <v>45</v>
      </c>
      <c r="D371">
        <v>1342</v>
      </c>
      <c r="E371">
        <v>86</v>
      </c>
      <c r="F371">
        <v>-314</v>
      </c>
      <c r="G371" s="5">
        <f ca="1">IFERROR(__xludf.DUMMYFUNCTION("""COMPUTED_VALUE"""),6995)</f>
        <v>6995</v>
      </c>
      <c r="H371" s="5">
        <f ca="1">IFERROR(__xludf.DUMMYFUNCTION("""COMPUTED_VALUE"""),1159)</f>
        <v>1159</v>
      </c>
      <c r="I371">
        <v>-26</v>
      </c>
      <c r="J371">
        <v>-6</v>
      </c>
      <c r="K371">
        <v>-45</v>
      </c>
      <c r="L371">
        <v>-39</v>
      </c>
      <c r="M371">
        <v>-32</v>
      </c>
      <c r="N371">
        <v>11</v>
      </c>
      <c r="O371">
        <v>141425</v>
      </c>
      <c r="Q371">
        <v>91078</v>
      </c>
      <c r="R371">
        <v>76451</v>
      </c>
      <c r="S371">
        <v>0</v>
      </c>
      <c r="T371">
        <v>64121</v>
      </c>
      <c r="U371">
        <v>0</v>
      </c>
      <c r="V371">
        <v>281997</v>
      </c>
      <c r="W371">
        <v>91078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8787</v>
      </c>
      <c r="AE371">
        <v>1616</v>
      </c>
      <c r="AF371">
        <v>7171</v>
      </c>
      <c r="AG371" s="2">
        <v>0.18390804599999999</v>
      </c>
      <c r="AH371" t="s">
        <v>33</v>
      </c>
      <c r="AI371" s="4">
        <v>5702</v>
      </c>
      <c r="AJ371" s="4">
        <v>334100</v>
      </c>
      <c r="AK371" s="4">
        <v>4026</v>
      </c>
      <c r="AL371" s="4">
        <v>3147</v>
      </c>
      <c r="AM371" s="4">
        <v>346975</v>
      </c>
      <c r="AN371" s="5">
        <f ca="1">IFERROR(__xludf.DUMMYFUNCTION("""COMPUTED_VALUE"""),-228)</f>
        <v>-228</v>
      </c>
    </row>
    <row r="372" spans="1:40" x14ac:dyDescent="0.35">
      <c r="A372" s="1">
        <v>371</v>
      </c>
      <c r="B372" s="7">
        <v>44261</v>
      </c>
      <c r="C372">
        <v>46</v>
      </c>
      <c r="D372">
        <v>1517</v>
      </c>
      <c r="E372">
        <v>202</v>
      </c>
      <c r="F372">
        <v>-149</v>
      </c>
      <c r="G372" s="5">
        <f ca="1">IFERROR(__xludf.DUMMYFUNCTION("""COMPUTED_VALUE"""),5743)</f>
        <v>5743</v>
      </c>
      <c r="H372" s="5">
        <f ca="1">IFERROR(__xludf.DUMMYFUNCTION("""COMPUTED_VALUE"""),1616)</f>
        <v>1616</v>
      </c>
      <c r="I372">
        <v>-26</v>
      </c>
      <c r="J372">
        <v>-2</v>
      </c>
      <c r="K372">
        <v>-45</v>
      </c>
      <c r="L372">
        <v>-29</v>
      </c>
      <c r="M372">
        <v>-20</v>
      </c>
      <c r="N372">
        <v>5</v>
      </c>
      <c r="O372">
        <v>144046</v>
      </c>
      <c r="Q372">
        <v>91379</v>
      </c>
      <c r="R372">
        <v>79421</v>
      </c>
      <c r="S372">
        <v>0</v>
      </c>
      <c r="T372">
        <v>66484</v>
      </c>
      <c r="U372">
        <v>0</v>
      </c>
      <c r="V372">
        <v>289951</v>
      </c>
      <c r="W372">
        <v>91379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8261</v>
      </c>
      <c r="AE372">
        <v>1834</v>
      </c>
      <c r="AF372">
        <v>6427</v>
      </c>
      <c r="AG372" s="2">
        <v>0.22200702089999999</v>
      </c>
      <c r="AH372" t="s">
        <v>33</v>
      </c>
      <c r="AI372" s="4">
        <v>5748</v>
      </c>
      <c r="AJ372" s="4">
        <v>335617</v>
      </c>
      <c r="AK372" s="4">
        <v>4228</v>
      </c>
      <c r="AL372" s="4">
        <v>2998</v>
      </c>
      <c r="AM372" s="4">
        <v>348591</v>
      </c>
      <c r="AN372" s="5">
        <f ca="1">IFERROR(__xludf.DUMMYFUNCTION("""COMPUTED_VALUE"""),53)</f>
        <v>53</v>
      </c>
    </row>
    <row r="373" spans="1:40" x14ac:dyDescent="0.35">
      <c r="A373" s="1">
        <v>372</v>
      </c>
      <c r="B373" s="7">
        <v>44262</v>
      </c>
      <c r="C373">
        <v>42</v>
      </c>
      <c r="D373">
        <v>1809</v>
      </c>
      <c r="E373">
        <v>-34</v>
      </c>
      <c r="F373">
        <v>17</v>
      </c>
      <c r="G373" s="5">
        <f ca="1">IFERROR(__xludf.DUMMYFUNCTION("""COMPUTED_VALUE"""),5826)</f>
        <v>5826</v>
      </c>
      <c r="H373" s="5">
        <f ca="1">IFERROR(__xludf.DUMMYFUNCTION("""COMPUTED_VALUE"""),1834)</f>
        <v>1834</v>
      </c>
      <c r="I373">
        <v>-31</v>
      </c>
      <c r="J373">
        <v>-9</v>
      </c>
      <c r="K373">
        <v>-52</v>
      </c>
      <c r="L373">
        <v>-31</v>
      </c>
      <c r="M373">
        <v>-16</v>
      </c>
      <c r="N373">
        <v>6</v>
      </c>
      <c r="O373">
        <v>177126</v>
      </c>
      <c r="Q373">
        <v>91460</v>
      </c>
      <c r="R373">
        <v>83628</v>
      </c>
      <c r="S373">
        <v>0</v>
      </c>
      <c r="T373">
        <v>73752</v>
      </c>
      <c r="U373">
        <v>2514</v>
      </c>
      <c r="V373">
        <v>334506</v>
      </c>
      <c r="W373">
        <v>93974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11041</v>
      </c>
      <c r="AE373">
        <v>1783</v>
      </c>
      <c r="AF373">
        <v>9258</v>
      </c>
      <c r="AG373" s="2">
        <v>0.16148899559999999</v>
      </c>
      <c r="AH373" t="s">
        <v>33</v>
      </c>
      <c r="AI373" s="4">
        <v>5790</v>
      </c>
      <c r="AJ373" s="4">
        <v>337426</v>
      </c>
      <c r="AK373" s="4">
        <v>4194</v>
      </c>
      <c r="AL373" s="4">
        <v>3015</v>
      </c>
      <c r="AM373" s="4">
        <v>350425</v>
      </c>
      <c r="AN373" s="5">
        <f ca="1">IFERROR(__xludf.DUMMYFUNCTION("""COMPUTED_VALUE"""),-17)</f>
        <v>-17</v>
      </c>
    </row>
    <row r="374" spans="1:40" x14ac:dyDescent="0.35">
      <c r="A374" s="1">
        <v>373</v>
      </c>
      <c r="B374" s="7">
        <v>44263</v>
      </c>
      <c r="C374">
        <v>48</v>
      </c>
      <c r="D374">
        <v>1505</v>
      </c>
      <c r="E374">
        <v>300</v>
      </c>
      <c r="F374">
        <v>-70</v>
      </c>
      <c r="G374" s="5">
        <f ca="1">IFERROR(__xludf.DUMMYFUNCTION("""COMPUTED_VALUE"""),6894)</f>
        <v>6894</v>
      </c>
      <c r="H374" s="5">
        <f ca="1">IFERROR(__xludf.DUMMYFUNCTION("""COMPUTED_VALUE"""),1783)</f>
        <v>1783</v>
      </c>
      <c r="I374">
        <v>-28</v>
      </c>
      <c r="J374">
        <v>-7</v>
      </c>
      <c r="K374">
        <v>-48</v>
      </c>
      <c r="L374">
        <v>-39</v>
      </c>
      <c r="M374">
        <v>-33</v>
      </c>
      <c r="N374">
        <v>10</v>
      </c>
      <c r="O374">
        <v>181237</v>
      </c>
      <c r="Q374">
        <v>92988</v>
      </c>
      <c r="R374">
        <v>95140</v>
      </c>
      <c r="S374">
        <v>1</v>
      </c>
      <c r="T374">
        <v>85333</v>
      </c>
      <c r="U374">
        <v>3989</v>
      </c>
      <c r="V374">
        <v>361710</v>
      </c>
      <c r="W374">
        <v>96978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12172</v>
      </c>
      <c r="AE374">
        <v>867</v>
      </c>
      <c r="AF374">
        <v>11305</v>
      </c>
      <c r="AG374" s="2">
        <v>7.1229050279999997E-2</v>
      </c>
      <c r="AH374" t="s">
        <v>33</v>
      </c>
      <c r="AI374" s="4">
        <v>5838</v>
      </c>
      <c r="AJ374" s="4">
        <v>338931</v>
      </c>
      <c r="AK374" s="4">
        <v>4494</v>
      </c>
      <c r="AL374" s="4">
        <v>2945</v>
      </c>
      <c r="AM374" s="4">
        <v>352208</v>
      </c>
      <c r="AN374" s="5">
        <f ca="1">IFERROR(__xludf.DUMMYFUNCTION("""COMPUTED_VALUE"""),230)</f>
        <v>230</v>
      </c>
    </row>
    <row r="375" spans="1:40" x14ac:dyDescent="0.35">
      <c r="A375" s="1">
        <v>374</v>
      </c>
      <c r="B375" s="7">
        <v>44264</v>
      </c>
      <c r="C375">
        <v>45</v>
      </c>
      <c r="D375">
        <v>1656</v>
      </c>
      <c r="E375">
        <v>-638</v>
      </c>
      <c r="F375">
        <v>-196</v>
      </c>
      <c r="G375" s="5">
        <f ca="1">IFERROR(__xludf.DUMMYFUNCTION("""COMPUTED_VALUE"""),6389)</f>
        <v>6389</v>
      </c>
      <c r="H375" s="5">
        <f ca="1">IFERROR(__xludf.DUMMYFUNCTION("""COMPUTED_VALUE"""),867)</f>
        <v>867</v>
      </c>
      <c r="I375">
        <v>-29</v>
      </c>
      <c r="J375">
        <v>-9</v>
      </c>
      <c r="K375">
        <v>-49</v>
      </c>
      <c r="L375">
        <v>-38</v>
      </c>
      <c r="M375">
        <v>-34</v>
      </c>
      <c r="N375">
        <v>10</v>
      </c>
      <c r="O375">
        <v>113326</v>
      </c>
      <c r="Q375">
        <v>89984</v>
      </c>
      <c r="R375">
        <v>135128</v>
      </c>
      <c r="S375">
        <v>675</v>
      </c>
      <c r="T375">
        <v>174685</v>
      </c>
      <c r="U375">
        <v>29195</v>
      </c>
      <c r="V375">
        <v>423139</v>
      </c>
      <c r="W375">
        <v>119854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13813</v>
      </c>
      <c r="AE375">
        <v>1040</v>
      </c>
      <c r="AF375">
        <v>12773</v>
      </c>
      <c r="AG375" s="2">
        <v>7.5291392169999999E-2</v>
      </c>
      <c r="AH375" t="s">
        <v>33</v>
      </c>
      <c r="AI375" s="4">
        <v>5883</v>
      </c>
      <c r="AJ375" s="4">
        <v>340587</v>
      </c>
      <c r="AK375" s="4">
        <v>3856</v>
      </c>
      <c r="AL375" s="4">
        <v>2749</v>
      </c>
      <c r="AM375" s="4">
        <v>353075</v>
      </c>
      <c r="AN375" s="5">
        <f ca="1">IFERROR(__xludf.DUMMYFUNCTION("""COMPUTED_VALUE"""),-834)</f>
        <v>-834</v>
      </c>
    </row>
    <row r="376" spans="1:40" x14ac:dyDescent="0.35">
      <c r="A376" s="1">
        <v>375</v>
      </c>
      <c r="B376" s="7">
        <v>44265</v>
      </c>
      <c r="C376">
        <v>40</v>
      </c>
      <c r="D376">
        <v>811</v>
      </c>
      <c r="E376">
        <v>-165</v>
      </c>
      <c r="F376">
        <v>354</v>
      </c>
      <c r="G376" s="5">
        <f ca="1">IFERROR(__xludf.DUMMYFUNCTION("""COMPUTED_VALUE"""),5633)</f>
        <v>5633</v>
      </c>
      <c r="H376" s="5">
        <f ca="1">IFERROR(__xludf.DUMMYFUNCTION("""COMPUTED_VALUE"""),1040)</f>
        <v>1040</v>
      </c>
      <c r="I376">
        <v>-25</v>
      </c>
      <c r="J376">
        <v>-5</v>
      </c>
      <c r="K376">
        <v>-46</v>
      </c>
      <c r="L376">
        <v>-34</v>
      </c>
      <c r="M376">
        <v>-32</v>
      </c>
      <c r="N376">
        <v>9</v>
      </c>
      <c r="O376">
        <v>116791</v>
      </c>
      <c r="Q376">
        <v>90681</v>
      </c>
      <c r="R376">
        <v>154251</v>
      </c>
      <c r="S376">
        <v>1100</v>
      </c>
      <c r="T376">
        <v>202452</v>
      </c>
      <c r="U376">
        <v>17773</v>
      </c>
      <c r="V376">
        <v>473494</v>
      </c>
      <c r="W376">
        <v>109554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14611</v>
      </c>
      <c r="AE376">
        <v>1754</v>
      </c>
      <c r="AF376">
        <v>12857</v>
      </c>
      <c r="AG376" s="2">
        <v>0.1200465403</v>
      </c>
      <c r="AH376" t="s">
        <v>33</v>
      </c>
      <c r="AI376" s="4">
        <v>5923</v>
      </c>
      <c r="AJ376" s="4">
        <v>341398</v>
      </c>
      <c r="AK376" s="4">
        <v>3691</v>
      </c>
      <c r="AL376" s="4">
        <v>3103</v>
      </c>
      <c r="AM376" s="4">
        <v>354115</v>
      </c>
      <c r="AN376" s="5">
        <f ca="1">IFERROR(__xludf.DUMMYFUNCTION("""COMPUTED_VALUE"""),189)</f>
        <v>189</v>
      </c>
    </row>
    <row r="377" spans="1:40" x14ac:dyDescent="0.35">
      <c r="A377" s="1">
        <v>376</v>
      </c>
      <c r="B377" s="7">
        <v>44266</v>
      </c>
      <c r="C377">
        <v>20</v>
      </c>
      <c r="D377">
        <v>908</v>
      </c>
      <c r="E377">
        <v>562</v>
      </c>
      <c r="F377">
        <v>264</v>
      </c>
      <c r="G377" s="5">
        <f ca="1">IFERROR(__xludf.DUMMYFUNCTION("""COMPUTED_VALUE"""),5144)</f>
        <v>5144</v>
      </c>
      <c r="H377" s="5">
        <f ca="1">IFERROR(__xludf.DUMMYFUNCTION("""COMPUTED_VALUE"""),1754)</f>
        <v>1754</v>
      </c>
      <c r="I377">
        <v>-28</v>
      </c>
      <c r="J377">
        <v>-11</v>
      </c>
      <c r="K377">
        <v>-41</v>
      </c>
      <c r="L377">
        <v>-51</v>
      </c>
      <c r="M377">
        <v>-66</v>
      </c>
      <c r="N377">
        <v>18</v>
      </c>
      <c r="O377">
        <v>116823</v>
      </c>
      <c r="Q377">
        <v>90693</v>
      </c>
      <c r="R377">
        <v>154915</v>
      </c>
      <c r="S377">
        <v>1103</v>
      </c>
      <c r="T377">
        <v>211754</v>
      </c>
      <c r="U377">
        <v>17903</v>
      </c>
      <c r="V377">
        <v>483492</v>
      </c>
      <c r="W377">
        <v>109699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12062</v>
      </c>
      <c r="AE377">
        <v>1873</v>
      </c>
      <c r="AF377">
        <v>10189</v>
      </c>
      <c r="AG377" s="2">
        <v>0.1552810479</v>
      </c>
      <c r="AH377" t="s">
        <v>33</v>
      </c>
      <c r="AI377" s="4">
        <v>5943</v>
      </c>
      <c r="AJ377" s="4">
        <v>342306</v>
      </c>
      <c r="AK377" s="4">
        <v>4253</v>
      </c>
      <c r="AL377" s="4">
        <v>3367</v>
      </c>
      <c r="AM377" s="4">
        <v>355869</v>
      </c>
      <c r="AN377" s="5">
        <f ca="1">IFERROR(__xludf.DUMMYFUNCTION("""COMPUTED_VALUE"""),826)</f>
        <v>826</v>
      </c>
    </row>
    <row r="378" spans="1:40" x14ac:dyDescent="0.35">
      <c r="A378" s="1">
        <v>377</v>
      </c>
      <c r="B378" s="7">
        <v>44267</v>
      </c>
      <c r="C378">
        <v>26</v>
      </c>
      <c r="D378">
        <v>1045</v>
      </c>
      <c r="E378">
        <v>417</v>
      </c>
      <c r="F378">
        <v>385</v>
      </c>
      <c r="G378" s="5">
        <f ca="1">IFERROR(__xludf.DUMMYFUNCTION("""COMPUTED_VALUE"""),6412)</f>
        <v>6412</v>
      </c>
      <c r="H378" s="5">
        <f ca="1">IFERROR(__xludf.DUMMYFUNCTION("""COMPUTED_VALUE"""),1873)</f>
        <v>1873</v>
      </c>
      <c r="I378">
        <v>-26</v>
      </c>
      <c r="J378">
        <v>-6</v>
      </c>
      <c r="K378">
        <v>-39</v>
      </c>
      <c r="L378">
        <v>-40</v>
      </c>
      <c r="M378">
        <v>-34</v>
      </c>
      <c r="N378">
        <v>11</v>
      </c>
      <c r="O378">
        <v>118086</v>
      </c>
      <c r="Q378">
        <v>91521</v>
      </c>
      <c r="R378">
        <v>167086</v>
      </c>
      <c r="S378">
        <v>1291</v>
      </c>
      <c r="T378">
        <v>234403</v>
      </c>
      <c r="U378">
        <v>20226</v>
      </c>
      <c r="V378">
        <v>519575</v>
      </c>
      <c r="W378">
        <v>113038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11376</v>
      </c>
      <c r="AE378">
        <v>1034</v>
      </c>
      <c r="AF378">
        <v>10342</v>
      </c>
      <c r="AG378" s="2">
        <v>9.0893108299999997E-2</v>
      </c>
      <c r="AH378" t="s">
        <v>33</v>
      </c>
      <c r="AI378" s="4">
        <v>5969</v>
      </c>
      <c r="AJ378" s="4">
        <v>343351</v>
      </c>
      <c r="AK378" s="4">
        <v>4670</v>
      </c>
      <c r="AL378" s="4">
        <v>3752</v>
      </c>
      <c r="AM378" s="4">
        <v>357742</v>
      </c>
      <c r="AN378" s="5">
        <f ca="1">IFERROR(__xludf.DUMMYFUNCTION("""COMPUTED_VALUE"""),802)</f>
        <v>802</v>
      </c>
    </row>
    <row r="379" spans="1:40" x14ac:dyDescent="0.35">
      <c r="A379" s="1">
        <v>378</v>
      </c>
      <c r="B379" s="7">
        <v>44268</v>
      </c>
      <c r="C379">
        <v>22</v>
      </c>
      <c r="D379">
        <v>1851</v>
      </c>
      <c r="E379">
        <v>-444</v>
      </c>
      <c r="F379">
        <v>-395</v>
      </c>
      <c r="G379" s="5">
        <f ca="1">IFERROR(__xludf.DUMMYFUNCTION("""COMPUTED_VALUE"""),4607)</f>
        <v>4607</v>
      </c>
      <c r="H379" s="5">
        <f ca="1">IFERROR(__xludf.DUMMYFUNCTION("""COMPUTED_VALUE"""),1034)</f>
        <v>1034</v>
      </c>
      <c r="I379">
        <v>-28</v>
      </c>
      <c r="J379">
        <v>-4</v>
      </c>
      <c r="K379">
        <v>-40</v>
      </c>
      <c r="L379">
        <v>-32</v>
      </c>
      <c r="M379">
        <v>-20</v>
      </c>
      <c r="N379">
        <v>6</v>
      </c>
      <c r="O379">
        <v>118283</v>
      </c>
      <c r="Q379">
        <v>91748</v>
      </c>
      <c r="R379">
        <v>174327</v>
      </c>
      <c r="S379">
        <v>1444</v>
      </c>
      <c r="T379">
        <v>245355</v>
      </c>
      <c r="U379">
        <v>21272</v>
      </c>
      <c r="V379">
        <v>537965</v>
      </c>
      <c r="W379">
        <v>114464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11932</v>
      </c>
      <c r="AE379">
        <v>1204</v>
      </c>
      <c r="AF379">
        <v>10728</v>
      </c>
      <c r="AG379" s="2">
        <v>0.1009051291</v>
      </c>
      <c r="AH379" t="s">
        <v>33</v>
      </c>
      <c r="AI379" s="4">
        <v>5991</v>
      </c>
      <c r="AJ379" s="4">
        <v>345202</v>
      </c>
      <c r="AK379" s="4">
        <v>4226</v>
      </c>
      <c r="AL379" s="4">
        <v>3357</v>
      </c>
      <c r="AM379" s="4">
        <v>358776</v>
      </c>
      <c r="AN379" s="5">
        <f ca="1">IFERROR(__xludf.DUMMYFUNCTION("""COMPUTED_VALUE"""),-839)</f>
        <v>-839</v>
      </c>
    </row>
    <row r="380" spans="1:40" x14ac:dyDescent="0.35">
      <c r="A380" s="1">
        <v>379</v>
      </c>
      <c r="B380" s="7">
        <v>44269</v>
      </c>
      <c r="C380">
        <v>35</v>
      </c>
      <c r="D380">
        <v>2008</v>
      </c>
      <c r="E380">
        <v>-783</v>
      </c>
      <c r="F380">
        <v>-56</v>
      </c>
      <c r="G380" s="5">
        <f ca="1">IFERROR(__xludf.DUMMYFUNCTION("""COMPUTED_VALUE"""),4714)</f>
        <v>4714</v>
      </c>
      <c r="H380" s="5">
        <f ca="1">IFERROR(__xludf.DUMMYFUNCTION("""COMPUTED_VALUE"""),1204)</f>
        <v>1204</v>
      </c>
      <c r="I380">
        <v>-31</v>
      </c>
      <c r="J380">
        <v>-9</v>
      </c>
      <c r="K380">
        <v>-44</v>
      </c>
      <c r="L380">
        <v>-30</v>
      </c>
      <c r="M380">
        <v>-16</v>
      </c>
      <c r="N380">
        <v>5</v>
      </c>
      <c r="O380">
        <v>118301</v>
      </c>
      <c r="Q380">
        <v>91764</v>
      </c>
      <c r="R380">
        <v>179024</v>
      </c>
      <c r="S380">
        <v>1444</v>
      </c>
      <c r="T380">
        <v>252763</v>
      </c>
      <c r="U380">
        <v>21413</v>
      </c>
      <c r="V380">
        <v>550088</v>
      </c>
      <c r="W380">
        <v>114621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9342</v>
      </c>
      <c r="AE380">
        <v>1555</v>
      </c>
      <c r="AF380">
        <v>7787</v>
      </c>
      <c r="AG380" s="2">
        <v>0.16645257969999999</v>
      </c>
      <c r="AH380" t="s">
        <v>33</v>
      </c>
      <c r="AI380" s="4">
        <v>6026</v>
      </c>
      <c r="AJ380" s="4">
        <v>347210</v>
      </c>
      <c r="AK380" s="4">
        <v>3443</v>
      </c>
      <c r="AL380" s="4">
        <v>3301</v>
      </c>
      <c r="AM380" s="4">
        <v>359980</v>
      </c>
      <c r="AN380" s="5">
        <f ca="1">IFERROR(__xludf.DUMMYFUNCTION("""COMPUTED_VALUE"""),-839)</f>
        <v>-839</v>
      </c>
    </row>
    <row r="381" spans="1:40" x14ac:dyDescent="0.35">
      <c r="A381" s="1">
        <v>380</v>
      </c>
      <c r="B381" s="7">
        <v>44270</v>
      </c>
      <c r="C381">
        <v>12</v>
      </c>
      <c r="D381">
        <v>1792</v>
      </c>
      <c r="E381">
        <v>42</v>
      </c>
      <c r="F381">
        <v>-291</v>
      </c>
      <c r="G381" s="5">
        <f ca="1">IFERROR(__xludf.DUMMYFUNCTION("""COMPUTED_VALUE"""),5589)</f>
        <v>5589</v>
      </c>
      <c r="H381" s="5">
        <f ca="1">IFERROR(__xludf.DUMMYFUNCTION("""COMPUTED_VALUE"""),1555)</f>
        <v>1555</v>
      </c>
      <c r="I381">
        <v>-27</v>
      </c>
      <c r="J381">
        <v>-6</v>
      </c>
      <c r="K381">
        <v>-43</v>
      </c>
      <c r="L381">
        <v>-37</v>
      </c>
      <c r="M381">
        <v>-32</v>
      </c>
      <c r="N381">
        <v>10</v>
      </c>
      <c r="O381">
        <v>118983</v>
      </c>
      <c r="Q381">
        <v>92579</v>
      </c>
      <c r="R381">
        <v>197743</v>
      </c>
      <c r="S381">
        <v>1620</v>
      </c>
      <c r="T381">
        <v>282970</v>
      </c>
      <c r="U381">
        <v>29871</v>
      </c>
      <c r="V381">
        <v>599696</v>
      </c>
      <c r="W381">
        <v>124070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15239</v>
      </c>
      <c r="AE381">
        <v>835</v>
      </c>
      <c r="AF381">
        <v>14404</v>
      </c>
      <c r="AG381" s="2">
        <v>5.4793621629999997E-2</v>
      </c>
      <c r="AH381" t="s">
        <v>33</v>
      </c>
      <c r="AI381" s="4">
        <v>6038</v>
      </c>
      <c r="AJ381" s="4">
        <v>349002</v>
      </c>
      <c r="AK381" s="4">
        <v>3485</v>
      </c>
      <c r="AL381" s="4">
        <v>3010</v>
      </c>
      <c r="AM381" s="4">
        <v>361535</v>
      </c>
      <c r="AN381" s="5">
        <f ca="1">IFERROR(__xludf.DUMMYFUNCTION("""COMPUTED_VALUE"""),-249)</f>
        <v>-249</v>
      </c>
    </row>
    <row r="382" spans="1:40" x14ac:dyDescent="0.35">
      <c r="A382" s="1">
        <v>381</v>
      </c>
      <c r="B382" s="7">
        <v>44271</v>
      </c>
      <c r="C382">
        <v>24</v>
      </c>
      <c r="D382">
        <v>1559</v>
      </c>
      <c r="E382">
        <v>-489</v>
      </c>
      <c r="F382">
        <v>-259</v>
      </c>
      <c r="G382" s="5">
        <f ca="1">IFERROR(__xludf.DUMMYFUNCTION("""COMPUTED_VALUE"""),5414)</f>
        <v>5414</v>
      </c>
      <c r="H382" s="5">
        <f ca="1">IFERROR(__xludf.DUMMYFUNCTION("""COMPUTED_VALUE"""),835)</f>
        <v>835</v>
      </c>
      <c r="I382">
        <v>-29</v>
      </c>
      <c r="J382">
        <v>-9</v>
      </c>
      <c r="K382">
        <v>-47</v>
      </c>
      <c r="L382">
        <v>-38</v>
      </c>
      <c r="M382">
        <v>-33</v>
      </c>
      <c r="N382">
        <v>10</v>
      </c>
      <c r="O382">
        <v>119531</v>
      </c>
      <c r="Q382">
        <v>93559</v>
      </c>
      <c r="R382">
        <v>216011</v>
      </c>
      <c r="S382">
        <v>1754</v>
      </c>
      <c r="T382">
        <v>312415</v>
      </c>
      <c r="U382">
        <v>43891</v>
      </c>
      <c r="V382">
        <v>647957</v>
      </c>
      <c r="W382">
        <v>139204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13736</v>
      </c>
      <c r="AE382">
        <v>1330</v>
      </c>
      <c r="AF382">
        <v>12406</v>
      </c>
      <c r="AG382" s="2">
        <v>9.6825859060000005E-2</v>
      </c>
      <c r="AH382" t="s">
        <v>33</v>
      </c>
      <c r="AI382" s="4">
        <v>6062</v>
      </c>
      <c r="AJ382" s="4">
        <v>350561</v>
      </c>
      <c r="AK382" s="4">
        <v>2996</v>
      </c>
      <c r="AL382" s="4">
        <v>2751</v>
      </c>
      <c r="AM382" s="4">
        <v>362370</v>
      </c>
      <c r="AN382" s="5">
        <f ca="1">IFERROR(__xludf.DUMMYFUNCTION("""COMPUTED_VALUE"""),-748)</f>
        <v>-748</v>
      </c>
    </row>
    <row r="383" spans="1:40" x14ac:dyDescent="0.35">
      <c r="A383" s="1">
        <v>382</v>
      </c>
      <c r="B383" s="7">
        <v>44272</v>
      </c>
      <c r="C383">
        <v>15</v>
      </c>
      <c r="D383">
        <v>1119</v>
      </c>
      <c r="E383">
        <v>-89</v>
      </c>
      <c r="F383">
        <v>285</v>
      </c>
      <c r="G383" s="5">
        <f ca="1">IFERROR(__xludf.DUMMYFUNCTION("""COMPUTED_VALUE"""),6825)</f>
        <v>6825</v>
      </c>
      <c r="H383" s="5">
        <f ca="1">IFERROR(__xludf.DUMMYFUNCTION("""COMPUTED_VALUE"""),1330)</f>
        <v>1330</v>
      </c>
      <c r="I383">
        <v>-28</v>
      </c>
      <c r="J383">
        <v>-8</v>
      </c>
      <c r="K383">
        <v>-43</v>
      </c>
      <c r="L383">
        <v>-38</v>
      </c>
      <c r="M383">
        <v>-31</v>
      </c>
      <c r="N383">
        <v>10</v>
      </c>
      <c r="O383">
        <v>120003</v>
      </c>
      <c r="Q383">
        <v>94619</v>
      </c>
      <c r="R383">
        <v>236230</v>
      </c>
      <c r="S383">
        <v>1963</v>
      </c>
      <c r="T383">
        <v>336132</v>
      </c>
      <c r="U383">
        <v>63154</v>
      </c>
      <c r="V383">
        <v>692365</v>
      </c>
      <c r="W383">
        <v>159736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15107</v>
      </c>
      <c r="AE383">
        <v>1719</v>
      </c>
      <c r="AF383">
        <v>13388</v>
      </c>
      <c r="AG383" s="2">
        <v>0.1137883101</v>
      </c>
      <c r="AH383" t="s">
        <v>33</v>
      </c>
      <c r="AI383" s="4">
        <v>6077</v>
      </c>
      <c r="AJ383" s="4">
        <v>351680</v>
      </c>
      <c r="AK383" s="4">
        <v>2907</v>
      </c>
      <c r="AL383" s="4">
        <v>3036</v>
      </c>
      <c r="AM383" s="4">
        <v>363700</v>
      </c>
      <c r="AN383" s="5">
        <f ca="1">IFERROR(__xludf.DUMMYFUNCTION("""COMPUTED_VALUE"""),196)</f>
        <v>196</v>
      </c>
    </row>
    <row r="384" spans="1:40" x14ac:dyDescent="0.35">
      <c r="A384" s="1">
        <v>383</v>
      </c>
      <c r="B384" s="7">
        <v>44273</v>
      </c>
      <c r="C384">
        <v>23</v>
      </c>
      <c r="D384">
        <v>1147</v>
      </c>
      <c r="E384">
        <v>366</v>
      </c>
      <c r="F384">
        <v>183</v>
      </c>
      <c r="G384" s="5">
        <f ca="1">IFERROR(__xludf.DUMMYFUNCTION("""COMPUTED_VALUE"""),6570)</f>
        <v>6570</v>
      </c>
      <c r="H384" s="5">
        <f ca="1">IFERROR(__xludf.DUMMYFUNCTION("""COMPUTED_VALUE"""),1719)</f>
        <v>1719</v>
      </c>
      <c r="I384">
        <v>-27</v>
      </c>
      <c r="J384">
        <v>-8</v>
      </c>
      <c r="K384">
        <v>-42</v>
      </c>
      <c r="L384">
        <v>-38</v>
      </c>
      <c r="M384">
        <v>-31</v>
      </c>
      <c r="N384">
        <v>10</v>
      </c>
      <c r="O384">
        <v>120608</v>
      </c>
      <c r="Q384">
        <v>99980</v>
      </c>
      <c r="R384">
        <v>257159</v>
      </c>
      <c r="S384">
        <v>2040</v>
      </c>
      <c r="T384">
        <v>356592</v>
      </c>
      <c r="U384">
        <v>82412</v>
      </c>
      <c r="V384">
        <v>734359</v>
      </c>
      <c r="W384">
        <v>184432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11497</v>
      </c>
      <c r="AE384">
        <v>1588</v>
      </c>
      <c r="AF384">
        <v>9909</v>
      </c>
      <c r="AG384" s="2">
        <v>0.1381229886</v>
      </c>
      <c r="AH384" t="s">
        <v>33</v>
      </c>
      <c r="AI384" s="4">
        <v>6100</v>
      </c>
      <c r="AJ384" s="4">
        <v>352827</v>
      </c>
      <c r="AK384" s="4">
        <v>3273</v>
      </c>
      <c r="AL384" s="4">
        <v>3219</v>
      </c>
      <c r="AM384" s="4">
        <v>365419</v>
      </c>
      <c r="AN384" s="5">
        <f ca="1">IFERROR(__xludf.DUMMYFUNCTION("""COMPUTED_VALUE"""),549)</f>
        <v>549</v>
      </c>
    </row>
    <row r="385" spans="1:40" x14ac:dyDescent="0.35">
      <c r="A385" s="1">
        <v>384</v>
      </c>
      <c r="B385" s="7">
        <v>44274</v>
      </c>
      <c r="C385">
        <v>20</v>
      </c>
      <c r="D385">
        <v>1209</v>
      </c>
      <c r="E385">
        <v>210</v>
      </c>
      <c r="F385">
        <v>149</v>
      </c>
      <c r="G385" s="5">
        <f ca="1">IFERROR(__xludf.DUMMYFUNCTION("""COMPUTED_VALUE"""),6279)</f>
        <v>6279</v>
      </c>
      <c r="H385" s="5">
        <f ca="1">IFERROR(__xludf.DUMMYFUNCTION("""COMPUTED_VALUE"""),1588)</f>
        <v>1588</v>
      </c>
      <c r="I385">
        <v>-24</v>
      </c>
      <c r="J385">
        <v>-5</v>
      </c>
      <c r="K385">
        <v>-37</v>
      </c>
      <c r="L385">
        <v>-36</v>
      </c>
      <c r="M385">
        <v>-30</v>
      </c>
      <c r="N385">
        <v>11</v>
      </c>
      <c r="O385">
        <v>121260</v>
      </c>
      <c r="Q385">
        <v>97465</v>
      </c>
      <c r="R385">
        <v>280221</v>
      </c>
      <c r="S385">
        <v>2168</v>
      </c>
      <c r="T385">
        <v>409121</v>
      </c>
      <c r="U385">
        <v>99709</v>
      </c>
      <c r="V385">
        <v>810602</v>
      </c>
      <c r="W385">
        <v>199342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13204</v>
      </c>
      <c r="AE385">
        <v>1937</v>
      </c>
      <c r="AF385">
        <v>11267</v>
      </c>
      <c r="AG385" s="2">
        <v>0.14669797030000001</v>
      </c>
      <c r="AH385" t="s">
        <v>33</v>
      </c>
      <c r="AI385" s="4">
        <v>6120</v>
      </c>
      <c r="AJ385" s="4">
        <v>354036</v>
      </c>
      <c r="AK385" s="4">
        <v>3483</v>
      </c>
      <c r="AL385" s="4">
        <v>3368</v>
      </c>
      <c r="AM385" s="4">
        <v>367007</v>
      </c>
      <c r="AN385" s="5">
        <f ca="1">IFERROR(__xludf.DUMMYFUNCTION("""COMPUTED_VALUE"""),359)</f>
        <v>359</v>
      </c>
    </row>
    <row r="386" spans="1:40" x14ac:dyDescent="0.35">
      <c r="A386" s="1">
        <v>385</v>
      </c>
      <c r="B386" s="7">
        <v>44275</v>
      </c>
      <c r="C386">
        <v>23</v>
      </c>
      <c r="D386">
        <v>1185</v>
      </c>
      <c r="E386">
        <v>411</v>
      </c>
      <c r="F386">
        <v>318</v>
      </c>
      <c r="G386" s="5">
        <f ca="1">IFERROR(__xludf.DUMMYFUNCTION("""COMPUTED_VALUE"""),5656)</f>
        <v>5656</v>
      </c>
      <c r="H386" s="5">
        <f ca="1">IFERROR(__xludf.DUMMYFUNCTION("""COMPUTED_VALUE"""),1937)</f>
        <v>1937</v>
      </c>
      <c r="I386">
        <v>-27</v>
      </c>
      <c r="J386">
        <v>-4</v>
      </c>
      <c r="K386">
        <v>-42</v>
      </c>
      <c r="L386">
        <v>-30</v>
      </c>
      <c r="M386">
        <v>-17</v>
      </c>
      <c r="N386">
        <v>6</v>
      </c>
      <c r="O386">
        <v>121373</v>
      </c>
      <c r="Q386">
        <v>97612</v>
      </c>
      <c r="R386">
        <v>287749</v>
      </c>
      <c r="S386">
        <v>2585</v>
      </c>
      <c r="T386">
        <v>415447</v>
      </c>
      <c r="U386">
        <v>103069</v>
      </c>
      <c r="V386">
        <v>824569</v>
      </c>
      <c r="W386">
        <v>203266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10562</v>
      </c>
      <c r="AE386">
        <v>1638</v>
      </c>
      <c r="AF386">
        <v>8924</v>
      </c>
      <c r="AG386" s="2">
        <v>0.1550842643</v>
      </c>
      <c r="AH386" t="s">
        <v>33</v>
      </c>
      <c r="AI386" s="4">
        <v>6143</v>
      </c>
      <c r="AJ386" s="4">
        <v>355221</v>
      </c>
      <c r="AK386" s="4">
        <v>3894</v>
      </c>
      <c r="AL386" s="4">
        <v>3686</v>
      </c>
      <c r="AM386" s="4">
        <v>368944</v>
      </c>
      <c r="AN386" s="5">
        <f ca="1">IFERROR(__xludf.DUMMYFUNCTION("""COMPUTED_VALUE"""),729)</f>
        <v>729</v>
      </c>
    </row>
    <row r="387" spans="1:40" x14ac:dyDescent="0.35">
      <c r="A387" s="1">
        <v>386</v>
      </c>
      <c r="B387" s="7">
        <v>44276</v>
      </c>
      <c r="C387">
        <v>17</v>
      </c>
      <c r="D387">
        <v>1879</v>
      </c>
      <c r="E387">
        <v>-35</v>
      </c>
      <c r="F387">
        <v>-223</v>
      </c>
      <c r="G387" s="5">
        <f ca="1">IFERROR(__xludf.DUMMYFUNCTION("""COMPUTED_VALUE"""),4396)</f>
        <v>4396</v>
      </c>
      <c r="H387" s="5">
        <f ca="1">IFERROR(__xludf.DUMMYFUNCTION("""COMPUTED_VALUE"""),1638)</f>
        <v>1638</v>
      </c>
      <c r="I387">
        <v>-29</v>
      </c>
      <c r="J387">
        <v>-7</v>
      </c>
      <c r="K387">
        <v>-46</v>
      </c>
      <c r="L387">
        <v>-31</v>
      </c>
      <c r="M387">
        <v>-13</v>
      </c>
      <c r="N387">
        <v>5</v>
      </c>
      <c r="O387">
        <v>121483</v>
      </c>
      <c r="Q387">
        <v>97660</v>
      </c>
      <c r="R387">
        <v>296700</v>
      </c>
      <c r="S387">
        <v>2696</v>
      </c>
      <c r="T387">
        <v>428256</v>
      </c>
      <c r="U387">
        <v>103939</v>
      </c>
      <c r="V387">
        <v>846439</v>
      </c>
      <c r="W387">
        <v>204295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8728</v>
      </c>
      <c r="AE387">
        <v>1474</v>
      </c>
      <c r="AF387">
        <v>7254</v>
      </c>
      <c r="AG387" s="2">
        <v>0.16888175990000001</v>
      </c>
      <c r="AH387" t="s">
        <v>33</v>
      </c>
      <c r="AI387" s="4">
        <v>6160</v>
      </c>
      <c r="AJ387" s="4">
        <v>357100</v>
      </c>
      <c r="AK387" s="4">
        <v>3859</v>
      </c>
      <c r="AL387" s="4">
        <v>3463</v>
      </c>
      <c r="AM387" s="4">
        <v>370582</v>
      </c>
      <c r="AN387" s="5">
        <f ca="1">IFERROR(__xludf.DUMMYFUNCTION("""COMPUTED_VALUE"""),-258)</f>
        <v>-258</v>
      </c>
    </row>
    <row r="388" spans="1:40" x14ac:dyDescent="0.35">
      <c r="A388" s="1">
        <v>387</v>
      </c>
      <c r="B388" s="7">
        <v>44277</v>
      </c>
      <c r="C388">
        <v>19</v>
      </c>
      <c r="D388">
        <v>1726</v>
      </c>
      <c r="E388">
        <v>-84</v>
      </c>
      <c r="F388">
        <v>-187</v>
      </c>
      <c r="G388" s="5">
        <f ca="1">IFERROR(__xludf.DUMMYFUNCTION("""COMPUTED_VALUE"""),5744)</f>
        <v>5744</v>
      </c>
      <c r="H388" s="5">
        <f ca="1">IFERROR(__xludf.DUMMYFUNCTION("""COMPUTED_VALUE"""),1474)</f>
        <v>1474</v>
      </c>
      <c r="I388">
        <v>-28</v>
      </c>
      <c r="J388">
        <v>-7</v>
      </c>
      <c r="K388">
        <v>-45</v>
      </c>
      <c r="L388">
        <v>-38</v>
      </c>
      <c r="M388">
        <v>-31</v>
      </c>
      <c r="N388">
        <v>10</v>
      </c>
      <c r="O388">
        <v>121834</v>
      </c>
      <c r="Q388">
        <v>98956</v>
      </c>
      <c r="R388">
        <v>314312</v>
      </c>
      <c r="S388">
        <v>5263</v>
      </c>
      <c r="T388">
        <v>443083</v>
      </c>
      <c r="U388">
        <v>124036</v>
      </c>
      <c r="V388">
        <v>879229</v>
      </c>
      <c r="W388">
        <v>228255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10242</v>
      </c>
      <c r="AE388">
        <v>815</v>
      </c>
      <c r="AF388">
        <v>9427</v>
      </c>
      <c r="AG388" s="2">
        <v>7.9574301890000004E-2</v>
      </c>
      <c r="AH388" t="s">
        <v>33</v>
      </c>
      <c r="AI388" s="4">
        <v>6179</v>
      </c>
      <c r="AJ388" s="4">
        <v>358826</v>
      </c>
      <c r="AK388" s="4">
        <v>3775</v>
      </c>
      <c r="AL388" s="4">
        <v>3276</v>
      </c>
      <c r="AM388" s="4">
        <v>372056</v>
      </c>
      <c r="AN388" s="5">
        <f ca="1">IFERROR(__xludf.DUMMYFUNCTION("""COMPUTED_VALUE"""),-271)</f>
        <v>-271</v>
      </c>
    </row>
    <row r="389" spans="1:40" x14ac:dyDescent="0.35">
      <c r="A389" s="1">
        <v>388</v>
      </c>
      <c r="B389" s="7">
        <v>44278</v>
      </c>
      <c r="C389">
        <v>27</v>
      </c>
      <c r="D389">
        <v>1653</v>
      </c>
      <c r="E389">
        <v>-668</v>
      </c>
      <c r="F389">
        <v>-197</v>
      </c>
      <c r="G389" s="5">
        <f ca="1">IFERROR(__xludf.DUMMYFUNCTION("""COMPUTED_VALUE"""),5297)</f>
        <v>5297</v>
      </c>
      <c r="H389" s="5">
        <f ca="1">IFERROR(__xludf.DUMMYFUNCTION("""COMPUTED_VALUE"""),815)</f>
        <v>815</v>
      </c>
      <c r="I389">
        <v>-29</v>
      </c>
      <c r="J389">
        <v>-8</v>
      </c>
      <c r="K389">
        <v>-45</v>
      </c>
      <c r="L389">
        <v>-38</v>
      </c>
      <c r="M389">
        <v>-32</v>
      </c>
      <c r="N389">
        <v>10</v>
      </c>
      <c r="O389">
        <v>122199</v>
      </c>
      <c r="Q389">
        <v>100218</v>
      </c>
      <c r="R389">
        <v>337760</v>
      </c>
      <c r="S389">
        <v>9693</v>
      </c>
      <c r="T389">
        <v>465428</v>
      </c>
      <c r="U389">
        <v>148494</v>
      </c>
      <c r="V389">
        <v>925387</v>
      </c>
      <c r="W389">
        <v>258405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16096</v>
      </c>
      <c r="AE389">
        <v>890</v>
      </c>
      <c r="AF389">
        <v>15206</v>
      </c>
      <c r="AG389" s="2">
        <v>5.5293240559999998E-2</v>
      </c>
      <c r="AH389" t="s">
        <v>33</v>
      </c>
      <c r="AI389" s="4">
        <v>6206</v>
      </c>
      <c r="AJ389" s="4">
        <v>360479</v>
      </c>
      <c r="AK389" s="4">
        <v>3107</v>
      </c>
      <c r="AL389" s="4">
        <v>3079</v>
      </c>
      <c r="AM389" s="4">
        <v>372871</v>
      </c>
      <c r="AN389" s="5">
        <f ca="1">IFERROR(__xludf.DUMMYFUNCTION("""COMPUTED_VALUE"""),-865)</f>
        <v>-865</v>
      </c>
    </row>
    <row r="390" spans="1:40" x14ac:dyDescent="0.35">
      <c r="A390" s="1">
        <v>389</v>
      </c>
      <c r="B390" s="7">
        <v>44279</v>
      </c>
      <c r="C390">
        <v>18</v>
      </c>
      <c r="D390">
        <v>1769</v>
      </c>
      <c r="E390">
        <v>-457</v>
      </c>
      <c r="F390">
        <v>-440</v>
      </c>
      <c r="G390" s="5">
        <f ca="1">IFERROR(__xludf.DUMMYFUNCTION("""COMPUTED_VALUE"""),5227)</f>
        <v>5227</v>
      </c>
      <c r="H390" s="5">
        <f ca="1">IFERROR(__xludf.DUMMYFUNCTION("""COMPUTED_VALUE"""),890)</f>
        <v>890</v>
      </c>
      <c r="I390">
        <v>-28</v>
      </c>
      <c r="J390">
        <v>-9</v>
      </c>
      <c r="K390">
        <v>-42</v>
      </c>
      <c r="L390">
        <v>-38</v>
      </c>
      <c r="M390">
        <v>-31</v>
      </c>
      <c r="N390">
        <v>10</v>
      </c>
      <c r="O390">
        <v>122616</v>
      </c>
      <c r="Q390">
        <v>101248</v>
      </c>
      <c r="R390">
        <v>373557</v>
      </c>
      <c r="S390">
        <v>15380</v>
      </c>
      <c r="T390">
        <v>501557</v>
      </c>
      <c r="U390">
        <v>177455</v>
      </c>
      <c r="V390">
        <v>997730</v>
      </c>
      <c r="W390">
        <v>294083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12742</v>
      </c>
      <c r="AE390">
        <v>1726</v>
      </c>
      <c r="AF390">
        <v>11016</v>
      </c>
      <c r="AG390" s="2">
        <v>0.13545754199999999</v>
      </c>
      <c r="AH390" t="s">
        <v>33</v>
      </c>
      <c r="AI390" s="4">
        <v>6224</v>
      </c>
      <c r="AJ390" s="4">
        <v>362248</v>
      </c>
      <c r="AK390" s="4">
        <v>2650</v>
      </c>
      <c r="AL390" s="4">
        <v>2639</v>
      </c>
      <c r="AM390" s="4">
        <v>373761</v>
      </c>
      <c r="AN390" s="5">
        <f ca="1">IFERROR(__xludf.DUMMYFUNCTION("""COMPUTED_VALUE"""),-897)</f>
        <v>-897</v>
      </c>
    </row>
    <row r="391" spans="1:40" x14ac:dyDescent="0.35">
      <c r="A391" s="1">
        <v>390</v>
      </c>
      <c r="B391" s="7">
        <v>44280</v>
      </c>
      <c r="C391">
        <v>17</v>
      </c>
      <c r="D391">
        <v>727</v>
      </c>
      <c r="E391">
        <v>572</v>
      </c>
      <c r="F391">
        <v>410</v>
      </c>
      <c r="G391" s="5">
        <f ca="1">IFERROR(__xludf.DUMMYFUNCTION("""COMPUTED_VALUE"""),6107)</f>
        <v>6107</v>
      </c>
      <c r="H391" s="5">
        <f ca="1">IFERROR(__xludf.DUMMYFUNCTION("""COMPUTED_VALUE"""),1726)</f>
        <v>1726</v>
      </c>
      <c r="I391">
        <v>-25</v>
      </c>
      <c r="J391">
        <v>-4</v>
      </c>
      <c r="K391">
        <v>-41</v>
      </c>
      <c r="L391">
        <v>-37</v>
      </c>
      <c r="M391">
        <v>-31</v>
      </c>
      <c r="N391">
        <v>10</v>
      </c>
      <c r="O391">
        <v>122916</v>
      </c>
      <c r="Q391">
        <v>101602</v>
      </c>
      <c r="R391">
        <v>394412</v>
      </c>
      <c r="S391">
        <v>22109</v>
      </c>
      <c r="T391">
        <v>529155</v>
      </c>
      <c r="U391">
        <v>187424</v>
      </c>
      <c r="V391">
        <v>1046483</v>
      </c>
      <c r="W391">
        <v>311135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13080</v>
      </c>
      <c r="AE391">
        <v>1381</v>
      </c>
      <c r="AF391">
        <v>11699</v>
      </c>
      <c r="AG391" s="2">
        <v>0.1055810398</v>
      </c>
      <c r="AH391" t="s">
        <v>33</v>
      </c>
      <c r="AI391" s="4">
        <v>6241</v>
      </c>
      <c r="AJ391" s="4">
        <v>362975</v>
      </c>
      <c r="AK391" s="4">
        <v>3222</v>
      </c>
      <c r="AL391" s="4">
        <v>3049</v>
      </c>
      <c r="AM391" s="4">
        <v>375487</v>
      </c>
      <c r="AN391" s="5">
        <f ca="1">IFERROR(__xludf.DUMMYFUNCTION("""COMPUTED_VALUE"""),982)</f>
        <v>982</v>
      </c>
    </row>
    <row r="392" spans="1:40" x14ac:dyDescent="0.35">
      <c r="A392" s="1">
        <v>391</v>
      </c>
      <c r="B392" s="7">
        <v>44281</v>
      </c>
      <c r="C392">
        <v>19</v>
      </c>
      <c r="D392">
        <v>624</v>
      </c>
      <c r="E392">
        <v>407</v>
      </c>
      <c r="F392">
        <v>331</v>
      </c>
      <c r="G392" s="5">
        <f ca="1">IFERROR(__xludf.DUMMYFUNCTION("""COMPUTED_VALUE"""),4982)</f>
        <v>4982</v>
      </c>
      <c r="H392" s="5">
        <f ca="1">IFERROR(__xludf.DUMMYFUNCTION("""COMPUTED_VALUE"""),1381)</f>
        <v>1381</v>
      </c>
      <c r="I392">
        <v>-21</v>
      </c>
      <c r="J392">
        <v>0</v>
      </c>
      <c r="K392">
        <v>-34</v>
      </c>
      <c r="L392">
        <v>-35</v>
      </c>
      <c r="M392">
        <v>-29</v>
      </c>
      <c r="N392">
        <v>10</v>
      </c>
      <c r="O392">
        <v>123199</v>
      </c>
      <c r="Q392">
        <v>102584</v>
      </c>
      <c r="R392">
        <v>414506</v>
      </c>
      <c r="S392">
        <v>29341</v>
      </c>
      <c r="T392">
        <v>554981</v>
      </c>
      <c r="U392">
        <v>211347</v>
      </c>
      <c r="V392">
        <v>1092686</v>
      </c>
      <c r="W392">
        <v>343272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13086</v>
      </c>
      <c r="AE392">
        <v>1354</v>
      </c>
      <c r="AF392">
        <v>11732</v>
      </c>
      <c r="AG392" s="2">
        <v>0.10346935660000001</v>
      </c>
      <c r="AH392" t="s">
        <v>33</v>
      </c>
      <c r="AI392" s="4">
        <v>6260</v>
      </c>
      <c r="AJ392" s="4">
        <v>363599</v>
      </c>
      <c r="AK392" s="4">
        <v>3629</v>
      </c>
      <c r="AL392" s="4">
        <v>3380</v>
      </c>
      <c r="AM392" s="4">
        <v>376868</v>
      </c>
      <c r="AN392" s="5">
        <f ca="1">IFERROR(__xludf.DUMMYFUNCTION("""COMPUTED_VALUE"""),738)</f>
        <v>738</v>
      </c>
    </row>
    <row r="393" spans="1:40" x14ac:dyDescent="0.35">
      <c r="A393" s="1">
        <v>392</v>
      </c>
      <c r="B393" s="7">
        <v>44282</v>
      </c>
      <c r="C393">
        <v>21</v>
      </c>
      <c r="D393">
        <v>652</v>
      </c>
      <c r="E393">
        <v>303</v>
      </c>
      <c r="F393">
        <v>378</v>
      </c>
      <c r="G393" s="5">
        <f ca="1">IFERROR(__xludf.DUMMYFUNCTION("""COMPUTED_VALUE"""),4461)</f>
        <v>4461</v>
      </c>
      <c r="H393" s="5">
        <f ca="1">IFERROR(__xludf.DUMMYFUNCTION("""COMPUTED_VALUE"""),1354)</f>
        <v>1354</v>
      </c>
      <c r="I393">
        <v>-27</v>
      </c>
      <c r="J393">
        <v>-5</v>
      </c>
      <c r="K393">
        <v>-43</v>
      </c>
      <c r="L393">
        <v>-29</v>
      </c>
      <c r="M393">
        <v>-18</v>
      </c>
      <c r="N393">
        <v>5</v>
      </c>
      <c r="O393">
        <v>123199</v>
      </c>
      <c r="Q393">
        <v>102672</v>
      </c>
      <c r="R393">
        <v>425054</v>
      </c>
      <c r="S393">
        <v>31070</v>
      </c>
      <c r="T393">
        <v>573482</v>
      </c>
      <c r="U393">
        <v>217379</v>
      </c>
      <c r="V393">
        <v>1121735</v>
      </c>
      <c r="W393">
        <v>351121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12292</v>
      </c>
      <c r="AE393">
        <v>1470</v>
      </c>
      <c r="AF393">
        <v>10822</v>
      </c>
      <c r="AG393" s="2">
        <v>0.1195899772</v>
      </c>
      <c r="AH393" t="s">
        <v>33</v>
      </c>
      <c r="AI393" s="4">
        <v>6281</v>
      </c>
      <c r="AJ393" s="4">
        <v>364251</v>
      </c>
      <c r="AK393" s="4">
        <v>3932</v>
      </c>
      <c r="AL393" s="4">
        <v>3758</v>
      </c>
      <c r="AM393" s="4">
        <v>378222</v>
      </c>
      <c r="AN393" s="5">
        <f ca="1">IFERROR(__xludf.DUMMYFUNCTION("""COMPUTED_VALUE"""),681)</f>
        <v>681</v>
      </c>
    </row>
    <row r="394" spans="1:40" x14ac:dyDescent="0.35">
      <c r="A394" s="1">
        <v>393</v>
      </c>
      <c r="B394" s="7">
        <v>44283</v>
      </c>
      <c r="C394">
        <v>23</v>
      </c>
      <c r="D394">
        <v>1341</v>
      </c>
      <c r="E394">
        <v>34</v>
      </c>
      <c r="F394">
        <v>72</v>
      </c>
      <c r="G394" s="5">
        <f ca="1">IFERROR(__xludf.DUMMYFUNCTION("""COMPUTED_VALUE"""),4083)</f>
        <v>4083</v>
      </c>
      <c r="H394" s="5">
        <f ca="1">IFERROR(__xludf.DUMMYFUNCTION("""COMPUTED_VALUE"""),1470)</f>
        <v>1470</v>
      </c>
      <c r="I394">
        <v>-26</v>
      </c>
      <c r="J394">
        <v>-3</v>
      </c>
      <c r="K394">
        <v>-44</v>
      </c>
      <c r="L394">
        <v>-28</v>
      </c>
      <c r="M394">
        <v>-12</v>
      </c>
      <c r="N394">
        <v>5</v>
      </c>
      <c r="O394">
        <v>123199</v>
      </c>
      <c r="Q394">
        <v>102692</v>
      </c>
      <c r="R394">
        <v>431190</v>
      </c>
      <c r="S394">
        <v>31149</v>
      </c>
      <c r="T394">
        <v>585999</v>
      </c>
      <c r="U394">
        <v>219264</v>
      </c>
      <c r="V394">
        <v>1140388</v>
      </c>
      <c r="W394">
        <v>353105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7497</v>
      </c>
      <c r="AE394">
        <v>1014</v>
      </c>
      <c r="AF394">
        <v>6483</v>
      </c>
      <c r="AG394" s="2">
        <v>0.13525410160000001</v>
      </c>
      <c r="AH394" t="s">
        <v>33</v>
      </c>
      <c r="AI394" s="4">
        <v>6304</v>
      </c>
      <c r="AJ394" s="4">
        <v>365592</v>
      </c>
      <c r="AK394" s="4">
        <v>3966</v>
      </c>
      <c r="AL394" s="4">
        <v>3830</v>
      </c>
      <c r="AM394" s="4">
        <v>379692</v>
      </c>
      <c r="AN394" s="5">
        <f ca="1">IFERROR(__xludf.DUMMYFUNCTION("""COMPUTED_VALUE"""),106)</f>
        <v>106</v>
      </c>
    </row>
    <row r="395" spans="1:40" x14ac:dyDescent="0.35">
      <c r="A395" s="1">
        <v>394</v>
      </c>
      <c r="B395" s="7">
        <v>44284</v>
      </c>
      <c r="C395">
        <v>20</v>
      </c>
      <c r="D395">
        <v>1023</v>
      </c>
      <c r="E395">
        <v>68</v>
      </c>
      <c r="F395">
        <v>-97</v>
      </c>
      <c r="G395" s="5">
        <f ca="1">IFERROR(__xludf.DUMMYFUNCTION("""COMPUTED_VALUE"""),5008)</f>
        <v>5008</v>
      </c>
      <c r="H395" s="5">
        <f ca="1">IFERROR(__xludf.DUMMYFUNCTION("""COMPUTED_VALUE"""),1014)</f>
        <v>1014</v>
      </c>
      <c r="I395">
        <v>-25</v>
      </c>
      <c r="J395">
        <v>-2</v>
      </c>
      <c r="K395">
        <v>-42</v>
      </c>
      <c r="L395">
        <v>-36</v>
      </c>
      <c r="M395">
        <v>-31</v>
      </c>
      <c r="N395">
        <v>9</v>
      </c>
      <c r="O395">
        <v>123199</v>
      </c>
      <c r="Q395">
        <v>103537</v>
      </c>
      <c r="R395">
        <v>444817</v>
      </c>
      <c r="S395">
        <v>42494</v>
      </c>
      <c r="T395">
        <v>610227</v>
      </c>
      <c r="U395">
        <v>242034</v>
      </c>
      <c r="V395">
        <v>1178243</v>
      </c>
      <c r="W395">
        <v>388065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11412</v>
      </c>
      <c r="AE395">
        <v>384</v>
      </c>
      <c r="AF395">
        <v>11028</v>
      </c>
      <c r="AG395" s="2">
        <v>3.3648790749999997E-2</v>
      </c>
      <c r="AH395" t="s">
        <v>33</v>
      </c>
      <c r="AI395" s="4">
        <v>6324</v>
      </c>
      <c r="AJ395" s="4">
        <v>366615</v>
      </c>
      <c r="AK395" s="4">
        <v>4034</v>
      </c>
      <c r="AL395" s="4">
        <v>3733</v>
      </c>
      <c r="AM395" s="4">
        <v>380706</v>
      </c>
      <c r="AN395" s="5">
        <f ca="1">IFERROR(__xludf.DUMMYFUNCTION("""COMPUTED_VALUE"""),-29)</f>
        <v>-29</v>
      </c>
    </row>
    <row r="396" spans="1:40" x14ac:dyDescent="0.35">
      <c r="A396" s="1">
        <v>395</v>
      </c>
      <c r="B396" s="7">
        <v>44285</v>
      </c>
      <c r="C396">
        <v>3</v>
      </c>
      <c r="D396">
        <v>1204</v>
      </c>
      <c r="E396">
        <v>-615</v>
      </c>
      <c r="F396">
        <v>-208</v>
      </c>
      <c r="G396" s="5">
        <f ca="1">IFERROR(__xludf.DUMMYFUNCTION("""COMPUTED_VALUE"""),4682)</f>
        <v>4682</v>
      </c>
      <c r="H396" s="5">
        <f ca="1">IFERROR(__xludf.DUMMYFUNCTION("""COMPUTED_VALUE"""),384)</f>
        <v>384</v>
      </c>
      <c r="I396">
        <v>-26</v>
      </c>
      <c r="J396">
        <v>-5</v>
      </c>
      <c r="K396">
        <v>-45</v>
      </c>
      <c r="L396">
        <v>-36</v>
      </c>
      <c r="M396">
        <v>-32</v>
      </c>
      <c r="N396">
        <v>9</v>
      </c>
      <c r="O396">
        <v>123199</v>
      </c>
      <c r="Q396">
        <v>104246</v>
      </c>
      <c r="R396">
        <v>460787</v>
      </c>
      <c r="S396">
        <v>54834</v>
      </c>
      <c r="T396">
        <v>636631</v>
      </c>
      <c r="U396">
        <v>266245</v>
      </c>
      <c r="V396">
        <v>1220617</v>
      </c>
      <c r="W396">
        <v>425325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13420</v>
      </c>
      <c r="AE396">
        <v>965</v>
      </c>
      <c r="AF396">
        <v>12455</v>
      </c>
      <c r="AG396" s="2">
        <v>7.1907600599999996E-2</v>
      </c>
      <c r="AH396" t="s">
        <v>33</v>
      </c>
      <c r="AI396" s="4">
        <v>6327</v>
      </c>
      <c r="AJ396" s="4">
        <v>367819</v>
      </c>
      <c r="AK396" s="4">
        <v>3419</v>
      </c>
      <c r="AL396" s="4">
        <v>3525</v>
      </c>
      <c r="AM396" s="4">
        <v>381090</v>
      </c>
      <c r="AN396" s="5">
        <f ca="1">IFERROR(__xludf.DUMMYFUNCTION("""COMPUTED_VALUE"""),-823)</f>
        <v>-823</v>
      </c>
    </row>
    <row r="397" spans="1:40" x14ac:dyDescent="0.35">
      <c r="A397" s="1">
        <v>396</v>
      </c>
      <c r="B397" s="7">
        <v>44286</v>
      </c>
      <c r="C397">
        <v>14</v>
      </c>
      <c r="D397">
        <v>1188</v>
      </c>
      <c r="E397">
        <v>-391</v>
      </c>
      <c r="F397">
        <v>154</v>
      </c>
      <c r="G397" s="5">
        <f ca="1">IFERROR(__xludf.DUMMYFUNCTION("""COMPUTED_VALUE"""),5937)</f>
        <v>5937</v>
      </c>
      <c r="H397" s="5">
        <f ca="1">IFERROR(__xludf.DUMMYFUNCTION("""COMPUTED_VALUE"""),965)</f>
        <v>965</v>
      </c>
      <c r="I397">
        <v>-25</v>
      </c>
      <c r="J397">
        <v>-4</v>
      </c>
      <c r="K397">
        <v>-43</v>
      </c>
      <c r="L397">
        <v>-32</v>
      </c>
      <c r="M397">
        <v>-31</v>
      </c>
      <c r="N397">
        <v>9</v>
      </c>
      <c r="O397">
        <v>123199</v>
      </c>
      <c r="Q397">
        <v>104773</v>
      </c>
      <c r="R397">
        <v>475190</v>
      </c>
      <c r="S397">
        <v>66739</v>
      </c>
      <c r="T397">
        <v>668989</v>
      </c>
      <c r="U397">
        <v>287470</v>
      </c>
      <c r="V397">
        <v>1267378</v>
      </c>
      <c r="W397">
        <v>458982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12124</v>
      </c>
      <c r="AE397">
        <v>1337</v>
      </c>
      <c r="AF397">
        <v>10787</v>
      </c>
      <c r="AG397" s="2">
        <v>0.11027713629999999</v>
      </c>
      <c r="AH397" t="s">
        <v>33</v>
      </c>
      <c r="AI397" s="4">
        <v>6341</v>
      </c>
      <c r="AJ397" s="4">
        <v>369007</v>
      </c>
      <c r="AK397" s="4">
        <v>3028</v>
      </c>
      <c r="AL397" s="4">
        <v>3679</v>
      </c>
      <c r="AM397" s="4">
        <v>382055</v>
      </c>
      <c r="AN397" s="5">
        <f ca="1">IFERROR(__xludf.DUMMYFUNCTION("""COMPUTED_VALUE"""),-237)</f>
        <v>-237</v>
      </c>
    </row>
    <row r="398" spans="1:40" x14ac:dyDescent="0.35">
      <c r="A398" s="1">
        <v>397</v>
      </c>
      <c r="B398" s="7">
        <v>44287</v>
      </c>
      <c r="C398">
        <v>3</v>
      </c>
      <c r="D398">
        <v>922</v>
      </c>
      <c r="E398">
        <v>419</v>
      </c>
      <c r="F398">
        <v>-7</v>
      </c>
      <c r="G398" s="5">
        <f ca="1">IFERROR(__xludf.DUMMYFUNCTION("""COMPUTED_VALUE"""),6142)</f>
        <v>6142</v>
      </c>
      <c r="H398" s="5">
        <f ca="1">IFERROR(__xludf.DUMMYFUNCTION("""COMPUTED_VALUE"""),1337)</f>
        <v>1337</v>
      </c>
      <c r="I398">
        <v>-19</v>
      </c>
      <c r="J398">
        <v>9</v>
      </c>
      <c r="K398">
        <v>-34</v>
      </c>
      <c r="L398">
        <v>-27</v>
      </c>
      <c r="M398">
        <v>-30</v>
      </c>
      <c r="N398">
        <v>7</v>
      </c>
      <c r="O398">
        <v>124396</v>
      </c>
      <c r="Q398">
        <v>107368</v>
      </c>
      <c r="R398">
        <v>477295</v>
      </c>
      <c r="S398">
        <v>77431</v>
      </c>
      <c r="T398">
        <v>699688</v>
      </c>
      <c r="U398">
        <v>300935</v>
      </c>
      <c r="V398">
        <v>1301379</v>
      </c>
      <c r="W398">
        <v>485734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11141</v>
      </c>
      <c r="AE398">
        <v>1240</v>
      </c>
      <c r="AF398">
        <v>9901</v>
      </c>
      <c r="AG398" s="2">
        <v>0.1113006014</v>
      </c>
      <c r="AH398" t="s">
        <v>33</v>
      </c>
      <c r="AI398" s="4">
        <v>6344</v>
      </c>
      <c r="AJ398" s="4">
        <v>369929</v>
      </c>
      <c r="AK398" s="4">
        <v>3447</v>
      </c>
      <c r="AL398" s="4">
        <v>3672</v>
      </c>
      <c r="AM398" s="4">
        <v>383392</v>
      </c>
      <c r="AN398" s="5">
        <f ca="1">IFERROR(__xludf.DUMMYFUNCTION("""COMPUTED_VALUE"""),412)</f>
        <v>412</v>
      </c>
    </row>
    <row r="399" spans="1:40" x14ac:dyDescent="0.35">
      <c r="A399" s="1">
        <v>398</v>
      </c>
      <c r="B399" s="7">
        <v>44288</v>
      </c>
      <c r="C399">
        <v>7</v>
      </c>
      <c r="D399">
        <v>1325</v>
      </c>
      <c r="E399">
        <v>-14</v>
      </c>
      <c r="F399">
        <v>-78</v>
      </c>
      <c r="G399" s="5">
        <f ca="1">IFERROR(__xludf.DUMMYFUNCTION("""COMPUTED_VALUE"""),5325)</f>
        <v>5325</v>
      </c>
      <c r="H399" s="5">
        <f ca="1">IFERROR(__xludf.DUMMYFUNCTION("""COMPUTED_VALUE"""),1240)</f>
        <v>1240</v>
      </c>
      <c r="I399">
        <v>-20</v>
      </c>
      <c r="J399">
        <v>3</v>
      </c>
      <c r="K399">
        <v>-24</v>
      </c>
      <c r="L399">
        <v>-44</v>
      </c>
      <c r="M399">
        <v>-63</v>
      </c>
      <c r="N399">
        <v>15</v>
      </c>
      <c r="O399">
        <v>124396</v>
      </c>
      <c r="Q399">
        <v>107368</v>
      </c>
      <c r="R399">
        <v>485807</v>
      </c>
      <c r="S399">
        <v>80541</v>
      </c>
      <c r="T399">
        <v>715419</v>
      </c>
      <c r="U399">
        <v>302306</v>
      </c>
      <c r="V399">
        <v>1325622</v>
      </c>
      <c r="W399">
        <v>490215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7516</v>
      </c>
      <c r="AE399">
        <v>1098</v>
      </c>
      <c r="AF399">
        <v>6418</v>
      </c>
      <c r="AG399" s="2">
        <v>0.1460883449</v>
      </c>
      <c r="AH399" t="s">
        <v>33</v>
      </c>
      <c r="AI399" s="4">
        <v>6351</v>
      </c>
      <c r="AJ399" s="4">
        <v>371254</v>
      </c>
      <c r="AK399" s="4">
        <v>3433</v>
      </c>
      <c r="AL399" s="4">
        <v>3594</v>
      </c>
      <c r="AM399" s="4">
        <v>384632</v>
      </c>
      <c r="AN399" s="5">
        <f ca="1">IFERROR(__xludf.DUMMYFUNCTION("""COMPUTED_VALUE"""),-92)</f>
        <v>-92</v>
      </c>
    </row>
    <row r="400" spans="1:40" x14ac:dyDescent="0.35">
      <c r="A400" s="1">
        <v>399</v>
      </c>
      <c r="B400" s="7">
        <v>44289</v>
      </c>
      <c r="C400">
        <v>5</v>
      </c>
      <c r="D400">
        <v>1240</v>
      </c>
      <c r="E400">
        <v>-116</v>
      </c>
      <c r="F400">
        <v>-31</v>
      </c>
      <c r="G400" s="5">
        <f ca="1">IFERROR(__xludf.DUMMYFUNCTION("""COMPUTED_VALUE"""),4345)</f>
        <v>4345</v>
      </c>
      <c r="H400" s="5">
        <f ca="1">IFERROR(__xludf.DUMMYFUNCTION("""COMPUTED_VALUE"""),1098)</f>
        <v>1098</v>
      </c>
      <c r="I400">
        <v>-27</v>
      </c>
      <c r="J400">
        <v>-3</v>
      </c>
      <c r="K400">
        <v>-41</v>
      </c>
      <c r="L400">
        <v>-31</v>
      </c>
      <c r="M400">
        <v>-24</v>
      </c>
      <c r="N400">
        <v>5</v>
      </c>
      <c r="O400">
        <v>121845</v>
      </c>
      <c r="Q400">
        <v>105485</v>
      </c>
      <c r="R400">
        <v>487262</v>
      </c>
      <c r="S400">
        <v>83140</v>
      </c>
      <c r="T400">
        <v>730364</v>
      </c>
      <c r="U400">
        <v>305602</v>
      </c>
      <c r="V400">
        <v>1339471</v>
      </c>
      <c r="W400">
        <v>494227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7694</v>
      </c>
      <c r="AE400">
        <v>736</v>
      </c>
      <c r="AF400">
        <v>6958</v>
      </c>
      <c r="AG400" s="2">
        <v>9.5658955030000006E-2</v>
      </c>
      <c r="AH400" t="s">
        <v>33</v>
      </c>
      <c r="AI400" s="4">
        <v>6356</v>
      </c>
      <c r="AJ400" s="4">
        <v>372494</v>
      </c>
      <c r="AK400" s="4">
        <v>3317</v>
      </c>
      <c r="AL400" s="4">
        <v>3563</v>
      </c>
      <c r="AM400" s="4">
        <v>385730</v>
      </c>
      <c r="AN400" s="5">
        <f ca="1">IFERROR(__xludf.DUMMYFUNCTION("""COMPUTED_VALUE"""),-147)</f>
        <v>-147</v>
      </c>
    </row>
    <row r="401" spans="1:40" x14ac:dyDescent="0.35">
      <c r="A401" s="1">
        <v>400</v>
      </c>
      <c r="B401" s="7">
        <v>44290</v>
      </c>
      <c r="C401">
        <v>4</v>
      </c>
      <c r="D401">
        <v>1071</v>
      </c>
      <c r="E401">
        <v>-168</v>
      </c>
      <c r="F401">
        <v>-171</v>
      </c>
      <c r="G401" s="5">
        <f ca="1">IFERROR(__xludf.DUMMYFUNCTION("""COMPUTED_VALUE"""),6731)</f>
        <v>6731</v>
      </c>
      <c r="H401" s="5">
        <f ca="1">IFERROR(__xludf.DUMMYFUNCTION("""COMPUTED_VALUE"""),736)</f>
        <v>736</v>
      </c>
      <c r="I401">
        <v>-25</v>
      </c>
      <c r="J401">
        <v>-1</v>
      </c>
      <c r="K401">
        <v>-42</v>
      </c>
      <c r="L401">
        <v>-22</v>
      </c>
      <c r="M401">
        <v>-13</v>
      </c>
      <c r="N401">
        <v>2</v>
      </c>
      <c r="O401">
        <v>121850</v>
      </c>
      <c r="Q401">
        <v>105514</v>
      </c>
      <c r="R401">
        <v>488136</v>
      </c>
      <c r="S401">
        <v>83786</v>
      </c>
      <c r="T401">
        <v>742355</v>
      </c>
      <c r="U401">
        <v>308776</v>
      </c>
      <c r="V401">
        <v>1352341</v>
      </c>
      <c r="W401">
        <v>498076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7333</v>
      </c>
      <c r="AE401">
        <v>523</v>
      </c>
      <c r="AF401">
        <v>6810</v>
      </c>
      <c r="AG401" s="2">
        <v>7.1321423699999997E-2</v>
      </c>
      <c r="AH401" t="s">
        <v>33</v>
      </c>
      <c r="AI401" s="4">
        <v>6360</v>
      </c>
      <c r="AJ401" s="4">
        <v>373565</v>
      </c>
      <c r="AK401" s="4">
        <v>3149</v>
      </c>
      <c r="AL401" s="4">
        <v>3392</v>
      </c>
      <c r="AM401" s="4">
        <v>386466</v>
      </c>
      <c r="AN401" s="5">
        <f ca="1">IFERROR(__xludf.DUMMYFUNCTION("""COMPUTED_VALUE"""),-339)</f>
        <v>-339</v>
      </c>
    </row>
    <row r="402" spans="1:40" x14ac:dyDescent="0.35">
      <c r="A402" s="1">
        <v>401</v>
      </c>
      <c r="B402" s="7">
        <v>44291</v>
      </c>
      <c r="C402">
        <v>12</v>
      </c>
      <c r="D402">
        <v>977</v>
      </c>
      <c r="E402">
        <v>-378</v>
      </c>
      <c r="F402">
        <v>-88</v>
      </c>
      <c r="G402" s="5">
        <f ca="1">IFERROR(__xludf.DUMMYFUNCTION("""COMPUTED_VALUE"""),3712)</f>
        <v>3712</v>
      </c>
      <c r="H402" s="5">
        <f ca="1">IFERROR(__xludf.DUMMYFUNCTION("""COMPUTED_VALUE"""),523)</f>
        <v>523</v>
      </c>
      <c r="I402">
        <v>-22</v>
      </c>
      <c r="J402">
        <v>3</v>
      </c>
      <c r="K402">
        <v>-40</v>
      </c>
      <c r="L402">
        <v>-32</v>
      </c>
      <c r="M402">
        <v>-30</v>
      </c>
      <c r="N402">
        <v>8</v>
      </c>
      <c r="O402">
        <v>122092</v>
      </c>
      <c r="Q402">
        <v>106037</v>
      </c>
      <c r="R402">
        <v>493235</v>
      </c>
      <c r="S402">
        <v>109251</v>
      </c>
      <c r="T402">
        <v>771861</v>
      </c>
      <c r="U402">
        <v>330815</v>
      </c>
      <c r="V402">
        <v>1387188</v>
      </c>
      <c r="W402">
        <v>546103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12620</v>
      </c>
      <c r="AE402">
        <v>487</v>
      </c>
      <c r="AF402">
        <v>12133</v>
      </c>
      <c r="AG402" s="2">
        <v>3.8589540409999998E-2</v>
      </c>
      <c r="AH402" t="s">
        <v>33</v>
      </c>
      <c r="AI402" s="4">
        <v>6372</v>
      </c>
      <c r="AJ402" s="4">
        <v>374542</v>
      </c>
      <c r="AK402" s="4">
        <v>2771</v>
      </c>
      <c r="AL402" s="4">
        <v>3304</v>
      </c>
      <c r="AM402" s="4">
        <v>386989</v>
      </c>
      <c r="AN402" s="5">
        <f ca="1">IFERROR(__xludf.DUMMYFUNCTION("""COMPUTED_VALUE"""),-466)</f>
        <v>-466</v>
      </c>
    </row>
    <row r="403" spans="1:40" x14ac:dyDescent="0.35">
      <c r="A403" s="1">
        <v>402</v>
      </c>
      <c r="B403" s="7">
        <v>44292</v>
      </c>
      <c r="C403">
        <v>7</v>
      </c>
      <c r="D403">
        <v>538</v>
      </c>
      <c r="E403">
        <v>-66</v>
      </c>
      <c r="F403">
        <v>8</v>
      </c>
      <c r="G403" s="5">
        <f ca="1">IFERROR(__xludf.DUMMYFUNCTION("""COMPUTED_VALUE"""),4549)</f>
        <v>4549</v>
      </c>
      <c r="H403" s="5">
        <f ca="1">IFERROR(__xludf.DUMMYFUNCTION("""COMPUTED_VALUE"""),487)</f>
        <v>487</v>
      </c>
      <c r="I403">
        <v>-23</v>
      </c>
      <c r="J403">
        <v>1</v>
      </c>
      <c r="K403">
        <v>-42</v>
      </c>
      <c r="L403">
        <v>-32</v>
      </c>
      <c r="M403">
        <v>-31</v>
      </c>
      <c r="N403">
        <v>8</v>
      </c>
      <c r="O403">
        <v>122326</v>
      </c>
      <c r="Q403">
        <v>106437</v>
      </c>
      <c r="R403">
        <v>496569</v>
      </c>
      <c r="S403">
        <v>124880</v>
      </c>
      <c r="T403">
        <v>796248</v>
      </c>
      <c r="U403">
        <v>349648</v>
      </c>
      <c r="V403">
        <v>1415143</v>
      </c>
      <c r="W403">
        <v>580965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12096</v>
      </c>
      <c r="AE403">
        <v>862</v>
      </c>
      <c r="AF403">
        <v>11234</v>
      </c>
      <c r="AG403" s="2">
        <v>7.1263227509999999E-2</v>
      </c>
      <c r="AH403" t="s">
        <v>33</v>
      </c>
      <c r="AI403" s="4">
        <v>6379</v>
      </c>
      <c r="AJ403" s="4">
        <v>375080</v>
      </c>
      <c r="AK403" s="4">
        <v>2705</v>
      </c>
      <c r="AL403" s="4">
        <v>3312</v>
      </c>
      <c r="AM403" s="4">
        <v>387476</v>
      </c>
      <c r="AN403" s="5">
        <f ca="1">IFERROR(__xludf.DUMMYFUNCTION("""COMPUTED_VALUE"""),-58)</f>
        <v>-58</v>
      </c>
    </row>
    <row r="404" spans="1:40" x14ac:dyDescent="0.35">
      <c r="A404" s="1">
        <v>403</v>
      </c>
      <c r="B404" s="7">
        <v>44293</v>
      </c>
      <c r="C404">
        <v>12</v>
      </c>
      <c r="D404">
        <v>571</v>
      </c>
      <c r="E404">
        <v>109</v>
      </c>
      <c r="F404">
        <v>170</v>
      </c>
      <c r="G404" s="5">
        <f ca="1">IFERROR(__xludf.DUMMYFUNCTION("""COMPUTED_VALUE"""),4860)</f>
        <v>4860</v>
      </c>
      <c r="H404" s="5">
        <f ca="1">IFERROR(__xludf.DUMMYFUNCTION("""COMPUTED_VALUE"""),862)</f>
        <v>862</v>
      </c>
      <c r="I404">
        <v>-23</v>
      </c>
      <c r="J404">
        <v>-2</v>
      </c>
      <c r="K404">
        <v>-43</v>
      </c>
      <c r="L404">
        <v>-32</v>
      </c>
      <c r="M404">
        <v>-31</v>
      </c>
      <c r="N404">
        <v>9</v>
      </c>
      <c r="O404">
        <v>122553</v>
      </c>
      <c r="Q404">
        <v>106800</v>
      </c>
      <c r="R404">
        <v>500370</v>
      </c>
      <c r="S404">
        <v>142698</v>
      </c>
      <c r="T404">
        <v>813740</v>
      </c>
      <c r="U404">
        <v>369813</v>
      </c>
      <c r="V404">
        <v>1436663</v>
      </c>
      <c r="W404">
        <v>619311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9603</v>
      </c>
      <c r="AE404">
        <v>1239</v>
      </c>
      <c r="AF404">
        <v>8364</v>
      </c>
      <c r="AG404" s="2">
        <v>0.12902218060000001</v>
      </c>
      <c r="AH404" t="s">
        <v>33</v>
      </c>
      <c r="AI404" s="4">
        <v>6391</v>
      </c>
      <c r="AJ404" s="4">
        <v>375651</v>
      </c>
      <c r="AK404" s="4">
        <v>2814</v>
      </c>
      <c r="AL404" s="4">
        <v>3482</v>
      </c>
      <c r="AM404" s="4">
        <v>388338</v>
      </c>
      <c r="AN404" s="5">
        <f ca="1">IFERROR(__xludf.DUMMYFUNCTION("""COMPUTED_VALUE"""),279)</f>
        <v>279</v>
      </c>
    </row>
    <row r="405" spans="1:40" x14ac:dyDescent="0.35">
      <c r="A405" s="1">
        <v>404</v>
      </c>
      <c r="B405" s="7">
        <v>44294</v>
      </c>
      <c r="C405">
        <v>19</v>
      </c>
      <c r="D405">
        <v>619</v>
      </c>
      <c r="E405">
        <v>430</v>
      </c>
      <c r="F405">
        <v>171</v>
      </c>
      <c r="G405" s="5">
        <f ca="1">IFERROR(__xludf.DUMMYFUNCTION("""COMPUTED_VALUE"""),5504)</f>
        <v>5504</v>
      </c>
      <c r="H405" s="5">
        <f ca="1">IFERROR(__xludf.DUMMYFUNCTION("""COMPUTED_VALUE"""),1239)</f>
        <v>1239</v>
      </c>
      <c r="I405">
        <v>-21</v>
      </c>
      <c r="J405">
        <v>1</v>
      </c>
      <c r="K405">
        <v>-37</v>
      </c>
      <c r="L405">
        <v>-31</v>
      </c>
      <c r="M405">
        <v>-30</v>
      </c>
      <c r="N405">
        <v>8</v>
      </c>
      <c r="O405">
        <v>123061</v>
      </c>
      <c r="Q405">
        <v>107175</v>
      </c>
      <c r="R405">
        <v>507667</v>
      </c>
      <c r="S405">
        <v>148824</v>
      </c>
      <c r="T405">
        <v>844961</v>
      </c>
      <c r="U405">
        <v>388298</v>
      </c>
      <c r="V405">
        <v>1475689</v>
      </c>
      <c r="W405">
        <v>644297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10548</v>
      </c>
      <c r="AE405">
        <v>1013</v>
      </c>
      <c r="AF405">
        <v>9535</v>
      </c>
      <c r="AG405" s="2">
        <v>9.6037163440000003E-2</v>
      </c>
      <c r="AH405" t="s">
        <v>33</v>
      </c>
      <c r="AI405" s="4">
        <v>6410</v>
      </c>
      <c r="AJ405" s="4">
        <v>376270</v>
      </c>
      <c r="AK405" s="4">
        <v>3244</v>
      </c>
      <c r="AL405" s="4">
        <v>3653</v>
      </c>
      <c r="AM405" s="4">
        <v>389577</v>
      </c>
      <c r="AN405" s="5">
        <f ca="1">IFERROR(__xludf.DUMMYFUNCTION("""COMPUTED_VALUE"""),601)</f>
        <v>601</v>
      </c>
    </row>
    <row r="406" spans="1:40" x14ac:dyDescent="0.35">
      <c r="A406" s="1">
        <v>405</v>
      </c>
      <c r="B406" s="7">
        <v>44295</v>
      </c>
      <c r="C406">
        <v>14</v>
      </c>
      <c r="D406">
        <v>689</v>
      </c>
      <c r="E406">
        <v>262</v>
      </c>
      <c r="F406">
        <v>48</v>
      </c>
      <c r="G406" s="5">
        <f ca="1">IFERROR(__xludf.DUMMYFUNCTION("""COMPUTED_VALUE"""),5265)</f>
        <v>5265</v>
      </c>
      <c r="H406" s="5">
        <f ca="1">IFERROR(__xludf.DUMMYFUNCTION("""COMPUTED_VALUE"""),1013)</f>
        <v>1013</v>
      </c>
      <c r="I406">
        <v>-16</v>
      </c>
      <c r="J406">
        <v>3</v>
      </c>
      <c r="K406">
        <v>-32</v>
      </c>
      <c r="L406">
        <v>-31</v>
      </c>
      <c r="M406">
        <v>-28</v>
      </c>
      <c r="N406">
        <v>8</v>
      </c>
      <c r="O406">
        <v>123387</v>
      </c>
      <c r="Q406">
        <v>107509</v>
      </c>
      <c r="R406">
        <v>516816</v>
      </c>
      <c r="S406">
        <v>166705</v>
      </c>
      <c r="T406">
        <v>866503</v>
      </c>
      <c r="U406">
        <v>402918</v>
      </c>
      <c r="V406">
        <v>1506706</v>
      </c>
      <c r="W406">
        <v>677132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10442</v>
      </c>
      <c r="AE406">
        <v>977</v>
      </c>
      <c r="AF406">
        <v>9465</v>
      </c>
      <c r="AG406" s="2">
        <v>9.356445125E-2</v>
      </c>
      <c r="AH406" t="s">
        <v>33</v>
      </c>
      <c r="AI406" s="4">
        <v>6424</v>
      </c>
      <c r="AJ406" s="4">
        <v>376959</v>
      </c>
      <c r="AK406" s="4">
        <v>3506</v>
      </c>
      <c r="AL406" s="4">
        <v>3701</v>
      </c>
      <c r="AM406" s="4">
        <v>390590</v>
      </c>
      <c r="AN406" s="5">
        <f ca="1">IFERROR(__xludf.DUMMYFUNCTION("""COMPUTED_VALUE"""),310)</f>
        <v>310</v>
      </c>
    </row>
    <row r="407" spans="1:40" x14ac:dyDescent="0.35">
      <c r="A407" s="1">
        <v>406</v>
      </c>
      <c r="B407" s="7">
        <v>44296</v>
      </c>
      <c r="C407">
        <v>11</v>
      </c>
      <c r="D407">
        <v>838</v>
      </c>
      <c r="E407">
        <v>210</v>
      </c>
      <c r="F407">
        <v>-82</v>
      </c>
      <c r="G407" s="5">
        <f ca="1">IFERROR(__xludf.DUMMYFUNCTION("""COMPUTED_VALUE"""),4723)</f>
        <v>4723</v>
      </c>
      <c r="H407" s="5">
        <f ca="1">IFERROR(__xludf.DUMMYFUNCTION("""COMPUTED_VALUE"""),977)</f>
        <v>977</v>
      </c>
      <c r="I407">
        <v>-19</v>
      </c>
      <c r="J407">
        <v>6</v>
      </c>
      <c r="K407">
        <v>-33</v>
      </c>
      <c r="L407">
        <v>-20</v>
      </c>
      <c r="M407">
        <v>-16</v>
      </c>
      <c r="N407">
        <v>3</v>
      </c>
      <c r="O407">
        <v>123474</v>
      </c>
      <c r="Q407">
        <v>107573</v>
      </c>
      <c r="R407">
        <v>523861</v>
      </c>
      <c r="S407">
        <v>173234</v>
      </c>
      <c r="T407">
        <v>880884</v>
      </c>
      <c r="U407">
        <v>406805</v>
      </c>
      <c r="V407">
        <v>1528219</v>
      </c>
      <c r="W407">
        <v>687612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8868</v>
      </c>
      <c r="AE407">
        <v>1031</v>
      </c>
      <c r="AF407">
        <v>7837</v>
      </c>
      <c r="AG407" s="2">
        <v>0.1162607127</v>
      </c>
      <c r="AH407" t="s">
        <v>33</v>
      </c>
      <c r="AI407" s="4">
        <v>6435</v>
      </c>
      <c r="AJ407" s="4">
        <v>377797</v>
      </c>
      <c r="AK407" s="4">
        <v>3716</v>
      </c>
      <c r="AL407" s="4">
        <v>3619</v>
      </c>
      <c r="AM407" s="4">
        <v>391567</v>
      </c>
      <c r="AN407" s="5">
        <f ca="1">IFERROR(__xludf.DUMMYFUNCTION("""COMPUTED_VALUE"""),128)</f>
        <v>128</v>
      </c>
    </row>
    <row r="408" spans="1:40" x14ac:dyDescent="0.35">
      <c r="A408" s="1">
        <v>407</v>
      </c>
      <c r="B408" s="7">
        <v>44297</v>
      </c>
      <c r="C408">
        <v>15</v>
      </c>
      <c r="D408">
        <v>1413</v>
      </c>
      <c r="E408">
        <v>-99</v>
      </c>
      <c r="F408">
        <v>-298</v>
      </c>
      <c r="G408" s="5">
        <f ca="1">IFERROR(__xludf.DUMMYFUNCTION("""COMPUTED_VALUE"""),4127)</f>
        <v>4127</v>
      </c>
      <c r="H408" s="5">
        <f ca="1">IFERROR(__xludf.DUMMYFUNCTION("""COMPUTED_VALUE"""),1031)</f>
        <v>1031</v>
      </c>
      <c r="I408">
        <v>-21</v>
      </c>
      <c r="J408">
        <v>4</v>
      </c>
      <c r="K408">
        <v>-41</v>
      </c>
      <c r="L408">
        <v>-18</v>
      </c>
      <c r="M408">
        <v>-11</v>
      </c>
      <c r="N408">
        <v>2</v>
      </c>
      <c r="O408">
        <v>123485</v>
      </c>
      <c r="Q408">
        <v>107583</v>
      </c>
      <c r="R408">
        <v>526687</v>
      </c>
      <c r="S408">
        <v>177883</v>
      </c>
      <c r="T408">
        <v>887215</v>
      </c>
      <c r="U408">
        <v>412014</v>
      </c>
      <c r="V408">
        <v>1537387</v>
      </c>
      <c r="W408">
        <v>697480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7265</v>
      </c>
      <c r="AE408">
        <v>692</v>
      </c>
      <c r="AF408">
        <v>6573</v>
      </c>
      <c r="AG408" s="2">
        <v>9.5251204399999997E-2</v>
      </c>
      <c r="AH408" t="s">
        <v>33</v>
      </c>
      <c r="AI408" s="4">
        <v>6450</v>
      </c>
      <c r="AJ408" s="4">
        <v>379210</v>
      </c>
      <c r="AK408" s="4">
        <v>3617</v>
      </c>
      <c r="AL408" s="4">
        <v>3321</v>
      </c>
      <c r="AM408" s="4">
        <v>392598</v>
      </c>
      <c r="AN408" s="5">
        <f ca="1">IFERROR(__xludf.DUMMYFUNCTION("""COMPUTED_VALUE"""),-397)</f>
        <v>-397</v>
      </c>
    </row>
    <row r="409" spans="1:40" x14ac:dyDescent="0.35">
      <c r="A409" s="1">
        <v>408</v>
      </c>
      <c r="B409" s="7">
        <v>44298</v>
      </c>
      <c r="C409">
        <v>9</v>
      </c>
      <c r="D409">
        <v>1350</v>
      </c>
      <c r="E409">
        <v>-293</v>
      </c>
      <c r="F409">
        <v>-374</v>
      </c>
      <c r="G409" s="5">
        <f ca="1">IFERROR(__xludf.DUMMYFUNCTION("""COMPUTED_VALUE"""),4829)</f>
        <v>4829</v>
      </c>
      <c r="H409" s="5">
        <f ca="1">IFERROR(__xludf.DUMMYFUNCTION("""COMPUTED_VALUE"""),692)</f>
        <v>692</v>
      </c>
      <c r="I409">
        <v>-21</v>
      </c>
      <c r="J409">
        <v>3</v>
      </c>
      <c r="K409">
        <v>-39</v>
      </c>
      <c r="L409">
        <v>-29</v>
      </c>
      <c r="M409">
        <v>-31</v>
      </c>
      <c r="N409">
        <v>8</v>
      </c>
      <c r="O409">
        <v>123958</v>
      </c>
      <c r="Q409">
        <v>107968</v>
      </c>
      <c r="R409">
        <v>537125</v>
      </c>
      <c r="S409">
        <v>196464</v>
      </c>
      <c r="T409">
        <v>907936</v>
      </c>
      <c r="U409">
        <v>424562</v>
      </c>
      <c r="V409">
        <v>1569019</v>
      </c>
      <c r="W409">
        <v>728994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7576</v>
      </c>
      <c r="AE409">
        <v>828</v>
      </c>
      <c r="AF409">
        <v>6748</v>
      </c>
      <c r="AG409" s="2">
        <v>0.10929250259999999</v>
      </c>
      <c r="AH409" t="s">
        <v>33</v>
      </c>
      <c r="AI409" s="4">
        <v>6459</v>
      </c>
      <c r="AJ409" s="4">
        <v>380560</v>
      </c>
      <c r="AK409" s="4">
        <v>3324</v>
      </c>
      <c r="AL409" s="4">
        <v>2947</v>
      </c>
      <c r="AM409" s="4">
        <v>393290</v>
      </c>
      <c r="AN409" s="5">
        <f ca="1">IFERROR(__xludf.DUMMYFUNCTION("""COMPUTED_VALUE"""),-667)</f>
        <v>-667</v>
      </c>
    </row>
    <row r="410" spans="1:40" x14ac:dyDescent="0.35">
      <c r="A410" s="1">
        <v>409</v>
      </c>
      <c r="B410" s="7">
        <v>44299</v>
      </c>
      <c r="C410">
        <v>23</v>
      </c>
      <c r="D410">
        <v>889</v>
      </c>
      <c r="E410">
        <v>2</v>
      </c>
      <c r="F410">
        <v>-86</v>
      </c>
      <c r="G410" s="5">
        <f ca="1">IFERROR(__xludf.DUMMYFUNCTION("""COMPUTED_VALUE"""),5702)</f>
        <v>5702</v>
      </c>
      <c r="H410" s="5">
        <f ca="1">IFERROR(__xludf.DUMMYFUNCTION("""COMPUTED_VALUE"""),828)</f>
        <v>828</v>
      </c>
      <c r="I410">
        <v>-38</v>
      </c>
      <c r="J410">
        <v>-11</v>
      </c>
      <c r="K410">
        <v>-56</v>
      </c>
      <c r="L410">
        <v>-44</v>
      </c>
      <c r="M410">
        <v>-37</v>
      </c>
      <c r="N410">
        <v>15</v>
      </c>
      <c r="O410">
        <v>124255</v>
      </c>
      <c r="Q410">
        <v>108205</v>
      </c>
      <c r="R410">
        <v>540904</v>
      </c>
      <c r="S410">
        <v>210810</v>
      </c>
      <c r="T410">
        <v>918905</v>
      </c>
      <c r="U410">
        <v>430157</v>
      </c>
      <c r="V410">
        <v>1584064</v>
      </c>
      <c r="W410">
        <v>749172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12934</v>
      </c>
      <c r="AE410">
        <v>661</v>
      </c>
      <c r="AF410">
        <v>12273</v>
      </c>
      <c r="AG410" s="2">
        <v>5.1105613110000003E-2</v>
      </c>
      <c r="AH410" t="s">
        <v>33</v>
      </c>
      <c r="AI410" s="4">
        <v>6482</v>
      </c>
      <c r="AJ410" s="4">
        <v>381449</v>
      </c>
      <c r="AK410" s="4">
        <v>3326</v>
      </c>
      <c r="AL410" s="4">
        <v>2861</v>
      </c>
      <c r="AM410" s="4">
        <v>394118</v>
      </c>
      <c r="AN410" s="5">
        <f ca="1">IFERROR(__xludf.DUMMYFUNCTION("""COMPUTED_VALUE"""),-84)</f>
        <v>-84</v>
      </c>
    </row>
    <row r="411" spans="1:40" x14ac:dyDescent="0.35">
      <c r="A411" s="1">
        <v>410</v>
      </c>
      <c r="B411" s="7">
        <v>44300</v>
      </c>
      <c r="C411">
        <v>7</v>
      </c>
      <c r="D411">
        <v>642</v>
      </c>
      <c r="E411">
        <v>12</v>
      </c>
      <c r="F411">
        <v>0</v>
      </c>
      <c r="G411" s="5">
        <f ca="1">IFERROR(__xludf.DUMMYFUNCTION("""COMPUTED_VALUE"""),5656)</f>
        <v>5656</v>
      </c>
      <c r="H411" s="5">
        <f ca="1">IFERROR(__xludf.DUMMYFUNCTION("""COMPUTED_VALUE"""),661)</f>
        <v>661</v>
      </c>
      <c r="I411">
        <v>-35</v>
      </c>
      <c r="J411">
        <v>-15</v>
      </c>
      <c r="K411">
        <v>-54</v>
      </c>
      <c r="L411">
        <v>-41</v>
      </c>
      <c r="M411">
        <v>-33</v>
      </c>
      <c r="N411">
        <v>13</v>
      </c>
      <c r="O411">
        <v>124484</v>
      </c>
      <c r="Q411">
        <v>108418</v>
      </c>
      <c r="R411">
        <v>543256</v>
      </c>
      <c r="S411">
        <v>231255</v>
      </c>
      <c r="T411">
        <v>930601</v>
      </c>
      <c r="U411">
        <v>443508</v>
      </c>
      <c r="V411">
        <v>1598341</v>
      </c>
      <c r="W411">
        <v>783181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10673</v>
      </c>
      <c r="AE411">
        <v>1330</v>
      </c>
      <c r="AF411">
        <v>9343</v>
      </c>
      <c r="AG411" s="2">
        <v>0.1246135107</v>
      </c>
      <c r="AH411" t="s">
        <v>33</v>
      </c>
      <c r="AI411" s="4">
        <v>6489</v>
      </c>
      <c r="AJ411" s="4">
        <v>382091</v>
      </c>
      <c r="AK411" s="4">
        <v>3338</v>
      </c>
      <c r="AL411" s="4">
        <v>2861</v>
      </c>
      <c r="AM411" s="4">
        <v>394779</v>
      </c>
      <c r="AN411" s="5">
        <f ca="1">IFERROR(__xludf.DUMMYFUNCTION("""COMPUTED_VALUE"""),12)</f>
        <v>12</v>
      </c>
    </row>
    <row r="412" spans="1:40" x14ac:dyDescent="0.35">
      <c r="A412" s="1">
        <v>411</v>
      </c>
      <c r="B412" s="7">
        <v>44301</v>
      </c>
      <c r="C412">
        <v>15</v>
      </c>
      <c r="D412">
        <v>526</v>
      </c>
      <c r="E412">
        <v>583</v>
      </c>
      <c r="F412">
        <v>206</v>
      </c>
      <c r="G412" s="5">
        <f ca="1">IFERROR(__xludf.DUMMYFUNCTION("""COMPUTED_VALUE"""),6177)</f>
        <v>6177</v>
      </c>
      <c r="H412" s="5">
        <f ca="1">IFERROR(__xludf.DUMMYFUNCTION("""COMPUTED_VALUE"""),1330)</f>
        <v>1330</v>
      </c>
      <c r="I412">
        <v>-34</v>
      </c>
      <c r="J412">
        <v>-14</v>
      </c>
      <c r="K412">
        <v>-51</v>
      </c>
      <c r="L412">
        <v>-40</v>
      </c>
      <c r="M412">
        <v>-32</v>
      </c>
      <c r="N412">
        <v>13</v>
      </c>
      <c r="O412">
        <v>124755</v>
      </c>
      <c r="Q412">
        <v>108761</v>
      </c>
      <c r="R412">
        <v>545822</v>
      </c>
      <c r="S412">
        <v>252371</v>
      </c>
      <c r="T412">
        <v>944880</v>
      </c>
      <c r="U412">
        <v>452555</v>
      </c>
      <c r="V412">
        <v>1615457</v>
      </c>
      <c r="W412">
        <v>813687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11191</v>
      </c>
      <c r="AE412">
        <v>979</v>
      </c>
      <c r="AF412">
        <v>10212</v>
      </c>
      <c r="AG412" s="2">
        <v>8.748101153E-2</v>
      </c>
      <c r="AH412" t="s">
        <v>33</v>
      </c>
      <c r="AI412" s="4">
        <v>6504</v>
      </c>
      <c r="AJ412" s="4">
        <v>382617</v>
      </c>
      <c r="AK412" s="4">
        <v>3921</v>
      </c>
      <c r="AL412" s="4">
        <v>3067</v>
      </c>
      <c r="AM412" s="4">
        <v>396109</v>
      </c>
      <c r="AN412" s="5">
        <f ca="1">IFERROR(__xludf.DUMMYFUNCTION("""COMPUTED_VALUE"""),789)</f>
        <v>789</v>
      </c>
    </row>
    <row r="413" spans="1:40" x14ac:dyDescent="0.35">
      <c r="A413" s="1">
        <v>412</v>
      </c>
      <c r="B413" s="7">
        <v>44302</v>
      </c>
      <c r="C413">
        <v>9</v>
      </c>
      <c r="D413">
        <v>1038</v>
      </c>
      <c r="E413">
        <v>-314</v>
      </c>
      <c r="F413">
        <v>246</v>
      </c>
      <c r="G413" s="5">
        <f ca="1">IFERROR(__xludf.DUMMYFUNCTION("""COMPUTED_VALUE"""),5363)</f>
        <v>5363</v>
      </c>
      <c r="H413" s="5">
        <f ca="1">IFERROR(__xludf.DUMMYFUNCTION("""COMPUTED_VALUE"""),979)</f>
        <v>979</v>
      </c>
      <c r="I413">
        <v>-26</v>
      </c>
      <c r="J413">
        <v>-3</v>
      </c>
      <c r="K413">
        <v>-40</v>
      </c>
      <c r="L413">
        <v>-38</v>
      </c>
      <c r="M413">
        <v>-29</v>
      </c>
      <c r="N413">
        <v>13</v>
      </c>
      <c r="O413">
        <v>125148</v>
      </c>
      <c r="Q413">
        <v>109038</v>
      </c>
      <c r="R413">
        <v>548314</v>
      </c>
      <c r="S413">
        <v>272887</v>
      </c>
      <c r="T413">
        <v>959985</v>
      </c>
      <c r="U413">
        <v>458619</v>
      </c>
      <c r="V413">
        <v>1633447</v>
      </c>
      <c r="W413">
        <v>840544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10823</v>
      </c>
      <c r="AE413">
        <v>1037</v>
      </c>
      <c r="AF413">
        <v>9786</v>
      </c>
      <c r="AG413" s="2">
        <v>9.5814469190000001E-2</v>
      </c>
      <c r="AH413" t="s">
        <v>33</v>
      </c>
      <c r="AI413" s="4">
        <v>6513</v>
      </c>
      <c r="AJ413" s="4">
        <v>383655</v>
      </c>
      <c r="AK413" s="4">
        <v>3607</v>
      </c>
      <c r="AL413" s="4">
        <v>3313</v>
      </c>
      <c r="AM413" s="4">
        <v>397088</v>
      </c>
      <c r="AN413" s="5">
        <f ca="1">IFERROR(__xludf.DUMMYFUNCTION("""COMPUTED_VALUE"""),-68)</f>
        <v>-68</v>
      </c>
    </row>
    <row r="414" spans="1:40" x14ac:dyDescent="0.35">
      <c r="A414" s="1">
        <v>413</v>
      </c>
      <c r="B414" s="7">
        <v>44303</v>
      </c>
      <c r="C414">
        <v>7</v>
      </c>
      <c r="D414">
        <v>997</v>
      </c>
      <c r="E414">
        <v>-95</v>
      </c>
      <c r="F414">
        <v>128</v>
      </c>
      <c r="G414" s="5">
        <f ca="1">IFERROR(__xludf.DUMMYFUNCTION("""COMPUTED_VALUE"""),5041)</f>
        <v>5041</v>
      </c>
      <c r="H414" s="5">
        <f ca="1">IFERROR(__xludf.DUMMYFUNCTION("""COMPUTED_VALUE"""),1037)</f>
        <v>1037</v>
      </c>
      <c r="I414">
        <v>-31</v>
      </c>
      <c r="J414">
        <v>-7</v>
      </c>
      <c r="K414">
        <v>-50</v>
      </c>
      <c r="L414">
        <v>-35</v>
      </c>
      <c r="M414">
        <v>-17</v>
      </c>
      <c r="N414">
        <v>9</v>
      </c>
      <c r="O414">
        <v>125188</v>
      </c>
      <c r="Q414">
        <v>109105</v>
      </c>
      <c r="R414">
        <v>549011</v>
      </c>
      <c r="S414">
        <v>278295</v>
      </c>
      <c r="T414">
        <v>967733</v>
      </c>
      <c r="U414">
        <v>461648</v>
      </c>
      <c r="V414">
        <v>1641932</v>
      </c>
      <c r="W414">
        <v>849048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6749</v>
      </c>
      <c r="AE414">
        <v>950</v>
      </c>
      <c r="AF414">
        <v>5799</v>
      </c>
      <c r="AG414" s="2">
        <v>0.14076159429999999</v>
      </c>
      <c r="AH414" t="s">
        <v>33</v>
      </c>
      <c r="AI414" s="4">
        <v>6520</v>
      </c>
      <c r="AJ414" s="4">
        <v>384652</v>
      </c>
      <c r="AK414" s="4">
        <v>3512</v>
      </c>
      <c r="AL414" s="4">
        <v>3441</v>
      </c>
      <c r="AM414" s="4">
        <v>398125</v>
      </c>
      <c r="AN414" s="5">
        <f ca="1">IFERROR(__xludf.DUMMYFUNCTION("""COMPUTED_VALUE"""),33)</f>
        <v>33</v>
      </c>
    </row>
    <row r="415" spans="1:40" x14ac:dyDescent="0.35">
      <c r="A415" s="1">
        <v>414</v>
      </c>
      <c r="B415" s="7">
        <v>44304</v>
      </c>
      <c r="C415">
        <v>16</v>
      </c>
      <c r="D415">
        <v>963</v>
      </c>
      <c r="E415">
        <v>-199</v>
      </c>
      <c r="F415">
        <v>170</v>
      </c>
      <c r="G415" s="5">
        <f ca="1">IFERROR(__xludf.DUMMYFUNCTION("""COMPUTED_VALUE"""),4585)</f>
        <v>4585</v>
      </c>
      <c r="H415" s="5">
        <f ca="1">IFERROR(__xludf.DUMMYFUNCTION("""COMPUTED_VALUE"""),950)</f>
        <v>950</v>
      </c>
      <c r="I415">
        <v>-31</v>
      </c>
      <c r="J415">
        <v>-8</v>
      </c>
      <c r="K415">
        <v>-58</v>
      </c>
      <c r="L415">
        <v>-35</v>
      </c>
      <c r="M415">
        <v>-11</v>
      </c>
      <c r="N415">
        <v>9</v>
      </c>
      <c r="O415">
        <v>125193</v>
      </c>
      <c r="Q415">
        <v>109105</v>
      </c>
      <c r="R415">
        <v>549394</v>
      </c>
      <c r="S415">
        <v>281756</v>
      </c>
      <c r="T415">
        <v>971708</v>
      </c>
      <c r="U415">
        <v>466276</v>
      </c>
      <c r="V415">
        <v>1646295</v>
      </c>
      <c r="W415">
        <v>857137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8565</v>
      </c>
      <c r="AE415">
        <v>973</v>
      </c>
      <c r="AF415">
        <v>7592</v>
      </c>
      <c r="AG415" s="2">
        <v>0.1136018681</v>
      </c>
      <c r="AH415" t="s">
        <v>33</v>
      </c>
      <c r="AI415" s="4">
        <v>6536</v>
      </c>
      <c r="AJ415" s="4">
        <v>385615</v>
      </c>
      <c r="AK415" s="4">
        <v>3313</v>
      </c>
      <c r="AL415" s="4">
        <v>3611</v>
      </c>
      <c r="AM415" s="4">
        <v>399075</v>
      </c>
      <c r="AN415" s="5">
        <f ca="1">IFERROR(__xludf.DUMMYFUNCTION("""COMPUTED_VALUE"""),-29)</f>
        <v>-29</v>
      </c>
    </row>
    <row r="416" spans="1:40" x14ac:dyDescent="0.35">
      <c r="A416" s="1">
        <v>415</v>
      </c>
      <c r="B416" s="7">
        <v>44305</v>
      </c>
      <c r="C416">
        <v>22</v>
      </c>
      <c r="D416">
        <v>991</v>
      </c>
      <c r="E416">
        <v>-95</v>
      </c>
      <c r="F416">
        <v>55</v>
      </c>
      <c r="G416" s="5">
        <f ca="1">IFERROR(__xludf.DUMMYFUNCTION("""COMPUTED_VALUE"""),4952)</f>
        <v>4952</v>
      </c>
      <c r="H416" s="5">
        <f ca="1">IFERROR(__xludf.DUMMYFUNCTION("""COMPUTED_VALUE"""),973)</f>
        <v>973</v>
      </c>
      <c r="I416">
        <v>-28</v>
      </c>
      <c r="J416">
        <v>-7</v>
      </c>
      <c r="K416">
        <v>-46</v>
      </c>
      <c r="L416">
        <v>-37</v>
      </c>
      <c r="M416">
        <v>-29</v>
      </c>
      <c r="N416">
        <v>12</v>
      </c>
      <c r="O416">
        <v>125459</v>
      </c>
      <c r="Q416">
        <v>109299</v>
      </c>
      <c r="R416">
        <v>552556</v>
      </c>
      <c r="S416">
        <v>308789</v>
      </c>
      <c r="T416">
        <v>990548</v>
      </c>
      <c r="U416">
        <v>475981</v>
      </c>
      <c r="V416">
        <v>1668563</v>
      </c>
      <c r="W416">
        <v>894069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8601</v>
      </c>
      <c r="AE416">
        <v>460</v>
      </c>
      <c r="AF416">
        <v>8141</v>
      </c>
      <c r="AG416" s="2">
        <v>5.3482153239999997E-2</v>
      </c>
      <c r="AH416" t="s">
        <v>33</v>
      </c>
      <c r="AI416" s="4">
        <v>6558</v>
      </c>
      <c r="AJ416" s="4">
        <v>386606</v>
      </c>
      <c r="AK416" s="4">
        <v>3218</v>
      </c>
      <c r="AL416" s="4">
        <v>3666</v>
      </c>
      <c r="AM416" s="4">
        <v>400048</v>
      </c>
      <c r="AN416" s="5">
        <f ca="1">IFERROR(__xludf.DUMMYFUNCTION("""COMPUTED_VALUE"""),-40)</f>
        <v>-40</v>
      </c>
    </row>
    <row r="417" spans="1:40" x14ac:dyDescent="0.35">
      <c r="A417" s="1">
        <v>416</v>
      </c>
      <c r="B417" s="7">
        <v>44306</v>
      </c>
      <c r="C417">
        <v>11</v>
      </c>
      <c r="D417">
        <v>901</v>
      </c>
      <c r="E417">
        <v>-273</v>
      </c>
      <c r="F417">
        <v>-179</v>
      </c>
      <c r="G417" s="5">
        <f ca="1">IFERROR(__xludf.DUMMYFUNCTION("""COMPUTED_VALUE"""),5549)</f>
        <v>5549</v>
      </c>
      <c r="H417" s="5">
        <f ca="1">IFERROR(__xludf.DUMMYFUNCTION("""COMPUTED_VALUE"""),460)</f>
        <v>460</v>
      </c>
      <c r="I417">
        <v>-28</v>
      </c>
      <c r="J417">
        <v>-5</v>
      </c>
      <c r="K417">
        <v>-46</v>
      </c>
      <c r="L417">
        <v>-37</v>
      </c>
      <c r="M417">
        <v>-30</v>
      </c>
      <c r="N417">
        <v>12</v>
      </c>
      <c r="O417">
        <v>125568</v>
      </c>
      <c r="Q417">
        <v>109421</v>
      </c>
      <c r="R417">
        <v>554268</v>
      </c>
      <c r="S417">
        <v>320304</v>
      </c>
      <c r="T417">
        <v>1007563</v>
      </c>
      <c r="U417">
        <v>481378</v>
      </c>
      <c r="V417">
        <v>1687399</v>
      </c>
      <c r="W417">
        <v>911103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11434</v>
      </c>
      <c r="AE417">
        <v>602</v>
      </c>
      <c r="AF417">
        <v>10832</v>
      </c>
      <c r="AG417" s="2">
        <v>5.264999125E-2</v>
      </c>
      <c r="AH417" t="s">
        <v>33</v>
      </c>
      <c r="AI417" s="4">
        <v>6569</v>
      </c>
      <c r="AJ417" s="4">
        <v>387507</v>
      </c>
      <c r="AK417" s="4">
        <v>2945</v>
      </c>
      <c r="AL417" s="4">
        <v>3487</v>
      </c>
      <c r="AM417" s="4">
        <v>400508</v>
      </c>
      <c r="AN417" s="5">
        <f ca="1">IFERROR(__xludf.DUMMYFUNCTION("""COMPUTED_VALUE"""),-452)</f>
        <v>-452</v>
      </c>
    </row>
    <row r="418" spans="1:40" x14ac:dyDescent="0.35">
      <c r="A418" s="1">
        <v>417</v>
      </c>
      <c r="B418" s="7">
        <v>44307</v>
      </c>
      <c r="C418">
        <v>18</v>
      </c>
      <c r="D418">
        <v>576</v>
      </c>
      <c r="E418">
        <v>9</v>
      </c>
      <c r="F418">
        <v>-1</v>
      </c>
      <c r="G418" s="5">
        <f ca="1">IFERROR(__xludf.DUMMYFUNCTION("""COMPUTED_VALUE"""),5720)</f>
        <v>5720</v>
      </c>
      <c r="H418" s="5">
        <f ca="1">IFERROR(__xludf.DUMMYFUNCTION("""COMPUTED_VALUE"""),602)</f>
        <v>602</v>
      </c>
      <c r="I418">
        <v>-26</v>
      </c>
      <c r="J418">
        <v>-6</v>
      </c>
      <c r="K418">
        <v>-46</v>
      </c>
      <c r="L418">
        <v>-37</v>
      </c>
      <c r="M418">
        <v>-30</v>
      </c>
      <c r="N418">
        <v>12</v>
      </c>
      <c r="O418">
        <v>125808</v>
      </c>
      <c r="Q418">
        <v>109615</v>
      </c>
      <c r="R418">
        <v>556786</v>
      </c>
      <c r="S418">
        <v>341170</v>
      </c>
      <c r="T418">
        <v>1025472</v>
      </c>
      <c r="U418">
        <v>493120</v>
      </c>
      <c r="V418">
        <v>1708066</v>
      </c>
      <c r="W418">
        <v>943905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10519</v>
      </c>
      <c r="AE418">
        <v>1266</v>
      </c>
      <c r="AF418">
        <v>9253</v>
      </c>
      <c r="AG418" s="2">
        <v>0.12035364580000001</v>
      </c>
      <c r="AH418" t="s">
        <v>33</v>
      </c>
      <c r="AI418" s="4">
        <v>6587</v>
      </c>
      <c r="AJ418" s="4">
        <v>388083</v>
      </c>
      <c r="AK418" s="4">
        <v>2954</v>
      </c>
      <c r="AL418" s="4">
        <v>3486</v>
      </c>
      <c r="AM418" s="4">
        <v>401110</v>
      </c>
      <c r="AN418" s="5">
        <f ca="1">IFERROR(__xludf.DUMMYFUNCTION("""COMPUTED_VALUE"""),8)</f>
        <v>8</v>
      </c>
    </row>
    <row r="419" spans="1:40" x14ac:dyDescent="0.35">
      <c r="A419" s="1">
        <v>418</v>
      </c>
      <c r="B419" s="7">
        <v>44308</v>
      </c>
      <c r="C419">
        <v>9</v>
      </c>
      <c r="D419">
        <v>652</v>
      </c>
      <c r="E419">
        <v>543</v>
      </c>
      <c r="F419">
        <v>62</v>
      </c>
      <c r="G419" s="5">
        <f ca="1">IFERROR(__xludf.DUMMYFUNCTION("""COMPUTED_VALUE"""),6243)</f>
        <v>6243</v>
      </c>
      <c r="H419" s="5">
        <f ca="1">IFERROR(__xludf.DUMMYFUNCTION("""COMPUTED_VALUE"""),1266)</f>
        <v>1266</v>
      </c>
      <c r="I419">
        <v>-26</v>
      </c>
      <c r="J419">
        <v>-7</v>
      </c>
      <c r="K419">
        <v>-44</v>
      </c>
      <c r="L419">
        <v>-38</v>
      </c>
      <c r="M419">
        <v>-29</v>
      </c>
      <c r="N419">
        <v>11</v>
      </c>
      <c r="O419">
        <v>126323</v>
      </c>
      <c r="Q419">
        <v>109990</v>
      </c>
      <c r="R419">
        <v>561547</v>
      </c>
      <c r="S419">
        <v>370371</v>
      </c>
      <c r="T419">
        <v>1058587</v>
      </c>
      <c r="U419">
        <v>515356</v>
      </c>
      <c r="V419">
        <v>1746457</v>
      </c>
      <c r="W419">
        <v>995717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8671</v>
      </c>
      <c r="AE419">
        <v>884</v>
      </c>
      <c r="AF419">
        <v>7787</v>
      </c>
      <c r="AG419" s="2">
        <v>0.1019490255</v>
      </c>
      <c r="AH419" t="s">
        <v>33</v>
      </c>
      <c r="AI419" s="4">
        <v>6596</v>
      </c>
      <c r="AJ419" s="4">
        <v>388735</v>
      </c>
      <c r="AK419" s="4">
        <v>3497</v>
      </c>
      <c r="AL419" s="4">
        <v>3548</v>
      </c>
      <c r="AM419" s="4">
        <v>402376</v>
      </c>
      <c r="AN419" s="5">
        <f ca="1">IFERROR(__xludf.DUMMYFUNCTION("""COMPUTED_VALUE"""),605)</f>
        <v>605</v>
      </c>
    </row>
    <row r="420" spans="1:40" x14ac:dyDescent="0.35">
      <c r="A420" s="1">
        <v>419</v>
      </c>
      <c r="B420" s="7">
        <v>44309</v>
      </c>
      <c r="C420">
        <v>16</v>
      </c>
      <c r="D420">
        <v>710</v>
      </c>
      <c r="E420">
        <v>87</v>
      </c>
      <c r="F420">
        <v>71</v>
      </c>
      <c r="G420" s="5">
        <f ca="1">IFERROR(__xludf.DUMMYFUNCTION("""COMPUTED_VALUE"""),5436)</f>
        <v>5436</v>
      </c>
      <c r="H420" s="5">
        <f ca="1">IFERROR(__xludf.DUMMYFUNCTION("""COMPUTED_VALUE"""),884)</f>
        <v>884</v>
      </c>
      <c r="I420">
        <v>-23</v>
      </c>
      <c r="J420">
        <v>-4</v>
      </c>
      <c r="K420">
        <v>-39</v>
      </c>
      <c r="L420">
        <v>-36</v>
      </c>
      <c r="M420">
        <v>-28</v>
      </c>
      <c r="N420">
        <v>12</v>
      </c>
      <c r="O420">
        <v>126594</v>
      </c>
      <c r="Q420">
        <v>110213</v>
      </c>
      <c r="R420">
        <v>564499</v>
      </c>
      <c r="S420">
        <v>387901</v>
      </c>
      <c r="T420">
        <v>1079773</v>
      </c>
      <c r="U420">
        <v>530125</v>
      </c>
      <c r="V420">
        <v>1770866</v>
      </c>
      <c r="W420">
        <v>1028239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9747</v>
      </c>
      <c r="AE420">
        <v>907</v>
      </c>
      <c r="AF420">
        <v>8840</v>
      </c>
      <c r="AG420" s="2">
        <v>9.3054273110000002E-2</v>
      </c>
      <c r="AH420" t="s">
        <v>33</v>
      </c>
      <c r="AI420" s="4">
        <v>6612</v>
      </c>
      <c r="AJ420" s="4">
        <v>389445</v>
      </c>
      <c r="AK420" s="4">
        <v>3584</v>
      </c>
      <c r="AL420" s="4">
        <v>3619</v>
      </c>
      <c r="AM420" s="4">
        <v>403260</v>
      </c>
      <c r="AN420" s="5">
        <f ca="1">IFERROR(__xludf.DUMMYFUNCTION("""COMPUTED_VALUE"""),158)</f>
        <v>158</v>
      </c>
    </row>
    <row r="421" spans="1:40" x14ac:dyDescent="0.35">
      <c r="A421" s="1">
        <v>420</v>
      </c>
      <c r="B421" s="7">
        <v>44310</v>
      </c>
      <c r="C421">
        <v>11</v>
      </c>
      <c r="D421">
        <v>889</v>
      </c>
      <c r="E421">
        <v>-21</v>
      </c>
      <c r="F421">
        <v>28</v>
      </c>
      <c r="G421" s="5">
        <f ca="1">IFERROR(__xludf.DUMMYFUNCTION("""COMPUTED_VALUE"""),4544)</f>
        <v>4544</v>
      </c>
      <c r="H421" s="5">
        <f ca="1">IFERROR(__xludf.DUMMYFUNCTION("""COMPUTED_VALUE"""),907)</f>
        <v>907</v>
      </c>
      <c r="I421">
        <v>-24</v>
      </c>
      <c r="J421">
        <v>0</v>
      </c>
      <c r="K421">
        <v>-44</v>
      </c>
      <c r="L421">
        <v>-29</v>
      </c>
      <c r="M421">
        <v>-14</v>
      </c>
      <c r="N421">
        <v>7</v>
      </c>
      <c r="O421">
        <v>126642</v>
      </c>
      <c r="Q421">
        <v>110273</v>
      </c>
      <c r="R421">
        <v>565373</v>
      </c>
      <c r="S421">
        <v>392124</v>
      </c>
      <c r="T421">
        <v>1092495</v>
      </c>
      <c r="U421">
        <v>543877</v>
      </c>
      <c r="V421">
        <v>1784510</v>
      </c>
      <c r="W421">
        <v>1046274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7851</v>
      </c>
      <c r="AE421">
        <v>896</v>
      </c>
      <c r="AF421">
        <v>6955</v>
      </c>
      <c r="AG421" s="2">
        <v>0.11412558909999999</v>
      </c>
      <c r="AH421" t="s">
        <v>33</v>
      </c>
      <c r="AI421" s="4">
        <v>6623</v>
      </c>
      <c r="AJ421" s="4">
        <v>390334</v>
      </c>
      <c r="AK421" s="4">
        <v>3563</v>
      </c>
      <c r="AL421" s="4">
        <v>3647</v>
      </c>
      <c r="AM421" s="4">
        <v>404167</v>
      </c>
      <c r="AN421" s="5">
        <f ca="1">IFERROR(__xludf.DUMMYFUNCTION("""COMPUTED_VALUE"""),7)</f>
        <v>7</v>
      </c>
    </row>
    <row r="422" spans="1:40" x14ac:dyDescent="0.35">
      <c r="A422" s="1">
        <v>421</v>
      </c>
      <c r="B422" s="7">
        <v>44311</v>
      </c>
      <c r="C422">
        <v>22</v>
      </c>
      <c r="D422">
        <v>967</v>
      </c>
      <c r="E422">
        <v>-164</v>
      </c>
      <c r="F422">
        <v>71</v>
      </c>
      <c r="G422" s="5">
        <f ca="1">IFERROR(__xludf.DUMMYFUNCTION("""COMPUTED_VALUE"""),4402)</f>
        <v>4402</v>
      </c>
      <c r="H422" s="5">
        <f ca="1">IFERROR(__xludf.DUMMYFUNCTION("""COMPUTED_VALUE"""),896)</f>
        <v>896</v>
      </c>
      <c r="I422">
        <v>-25</v>
      </c>
      <c r="J422">
        <v>-3</v>
      </c>
      <c r="K422">
        <v>-56</v>
      </c>
      <c r="L422">
        <v>-29</v>
      </c>
      <c r="M422">
        <v>-8</v>
      </c>
      <c r="N422">
        <v>8</v>
      </c>
      <c r="O422">
        <v>126663</v>
      </c>
      <c r="Q422">
        <v>110297</v>
      </c>
      <c r="R422">
        <v>565919</v>
      </c>
      <c r="S422">
        <v>394656</v>
      </c>
      <c r="T422">
        <v>1103805</v>
      </c>
      <c r="U422">
        <v>554636</v>
      </c>
      <c r="V422">
        <v>1796387</v>
      </c>
      <c r="W422">
        <v>1059589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6846</v>
      </c>
      <c r="AE422">
        <v>749</v>
      </c>
      <c r="AF422">
        <v>6097</v>
      </c>
      <c r="AG422" s="2">
        <v>0.109406953</v>
      </c>
      <c r="AH422" t="s">
        <v>33</v>
      </c>
      <c r="AI422" s="4">
        <v>6645</v>
      </c>
      <c r="AJ422" s="4">
        <v>391301</v>
      </c>
      <c r="AK422" s="4">
        <v>3399</v>
      </c>
      <c r="AL422" s="4">
        <v>3718</v>
      </c>
      <c r="AM422" s="4">
        <v>405063</v>
      </c>
      <c r="AN422" s="5">
        <f ca="1">IFERROR(__xludf.DUMMYFUNCTION("""COMPUTED_VALUE"""),-93)</f>
        <v>-93</v>
      </c>
    </row>
    <row r="423" spans="1:40" x14ac:dyDescent="0.35">
      <c r="A423" s="1">
        <v>422</v>
      </c>
      <c r="B423" s="7">
        <v>44312</v>
      </c>
      <c r="C423">
        <v>15</v>
      </c>
      <c r="D423">
        <v>1294</v>
      </c>
      <c r="E423">
        <v>-247</v>
      </c>
      <c r="F423">
        <v>-313</v>
      </c>
      <c r="G423" s="5">
        <f ca="1">IFERROR(__xludf.DUMMYFUNCTION("""COMPUTED_VALUE"""),5944)</f>
        <v>5944</v>
      </c>
      <c r="H423" s="5">
        <f ca="1">IFERROR(__xludf.DUMMYFUNCTION("""COMPUTED_VALUE"""),749)</f>
        <v>749</v>
      </c>
      <c r="I423">
        <v>-23</v>
      </c>
      <c r="J423">
        <v>-2</v>
      </c>
      <c r="K423">
        <v>-41</v>
      </c>
      <c r="L423">
        <v>-35</v>
      </c>
      <c r="M423">
        <v>-28</v>
      </c>
      <c r="N423">
        <v>11</v>
      </c>
      <c r="O423">
        <v>126864</v>
      </c>
      <c r="Q423">
        <v>110554</v>
      </c>
      <c r="R423">
        <v>568335</v>
      </c>
      <c r="S423">
        <v>416922</v>
      </c>
      <c r="T423">
        <v>1127512</v>
      </c>
      <c r="U423">
        <v>577131</v>
      </c>
      <c r="V423">
        <v>1822711</v>
      </c>
      <c r="W423">
        <v>1104607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7856</v>
      </c>
      <c r="AE423">
        <v>393</v>
      </c>
      <c r="AF423">
        <v>7463</v>
      </c>
      <c r="AG423" s="2">
        <v>5.0025458250000002E-2</v>
      </c>
      <c r="AH423" t="s">
        <v>33</v>
      </c>
      <c r="AI423" s="4">
        <v>6660</v>
      </c>
      <c r="AJ423" s="4">
        <v>392595</v>
      </c>
      <c r="AK423" s="4">
        <v>3152</v>
      </c>
      <c r="AL423" s="4">
        <v>3405</v>
      </c>
      <c r="AM423" s="4">
        <v>405812</v>
      </c>
      <c r="AN423" s="5">
        <f ca="1">IFERROR(__xludf.DUMMYFUNCTION("""COMPUTED_VALUE"""),-560)</f>
        <v>-560</v>
      </c>
    </row>
    <row r="424" spans="1:40" x14ac:dyDescent="0.35">
      <c r="A424" s="1">
        <v>423</v>
      </c>
      <c r="B424" s="7">
        <v>44313</v>
      </c>
      <c r="C424">
        <v>19</v>
      </c>
      <c r="D424">
        <v>610</v>
      </c>
      <c r="E424">
        <v>-153</v>
      </c>
      <c r="F424">
        <v>-83</v>
      </c>
      <c r="G424" s="5">
        <f ca="1">IFERROR(__xludf.DUMMYFUNCTION("""COMPUTED_VALUE"""),4656)</f>
        <v>4656</v>
      </c>
      <c r="H424" s="5">
        <f ca="1">IFERROR(__xludf.DUMMYFUNCTION("""COMPUTED_VALUE"""),393)</f>
        <v>393</v>
      </c>
      <c r="I424">
        <v>-25</v>
      </c>
      <c r="J424">
        <v>-3</v>
      </c>
      <c r="K424">
        <v>-46</v>
      </c>
      <c r="L424">
        <v>-36</v>
      </c>
      <c r="M424">
        <v>-29</v>
      </c>
      <c r="N424">
        <v>11</v>
      </c>
      <c r="O424">
        <v>127101</v>
      </c>
      <c r="Q424">
        <v>110788</v>
      </c>
      <c r="R424">
        <v>570852</v>
      </c>
      <c r="S424">
        <v>432310</v>
      </c>
      <c r="T424">
        <v>1152521</v>
      </c>
      <c r="U424">
        <v>699388</v>
      </c>
      <c r="V424">
        <v>1850474</v>
      </c>
      <c r="W424">
        <v>1242486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10830</v>
      </c>
      <c r="AE424">
        <v>639</v>
      </c>
      <c r="AF424">
        <v>10191</v>
      </c>
      <c r="AG424" s="2">
        <v>5.9002770080000003E-2</v>
      </c>
      <c r="AH424" t="s">
        <v>33</v>
      </c>
      <c r="AI424" s="4">
        <v>6679</v>
      </c>
      <c r="AJ424" s="4">
        <v>393205</v>
      </c>
      <c r="AK424" s="4">
        <v>2999</v>
      </c>
      <c r="AL424" s="4">
        <v>3322</v>
      </c>
      <c r="AM424" s="4">
        <v>406205</v>
      </c>
      <c r="AN424" s="5">
        <f ca="1">IFERROR(__xludf.DUMMYFUNCTION("""COMPUTED_VALUE"""),-236)</f>
        <v>-236</v>
      </c>
    </row>
    <row r="425" spans="1:40" x14ac:dyDescent="0.35">
      <c r="A425" s="1">
        <v>424</v>
      </c>
      <c r="B425" s="7">
        <v>44314</v>
      </c>
      <c r="C425">
        <v>11</v>
      </c>
      <c r="D425">
        <v>609</v>
      </c>
      <c r="E425">
        <v>-49</v>
      </c>
      <c r="F425">
        <v>68</v>
      </c>
      <c r="G425" s="5">
        <f ca="1">IFERROR(__xludf.DUMMYFUNCTION("""COMPUTED_VALUE"""),5241)</f>
        <v>5241</v>
      </c>
      <c r="H425" s="5">
        <f ca="1">IFERROR(__xludf.DUMMYFUNCTION("""COMPUTED_VALUE"""),639)</f>
        <v>639</v>
      </c>
      <c r="I425">
        <v>-25</v>
      </c>
      <c r="J425">
        <v>-6</v>
      </c>
      <c r="K425">
        <v>-48</v>
      </c>
      <c r="L425">
        <v>-35</v>
      </c>
      <c r="M425">
        <v>-30</v>
      </c>
      <c r="N425">
        <v>11</v>
      </c>
      <c r="O425">
        <v>127317</v>
      </c>
      <c r="Q425">
        <v>111063</v>
      </c>
      <c r="R425">
        <v>572898</v>
      </c>
      <c r="S425">
        <v>446748</v>
      </c>
      <c r="T425">
        <v>1178054</v>
      </c>
      <c r="U425">
        <v>625051</v>
      </c>
      <c r="V425">
        <v>1878269</v>
      </c>
      <c r="W425">
        <v>1182862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9559</v>
      </c>
      <c r="AE425">
        <v>987</v>
      </c>
      <c r="AF425">
        <v>8572</v>
      </c>
      <c r="AG425" s="2">
        <v>0.1032534784</v>
      </c>
      <c r="AH425" t="s">
        <v>33</v>
      </c>
      <c r="AI425" s="4">
        <v>6690</v>
      </c>
      <c r="AJ425" s="4">
        <v>393814</v>
      </c>
      <c r="AK425" s="4">
        <v>2950</v>
      </c>
      <c r="AL425" s="4">
        <v>3390</v>
      </c>
      <c r="AM425" s="4">
        <v>406844</v>
      </c>
      <c r="AN425" s="5">
        <f ca="1">IFERROR(__xludf.DUMMYFUNCTION("""COMPUTED_VALUE"""),19)</f>
        <v>19</v>
      </c>
    </row>
    <row r="426" spans="1:40" x14ac:dyDescent="0.35">
      <c r="A426" s="1">
        <v>425</v>
      </c>
      <c r="B426" s="7">
        <v>44315</v>
      </c>
      <c r="C426">
        <v>20</v>
      </c>
      <c r="D426">
        <v>589</v>
      </c>
      <c r="E426">
        <v>358</v>
      </c>
      <c r="F426">
        <v>20</v>
      </c>
      <c r="G426" s="5">
        <f ca="1">IFERROR(__xludf.DUMMYFUNCTION("""COMPUTED_VALUE"""),5833)</f>
        <v>5833</v>
      </c>
      <c r="H426" s="5">
        <f ca="1">IFERROR(__xludf.DUMMYFUNCTION("""COMPUTED_VALUE"""),987)</f>
        <v>987</v>
      </c>
      <c r="I426">
        <v>-20</v>
      </c>
      <c r="J426">
        <v>3</v>
      </c>
      <c r="K426">
        <v>-42</v>
      </c>
      <c r="L426">
        <v>-33</v>
      </c>
      <c r="M426">
        <v>-29</v>
      </c>
      <c r="N426">
        <v>10</v>
      </c>
      <c r="O426">
        <v>127525</v>
      </c>
      <c r="Q426">
        <v>111399</v>
      </c>
      <c r="R426">
        <v>574631</v>
      </c>
      <c r="S426">
        <v>453025</v>
      </c>
      <c r="T426">
        <v>1203940</v>
      </c>
      <c r="U426">
        <v>650068</v>
      </c>
      <c r="V426">
        <v>1906096</v>
      </c>
      <c r="W426">
        <v>1214492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9712</v>
      </c>
      <c r="AE426">
        <v>789</v>
      </c>
      <c r="AF426">
        <v>8923</v>
      </c>
      <c r="AG426" s="2">
        <v>8.1239703460000007E-2</v>
      </c>
      <c r="AH426" t="s">
        <v>33</v>
      </c>
      <c r="AI426" s="4">
        <v>6710</v>
      </c>
      <c r="AJ426" s="4">
        <v>394403</v>
      </c>
      <c r="AK426" s="4">
        <v>3308</v>
      </c>
      <c r="AL426" s="4">
        <v>3410</v>
      </c>
      <c r="AM426" s="4">
        <v>407831</v>
      </c>
      <c r="AN426" s="5">
        <f ca="1">IFERROR(__xludf.DUMMYFUNCTION("""COMPUTED_VALUE"""),378)</f>
        <v>378</v>
      </c>
    </row>
    <row r="427" spans="1:40" x14ac:dyDescent="0.35">
      <c r="A427" s="1">
        <v>426</v>
      </c>
      <c r="B427" s="7">
        <v>44316</v>
      </c>
      <c r="C427">
        <v>23</v>
      </c>
      <c r="D427">
        <v>536</v>
      </c>
      <c r="E427">
        <v>113</v>
      </c>
      <c r="F427">
        <v>117</v>
      </c>
      <c r="G427" s="5">
        <f ca="1">IFERROR(__xludf.DUMMYFUNCTION("""COMPUTED_VALUE"""),5500)</f>
        <v>5500</v>
      </c>
      <c r="H427" s="5">
        <f ca="1">IFERROR(__xludf.DUMMYFUNCTION("""COMPUTED_VALUE"""),789)</f>
        <v>789</v>
      </c>
      <c r="I427">
        <v>-13</v>
      </c>
      <c r="J427">
        <v>13</v>
      </c>
      <c r="K427">
        <v>-33</v>
      </c>
      <c r="L427">
        <v>-29</v>
      </c>
      <c r="M427">
        <v>-26</v>
      </c>
      <c r="N427">
        <v>10</v>
      </c>
      <c r="O427">
        <v>127800</v>
      </c>
      <c r="Q427">
        <v>111554</v>
      </c>
      <c r="R427">
        <v>576085</v>
      </c>
      <c r="S427">
        <v>455627</v>
      </c>
      <c r="T427">
        <v>1231164</v>
      </c>
      <c r="U427">
        <v>664088</v>
      </c>
      <c r="V427">
        <v>1935049</v>
      </c>
      <c r="W427">
        <v>1231269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9962</v>
      </c>
      <c r="AE427">
        <v>926</v>
      </c>
      <c r="AF427">
        <v>9036</v>
      </c>
      <c r="AG427" s="2">
        <v>9.2953222239999994E-2</v>
      </c>
      <c r="AH427" t="s">
        <v>33</v>
      </c>
      <c r="AI427" s="4">
        <v>6733</v>
      </c>
      <c r="AJ427" s="4">
        <v>394939</v>
      </c>
      <c r="AK427" s="4">
        <v>3421</v>
      </c>
      <c r="AL427" s="4">
        <v>3527</v>
      </c>
      <c r="AM427" s="4">
        <v>408620</v>
      </c>
      <c r="AN427" s="5">
        <f ca="1">IFERROR(__xludf.DUMMYFUNCTION("""COMPUTED_VALUE"""),230)</f>
        <v>230</v>
      </c>
    </row>
    <row r="428" spans="1:40" x14ac:dyDescent="0.35">
      <c r="A428" s="1">
        <v>427</v>
      </c>
      <c r="B428" s="7">
        <v>44317</v>
      </c>
      <c r="C428">
        <v>14</v>
      </c>
      <c r="D428">
        <v>705</v>
      </c>
      <c r="E428">
        <v>112</v>
      </c>
      <c r="F428">
        <v>95</v>
      </c>
      <c r="G428" s="5">
        <f ca="1">IFERROR(__xludf.DUMMYFUNCTION("""COMPUTED_VALUE"""),4512)</f>
        <v>4512</v>
      </c>
      <c r="H428" s="5">
        <f ca="1">IFERROR(__xludf.DUMMYFUNCTION("""COMPUTED_VALUE"""),926)</f>
        <v>926</v>
      </c>
      <c r="I428">
        <v>-15</v>
      </c>
      <c r="J428">
        <v>14</v>
      </c>
      <c r="K428">
        <v>-39</v>
      </c>
      <c r="L428">
        <v>-22</v>
      </c>
      <c r="M428">
        <v>-33</v>
      </c>
      <c r="N428">
        <v>7</v>
      </c>
      <c r="O428">
        <v>127812</v>
      </c>
      <c r="Q428">
        <v>111574</v>
      </c>
      <c r="R428">
        <v>576250</v>
      </c>
      <c r="S428">
        <v>456820</v>
      </c>
      <c r="T428">
        <v>1239584</v>
      </c>
      <c r="U428">
        <v>676798</v>
      </c>
      <c r="V428">
        <v>1943646</v>
      </c>
      <c r="W428">
        <v>1245192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6957</v>
      </c>
      <c r="AE428">
        <v>854</v>
      </c>
      <c r="AF428">
        <v>6103</v>
      </c>
      <c r="AG428" s="2">
        <v>0.1227540607</v>
      </c>
      <c r="AH428" t="s">
        <v>33</v>
      </c>
      <c r="AI428" s="4">
        <v>6747</v>
      </c>
      <c r="AJ428" s="4">
        <v>395644</v>
      </c>
      <c r="AK428" s="4">
        <v>3533</v>
      </c>
      <c r="AL428" s="4">
        <v>3622</v>
      </c>
      <c r="AM428" s="4">
        <v>409546</v>
      </c>
      <c r="AN428" s="5">
        <f ca="1">IFERROR(__xludf.DUMMYFUNCTION("""COMPUTED_VALUE"""),207)</f>
        <v>207</v>
      </c>
    </row>
    <row r="429" spans="1:40" x14ac:dyDescent="0.35">
      <c r="A429" s="1">
        <v>428</v>
      </c>
      <c r="B429" s="7">
        <v>44318</v>
      </c>
      <c r="C429">
        <v>20</v>
      </c>
      <c r="D429">
        <v>950</v>
      </c>
      <c r="E429">
        <v>-83</v>
      </c>
      <c r="F429">
        <v>-33</v>
      </c>
      <c r="G429" s="5">
        <f ca="1">IFERROR(__xludf.DUMMYFUNCTION("""COMPUTED_VALUE"""),4394)</f>
        <v>4394</v>
      </c>
      <c r="H429" s="5">
        <f ca="1">IFERROR(__xludf.DUMMYFUNCTION("""COMPUTED_VALUE"""),854)</f>
        <v>854</v>
      </c>
      <c r="I429">
        <v>-16</v>
      </c>
      <c r="J429">
        <v>11</v>
      </c>
      <c r="K429">
        <v>-53</v>
      </c>
      <c r="L429">
        <v>-20</v>
      </c>
      <c r="M429">
        <v>-8</v>
      </c>
      <c r="N429">
        <v>5</v>
      </c>
      <c r="O429">
        <v>127813</v>
      </c>
      <c r="Q429">
        <v>111576</v>
      </c>
      <c r="R429">
        <v>576362</v>
      </c>
      <c r="S429">
        <v>457590</v>
      </c>
      <c r="T429">
        <v>1243811</v>
      </c>
      <c r="U429">
        <v>687800</v>
      </c>
      <c r="V429">
        <v>1947986</v>
      </c>
      <c r="W429">
        <v>1256966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6765</v>
      </c>
      <c r="AE429">
        <v>757</v>
      </c>
      <c r="AF429">
        <v>6008</v>
      </c>
      <c r="AG429" s="2">
        <v>0.1118994826</v>
      </c>
      <c r="AH429" t="s">
        <v>33</v>
      </c>
      <c r="AI429" s="4">
        <v>6767</v>
      </c>
      <c r="AJ429" s="4">
        <v>396594</v>
      </c>
      <c r="AK429" s="4">
        <v>3450</v>
      </c>
      <c r="AL429" s="4">
        <v>3589</v>
      </c>
      <c r="AM429" s="4">
        <v>410400</v>
      </c>
      <c r="AN429" s="5">
        <f ca="1">IFERROR(__xludf.DUMMYFUNCTION("""COMPUTED_VALUE"""),-116)</f>
        <v>-116</v>
      </c>
    </row>
    <row r="430" spans="1:40" x14ac:dyDescent="0.35">
      <c r="A430" s="1">
        <v>429</v>
      </c>
      <c r="B430" s="7">
        <v>44319</v>
      </c>
      <c r="C430">
        <v>21</v>
      </c>
      <c r="D430">
        <v>755</v>
      </c>
      <c r="E430">
        <v>33</v>
      </c>
      <c r="F430">
        <v>-52</v>
      </c>
      <c r="G430" s="5">
        <f ca="1">IFERROR(__xludf.DUMMYFUNCTION("""COMPUTED_VALUE"""),4730)</f>
        <v>4730</v>
      </c>
      <c r="H430" s="5">
        <f ca="1">IFERROR(__xludf.DUMMYFUNCTION("""COMPUTED_VALUE"""),757)</f>
        <v>757</v>
      </c>
      <c r="I430">
        <v>-15</v>
      </c>
      <c r="J430">
        <v>13</v>
      </c>
      <c r="K430">
        <v>-39</v>
      </c>
      <c r="L430">
        <v>-29</v>
      </c>
      <c r="M430">
        <v>-29</v>
      </c>
      <c r="N430">
        <v>8</v>
      </c>
      <c r="O430">
        <v>128009</v>
      </c>
      <c r="Q430">
        <v>111795</v>
      </c>
      <c r="R430">
        <v>577667</v>
      </c>
      <c r="S430">
        <v>462354</v>
      </c>
      <c r="T430">
        <v>1262887</v>
      </c>
      <c r="U430">
        <v>712884</v>
      </c>
      <c r="V430">
        <v>1968563</v>
      </c>
      <c r="W430">
        <v>1287033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8154</v>
      </c>
      <c r="AE430">
        <v>416</v>
      </c>
      <c r="AF430">
        <v>7738</v>
      </c>
      <c r="AG430" s="2">
        <v>5.1017905320000001E-2</v>
      </c>
      <c r="AH430" t="s">
        <v>33</v>
      </c>
      <c r="AI430" s="4">
        <v>6788</v>
      </c>
      <c r="AJ430" s="4">
        <v>397349</v>
      </c>
      <c r="AK430" s="4">
        <v>3483</v>
      </c>
      <c r="AL430" s="4">
        <v>3537</v>
      </c>
      <c r="AM430" s="4">
        <v>411157</v>
      </c>
      <c r="AN430" s="5">
        <f ca="1">IFERROR(__xludf.DUMMYFUNCTION("""COMPUTED_VALUE"""),-19)</f>
        <v>-19</v>
      </c>
    </row>
    <row r="431" spans="1:40" x14ac:dyDescent="0.35">
      <c r="A431" s="1">
        <v>430</v>
      </c>
      <c r="B431" s="7">
        <v>44320</v>
      </c>
      <c r="C431">
        <v>19</v>
      </c>
      <c r="D431">
        <v>606</v>
      </c>
      <c r="E431">
        <v>-236</v>
      </c>
      <c r="F431">
        <v>27</v>
      </c>
      <c r="G431" s="5">
        <f ca="1">IFERROR(__xludf.DUMMYFUNCTION("""COMPUTED_VALUE"""),4369)</f>
        <v>4369</v>
      </c>
      <c r="H431" s="5">
        <f ca="1">IFERROR(__xludf.DUMMYFUNCTION("""COMPUTED_VALUE"""),416)</f>
        <v>416</v>
      </c>
      <c r="I431">
        <v>-17</v>
      </c>
      <c r="J431">
        <v>10</v>
      </c>
      <c r="K431">
        <v>-41</v>
      </c>
      <c r="L431">
        <v>-28</v>
      </c>
      <c r="M431">
        <v>-31</v>
      </c>
      <c r="N431">
        <v>9</v>
      </c>
      <c r="O431">
        <v>128375</v>
      </c>
      <c r="Q431">
        <v>112125</v>
      </c>
      <c r="R431">
        <v>578758</v>
      </c>
      <c r="S431">
        <v>466027</v>
      </c>
      <c r="T431">
        <v>1287142</v>
      </c>
      <c r="U431">
        <v>735527</v>
      </c>
      <c r="V431">
        <v>1994275</v>
      </c>
      <c r="W431">
        <v>1313679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10686</v>
      </c>
      <c r="AE431">
        <v>845</v>
      </c>
      <c r="AF431">
        <v>9841</v>
      </c>
      <c r="AG431" s="2">
        <v>7.9075425790000001E-2</v>
      </c>
      <c r="AH431" t="s">
        <v>33</v>
      </c>
      <c r="AI431" s="4">
        <v>6807</v>
      </c>
      <c r="AJ431" s="4">
        <v>397955</v>
      </c>
      <c r="AK431" s="4">
        <v>3247</v>
      </c>
      <c r="AL431" s="4">
        <v>3564</v>
      </c>
      <c r="AM431" s="4">
        <v>411573</v>
      </c>
      <c r="AN431" s="5">
        <f ca="1">IFERROR(__xludf.DUMMYFUNCTION("""COMPUTED_VALUE"""),-209)</f>
        <v>-209</v>
      </c>
    </row>
    <row r="432" spans="1:40" x14ac:dyDescent="0.35">
      <c r="A432" s="1">
        <v>431</v>
      </c>
      <c r="B432" s="7">
        <v>44321</v>
      </c>
      <c r="C432">
        <v>23</v>
      </c>
      <c r="D432">
        <v>655</v>
      </c>
      <c r="E432">
        <v>-7</v>
      </c>
      <c r="F432">
        <v>174</v>
      </c>
      <c r="G432" s="5">
        <f ca="1">IFERROR(__xludf.DUMMYFUNCTION("""COMPUTED_VALUE"""),5285)</f>
        <v>5285</v>
      </c>
      <c r="H432" s="5">
        <f ca="1">IFERROR(__xludf.DUMMYFUNCTION("""COMPUTED_VALUE"""),845)</f>
        <v>845</v>
      </c>
      <c r="I432">
        <v>-19</v>
      </c>
      <c r="J432">
        <v>5</v>
      </c>
      <c r="K432">
        <v>-43</v>
      </c>
      <c r="L432">
        <v>-30</v>
      </c>
      <c r="M432">
        <v>-32</v>
      </c>
      <c r="N432">
        <v>9</v>
      </c>
      <c r="O432">
        <v>128537</v>
      </c>
      <c r="Q432">
        <v>112434</v>
      </c>
      <c r="R432">
        <v>579595</v>
      </c>
      <c r="S432">
        <v>470116</v>
      </c>
      <c r="T432">
        <v>1319068</v>
      </c>
      <c r="U432">
        <v>756711</v>
      </c>
      <c r="V432">
        <v>2027200</v>
      </c>
      <c r="W432">
        <v>1339261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11480</v>
      </c>
      <c r="AE432">
        <v>905</v>
      </c>
      <c r="AF432">
        <v>10575</v>
      </c>
      <c r="AG432" s="2">
        <v>7.8832752610000001E-2</v>
      </c>
      <c r="AH432" t="s">
        <v>33</v>
      </c>
      <c r="AI432" s="4">
        <v>6830</v>
      </c>
      <c r="AJ432" s="4">
        <v>398610</v>
      </c>
      <c r="AK432" s="4">
        <v>3240</v>
      </c>
      <c r="AL432" s="4">
        <v>3738</v>
      </c>
      <c r="AM432" s="4">
        <v>412418</v>
      </c>
      <c r="AN432" s="5">
        <f ca="1">IFERROR(__xludf.DUMMYFUNCTION("""COMPUTED_VALUE"""),167)</f>
        <v>167</v>
      </c>
    </row>
    <row r="433" spans="1:40" x14ac:dyDescent="0.35">
      <c r="A433" s="1">
        <v>432</v>
      </c>
      <c r="B433" s="7">
        <v>44322</v>
      </c>
      <c r="C433">
        <v>20</v>
      </c>
      <c r="D433">
        <v>614</v>
      </c>
      <c r="E433">
        <v>166</v>
      </c>
      <c r="F433">
        <v>105</v>
      </c>
      <c r="G433" s="5">
        <f ca="1">IFERROR(__xludf.DUMMYFUNCTION("""COMPUTED_VALUE"""),5647)</f>
        <v>5647</v>
      </c>
      <c r="H433" s="5">
        <f ca="1">IFERROR(__xludf.DUMMYFUNCTION("""COMPUTED_VALUE"""),905)</f>
        <v>905</v>
      </c>
      <c r="I433">
        <v>-20</v>
      </c>
      <c r="J433">
        <v>4</v>
      </c>
      <c r="K433">
        <v>-43</v>
      </c>
      <c r="L433">
        <v>-36</v>
      </c>
      <c r="M433">
        <v>-32</v>
      </c>
      <c r="N433">
        <v>10</v>
      </c>
      <c r="O433">
        <v>128715</v>
      </c>
      <c r="Q433">
        <v>112784</v>
      </c>
      <c r="R433">
        <v>581010</v>
      </c>
      <c r="S433">
        <v>475633</v>
      </c>
      <c r="T433">
        <v>1355054</v>
      </c>
      <c r="U433">
        <v>778273</v>
      </c>
      <c r="V433">
        <v>2064779</v>
      </c>
      <c r="W433">
        <v>1366690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10752</v>
      </c>
      <c r="AE433">
        <v>783</v>
      </c>
      <c r="AF433">
        <v>9969</v>
      </c>
      <c r="AG433" s="2">
        <v>7.2823660710000002E-2</v>
      </c>
      <c r="AH433" t="s">
        <v>33</v>
      </c>
      <c r="AI433" s="4">
        <v>6850</v>
      </c>
      <c r="AJ433" s="4">
        <v>399224</v>
      </c>
      <c r="AK433" s="4">
        <v>3406</v>
      </c>
      <c r="AL433" s="4">
        <v>3843</v>
      </c>
      <c r="AM433" s="4">
        <v>413323</v>
      </c>
      <c r="AN433" s="5">
        <f ca="1">IFERROR(__xludf.DUMMYFUNCTION("""COMPUTED_VALUE"""),271)</f>
        <v>271</v>
      </c>
    </row>
    <row r="434" spans="1:40" x14ac:dyDescent="0.35">
      <c r="A434" s="1">
        <v>433</v>
      </c>
      <c r="B434" s="7">
        <v>44323</v>
      </c>
      <c r="C434">
        <v>22</v>
      </c>
      <c r="D434">
        <v>597</v>
      </c>
      <c r="E434">
        <v>79</v>
      </c>
      <c r="F434">
        <v>85</v>
      </c>
      <c r="G434" s="5">
        <f ca="1">IFERROR(__xludf.DUMMYFUNCTION("""COMPUTED_VALUE"""),6327)</f>
        <v>6327</v>
      </c>
      <c r="H434" s="5">
        <f ca="1">IFERROR(__xludf.DUMMYFUNCTION("""COMPUTED_VALUE"""),783)</f>
        <v>783</v>
      </c>
      <c r="I434">
        <v>-13</v>
      </c>
      <c r="J434">
        <v>12</v>
      </c>
      <c r="K434">
        <v>-36</v>
      </c>
      <c r="L434">
        <v>-36</v>
      </c>
      <c r="M434">
        <v>-30</v>
      </c>
      <c r="N434">
        <v>10</v>
      </c>
      <c r="O434">
        <v>128893</v>
      </c>
      <c r="Q434">
        <v>113107</v>
      </c>
      <c r="R434">
        <v>581932</v>
      </c>
      <c r="S434">
        <v>482803</v>
      </c>
      <c r="T434">
        <v>1388224</v>
      </c>
      <c r="U434">
        <v>799276</v>
      </c>
      <c r="V434">
        <v>2099049</v>
      </c>
      <c r="W434">
        <v>1395186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9612</v>
      </c>
      <c r="AE434">
        <v>732</v>
      </c>
      <c r="AF434">
        <v>8880</v>
      </c>
      <c r="AG434" s="2">
        <v>7.6154806490000004E-2</v>
      </c>
      <c r="AH434" t="s">
        <v>33</v>
      </c>
      <c r="AI434" s="4">
        <v>6872</v>
      </c>
      <c r="AJ434" s="4">
        <v>399821</v>
      </c>
      <c r="AK434" s="4">
        <v>3485</v>
      </c>
      <c r="AL434" s="4">
        <v>3928</v>
      </c>
      <c r="AM434" s="4">
        <v>414106</v>
      </c>
      <c r="AN434" s="5">
        <f ca="1">IFERROR(__xludf.DUMMYFUNCTION("""COMPUTED_VALUE"""),164)</f>
        <v>164</v>
      </c>
    </row>
    <row r="435" spans="1:40" x14ac:dyDescent="0.35">
      <c r="A435" s="1">
        <v>434</v>
      </c>
      <c r="B435" s="7">
        <v>44324</v>
      </c>
      <c r="C435">
        <v>24</v>
      </c>
      <c r="D435">
        <v>582</v>
      </c>
      <c r="E435">
        <v>84</v>
      </c>
      <c r="F435">
        <v>42</v>
      </c>
      <c r="G435" s="5">
        <f ca="1">IFERROR(__xludf.DUMMYFUNCTION("""COMPUTED_VALUE"""),6130)</f>
        <v>6130</v>
      </c>
      <c r="H435" s="5">
        <f ca="1">IFERROR(__xludf.DUMMYFUNCTION("""COMPUTED_VALUE"""),732)</f>
        <v>732</v>
      </c>
      <c r="I435">
        <v>-17</v>
      </c>
      <c r="J435">
        <v>12</v>
      </c>
      <c r="K435">
        <v>-46</v>
      </c>
      <c r="L435">
        <v>-29</v>
      </c>
      <c r="M435">
        <v>-20</v>
      </c>
      <c r="N435">
        <v>6</v>
      </c>
      <c r="O435">
        <v>128918</v>
      </c>
      <c r="Q435">
        <v>113180</v>
      </c>
      <c r="R435">
        <v>582375</v>
      </c>
      <c r="S435">
        <v>484444</v>
      </c>
      <c r="T435">
        <v>1405753</v>
      </c>
      <c r="U435">
        <v>808129</v>
      </c>
      <c r="V435">
        <v>2117046</v>
      </c>
      <c r="W435">
        <v>1405753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8206</v>
      </c>
      <c r="AE435">
        <v>809</v>
      </c>
      <c r="AF435">
        <v>7397</v>
      </c>
      <c r="AG435" s="2">
        <v>9.8586400190000006E-2</v>
      </c>
      <c r="AH435" t="s">
        <v>33</v>
      </c>
      <c r="AI435" s="4">
        <v>6896</v>
      </c>
      <c r="AJ435" s="4">
        <v>400403</v>
      </c>
      <c r="AK435" s="4">
        <v>3569</v>
      </c>
      <c r="AL435" s="4">
        <v>3970</v>
      </c>
      <c r="AM435" s="4">
        <v>414838</v>
      </c>
      <c r="AN435" s="5">
        <f ca="1">IFERROR(__xludf.DUMMYFUNCTION("""COMPUTED_VALUE"""),126)</f>
        <v>126</v>
      </c>
    </row>
    <row r="436" spans="1:40" x14ac:dyDescent="0.35">
      <c r="A436" s="1">
        <v>435</v>
      </c>
      <c r="B436" s="7">
        <v>44325</v>
      </c>
      <c r="C436">
        <v>15</v>
      </c>
      <c r="D436">
        <v>711</v>
      </c>
      <c r="E436">
        <v>79</v>
      </c>
      <c r="F436">
        <v>4</v>
      </c>
      <c r="G436" s="5">
        <f ca="1">IFERROR(__xludf.DUMMYFUNCTION("""COMPUTED_VALUE"""),3922)</f>
        <v>3922</v>
      </c>
      <c r="H436" s="5">
        <f ca="1">IFERROR(__xludf.DUMMYFUNCTION("""COMPUTED_VALUE"""),809)</f>
        <v>809</v>
      </c>
      <c r="I436">
        <v>-16</v>
      </c>
      <c r="J436">
        <v>11</v>
      </c>
      <c r="K436">
        <v>-56</v>
      </c>
      <c r="L436">
        <v>-28</v>
      </c>
      <c r="M436">
        <v>-10</v>
      </c>
      <c r="N436">
        <v>7</v>
      </c>
      <c r="O436">
        <v>128923</v>
      </c>
      <c r="Q436">
        <v>113187</v>
      </c>
      <c r="R436">
        <v>582505</v>
      </c>
      <c r="S436">
        <v>485431</v>
      </c>
      <c r="T436">
        <v>1415570</v>
      </c>
      <c r="U436">
        <v>816952</v>
      </c>
      <c r="V436">
        <v>2126998</v>
      </c>
      <c r="W436">
        <v>1415570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6910</v>
      </c>
      <c r="AE436">
        <v>694</v>
      </c>
      <c r="AF436">
        <v>6216</v>
      </c>
      <c r="AG436" s="2">
        <v>0.1004341534</v>
      </c>
      <c r="AH436" t="s">
        <v>33</v>
      </c>
      <c r="AI436" s="4">
        <v>6911</v>
      </c>
      <c r="AJ436" s="4">
        <v>401114</v>
      </c>
      <c r="AK436" s="4">
        <v>3648</v>
      </c>
      <c r="AL436" s="4">
        <v>3974</v>
      </c>
      <c r="AM436" s="4">
        <v>415647</v>
      </c>
      <c r="AN436" s="5">
        <f ca="1">IFERROR(__xludf.DUMMYFUNCTION("""COMPUTED_VALUE"""),83)</f>
        <v>83</v>
      </c>
    </row>
    <row r="437" spans="1:40" x14ac:dyDescent="0.35">
      <c r="A437" s="1">
        <v>436</v>
      </c>
      <c r="B437" s="7">
        <v>44326</v>
      </c>
      <c r="C437">
        <v>22</v>
      </c>
      <c r="D437">
        <v>630</v>
      </c>
      <c r="E437">
        <v>75</v>
      </c>
      <c r="F437">
        <v>-33</v>
      </c>
      <c r="G437" s="5">
        <f ca="1">IFERROR(__xludf.DUMMYFUNCTION("""COMPUTED_VALUE"""),4891)</f>
        <v>4891</v>
      </c>
      <c r="H437" s="5">
        <f ca="1">IFERROR(__xludf.DUMMYFUNCTION("""COMPUTED_VALUE"""),694)</f>
        <v>694</v>
      </c>
      <c r="I437">
        <v>-12</v>
      </c>
      <c r="J437">
        <v>17</v>
      </c>
      <c r="K437">
        <v>-37</v>
      </c>
      <c r="L437">
        <v>-36</v>
      </c>
      <c r="M437">
        <v>-38</v>
      </c>
      <c r="N437">
        <v>10</v>
      </c>
      <c r="O437">
        <v>129109</v>
      </c>
      <c r="Q437">
        <v>113552</v>
      </c>
      <c r="R437">
        <v>583358</v>
      </c>
      <c r="S437">
        <v>496586</v>
      </c>
      <c r="T437">
        <v>1446273</v>
      </c>
      <c r="U437">
        <v>835742</v>
      </c>
      <c r="V437">
        <v>2158740</v>
      </c>
      <c r="W437">
        <v>1445880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6139</v>
      </c>
      <c r="AE437">
        <v>406</v>
      </c>
      <c r="AF437">
        <v>5733</v>
      </c>
      <c r="AG437" s="2">
        <v>6.6134549599999995E-2</v>
      </c>
      <c r="AH437" t="s">
        <v>33</v>
      </c>
      <c r="AI437" s="4">
        <v>6933</v>
      </c>
      <c r="AJ437" s="4">
        <v>401744</v>
      </c>
      <c r="AK437" s="4">
        <v>3723</v>
      </c>
      <c r="AL437" s="4">
        <v>3941</v>
      </c>
      <c r="AM437" s="4">
        <v>416341</v>
      </c>
      <c r="AN437" s="5">
        <f ca="1">IFERROR(__xludf.DUMMYFUNCTION("""COMPUTED_VALUE"""),42)</f>
        <v>42</v>
      </c>
    </row>
    <row r="438" spans="1:40" x14ac:dyDescent="0.35">
      <c r="A438" s="1">
        <v>437</v>
      </c>
      <c r="B438" s="7">
        <v>44327</v>
      </c>
      <c r="C438">
        <v>19</v>
      </c>
      <c r="D438">
        <v>630</v>
      </c>
      <c r="E438">
        <v>-233</v>
      </c>
      <c r="F438">
        <v>-10</v>
      </c>
      <c r="G438" s="5">
        <f ca="1">IFERROR(__xludf.DUMMYFUNCTION("""COMPUTED_VALUE"""),5021)</f>
        <v>5021</v>
      </c>
      <c r="H438" s="5">
        <f ca="1">IFERROR(__xludf.DUMMYFUNCTION("""COMPUTED_VALUE"""),406)</f>
        <v>406</v>
      </c>
      <c r="I438">
        <v>-14</v>
      </c>
      <c r="J438">
        <v>20</v>
      </c>
      <c r="K438">
        <v>-38</v>
      </c>
      <c r="L438">
        <v>-35</v>
      </c>
      <c r="M438">
        <v>-43</v>
      </c>
      <c r="N438">
        <v>10</v>
      </c>
      <c r="O438">
        <v>129269</v>
      </c>
      <c r="Q438">
        <v>113898</v>
      </c>
      <c r="R438">
        <v>583948</v>
      </c>
      <c r="S438">
        <v>499734</v>
      </c>
      <c r="T438">
        <v>1470603</v>
      </c>
      <c r="U438">
        <v>848188</v>
      </c>
      <c r="V438">
        <v>2183820</v>
      </c>
      <c r="W438">
        <v>1461820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8182</v>
      </c>
      <c r="AE438">
        <v>656</v>
      </c>
      <c r="AF438">
        <v>7526</v>
      </c>
      <c r="AG438" s="2">
        <v>8.0175996090000007E-2</v>
      </c>
      <c r="AH438" t="s">
        <v>33</v>
      </c>
      <c r="AI438" s="4">
        <v>6952</v>
      </c>
      <c r="AJ438" s="4">
        <v>402374</v>
      </c>
      <c r="AK438" s="4">
        <v>3490</v>
      </c>
      <c r="AL438" s="4">
        <v>3931</v>
      </c>
      <c r="AM438" s="4">
        <v>416747</v>
      </c>
      <c r="AN438" s="5">
        <f ca="1">IFERROR(__xludf.DUMMYFUNCTION("""COMPUTED_VALUE"""),-243)</f>
        <v>-243</v>
      </c>
    </row>
    <row r="439" spans="1:40" x14ac:dyDescent="0.35">
      <c r="A439" s="1">
        <v>438</v>
      </c>
      <c r="B439" s="7">
        <v>44328</v>
      </c>
      <c r="C439">
        <v>21</v>
      </c>
      <c r="D439">
        <v>665</v>
      </c>
      <c r="E439">
        <v>-88</v>
      </c>
      <c r="F439">
        <v>58</v>
      </c>
      <c r="G439" s="5">
        <f ca="1">IFERROR(__xludf.DUMMYFUNCTION("""COMPUTED_VALUE"""),4608)</f>
        <v>4608</v>
      </c>
      <c r="H439" s="5">
        <f ca="1">IFERROR(__xludf.DUMMYFUNCTION("""COMPUTED_VALUE"""),656)</f>
        <v>656</v>
      </c>
      <c r="I439">
        <v>-21</v>
      </c>
      <c r="J439">
        <v>19</v>
      </c>
      <c r="K439">
        <v>-35</v>
      </c>
      <c r="L439">
        <v>-46</v>
      </c>
      <c r="M439">
        <v>-67</v>
      </c>
      <c r="N439">
        <v>17</v>
      </c>
      <c r="O439">
        <v>129295</v>
      </c>
      <c r="Q439">
        <v>113947</v>
      </c>
      <c r="R439">
        <v>584003</v>
      </c>
      <c r="S439">
        <v>500318</v>
      </c>
      <c r="T439">
        <v>1474854</v>
      </c>
      <c r="U439">
        <v>855317</v>
      </c>
      <c r="V439">
        <v>2188152</v>
      </c>
      <c r="W439">
        <v>1469582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8229</v>
      </c>
      <c r="AE439">
        <v>785</v>
      </c>
      <c r="AF439">
        <v>7444</v>
      </c>
      <c r="AG439" s="2">
        <v>9.5394337100000004E-2</v>
      </c>
      <c r="AH439" t="s">
        <v>33</v>
      </c>
      <c r="AI439" s="4">
        <v>6973</v>
      </c>
      <c r="AJ439" s="4">
        <v>403039</v>
      </c>
      <c r="AK439" s="4">
        <v>3402</v>
      </c>
      <c r="AL439" s="4">
        <v>3989</v>
      </c>
      <c r="AM439" s="4">
        <v>417403</v>
      </c>
      <c r="AN439" s="5">
        <f ca="1">IFERROR(__xludf.DUMMYFUNCTION("""COMPUTED_VALUE"""),-30)</f>
        <v>-30</v>
      </c>
    </row>
    <row r="440" spans="1:40" x14ac:dyDescent="0.35">
      <c r="A440" s="1">
        <v>439</v>
      </c>
      <c r="B440" s="7">
        <v>44329</v>
      </c>
      <c r="C440">
        <v>0</v>
      </c>
      <c r="D440">
        <v>591</v>
      </c>
      <c r="E440">
        <v>228</v>
      </c>
      <c r="F440">
        <v>-34</v>
      </c>
      <c r="G440" s="5">
        <f ca="1">IFERROR(__xludf.DUMMYFUNCTION("""COMPUTED_VALUE"""),3448)</f>
        <v>3448</v>
      </c>
      <c r="H440" s="5">
        <f ca="1">IFERROR(__xludf.DUMMYFUNCTION("""COMPUTED_VALUE"""),785)</f>
        <v>785</v>
      </c>
      <c r="I440">
        <v>-34</v>
      </c>
      <c r="J440">
        <v>-13</v>
      </c>
      <c r="K440">
        <v>-28</v>
      </c>
      <c r="L440">
        <v>-56</v>
      </c>
      <c r="M440">
        <v>-75</v>
      </c>
      <c r="N440">
        <v>12</v>
      </c>
      <c r="O440">
        <v>129295</v>
      </c>
      <c r="Q440">
        <v>113948</v>
      </c>
      <c r="R440">
        <v>584004</v>
      </c>
      <c r="S440">
        <v>500337</v>
      </c>
      <c r="T440">
        <v>1475068</v>
      </c>
      <c r="U440">
        <v>855498</v>
      </c>
      <c r="V440">
        <v>2188367</v>
      </c>
      <c r="W440">
        <v>1469783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4590</v>
      </c>
      <c r="AE440">
        <v>632</v>
      </c>
      <c r="AF440">
        <v>3958</v>
      </c>
      <c r="AG440" s="2">
        <v>0.13769063179999999</v>
      </c>
      <c r="AH440" t="s">
        <v>33</v>
      </c>
      <c r="AI440" s="4">
        <v>6973</v>
      </c>
      <c r="AJ440" s="4">
        <v>403630</v>
      </c>
      <c r="AK440" s="4">
        <v>3630</v>
      </c>
      <c r="AL440" s="4">
        <v>3955</v>
      </c>
      <c r="AM440" s="4">
        <v>418188</v>
      </c>
      <c r="AN440" s="5">
        <f ca="1">IFERROR(__xludf.DUMMYFUNCTION("""COMPUTED_VALUE"""),194)</f>
        <v>194</v>
      </c>
    </row>
    <row r="441" spans="1:40" x14ac:dyDescent="0.35">
      <c r="A441" s="1">
        <v>440</v>
      </c>
      <c r="B441" s="7">
        <v>44330</v>
      </c>
      <c r="C441">
        <v>30</v>
      </c>
      <c r="D441">
        <v>557</v>
      </c>
      <c r="E441">
        <v>-128</v>
      </c>
      <c r="F441">
        <v>173</v>
      </c>
      <c r="G441" s="5">
        <f ca="1">IFERROR(__xludf.DUMMYFUNCTION("""COMPUTED_VALUE"""),2633)</f>
        <v>2633</v>
      </c>
      <c r="H441" s="5">
        <f ca="1">IFERROR(__xludf.DUMMYFUNCTION("""COMPUTED_VALUE"""),632)</f>
        <v>632</v>
      </c>
      <c r="I441">
        <v>-28</v>
      </c>
      <c r="J441">
        <v>-8</v>
      </c>
      <c r="K441">
        <v>-25</v>
      </c>
      <c r="L441">
        <v>-54</v>
      </c>
      <c r="M441">
        <v>-76</v>
      </c>
      <c r="N441">
        <v>16</v>
      </c>
      <c r="O441">
        <v>129295</v>
      </c>
      <c r="Q441">
        <v>113948</v>
      </c>
      <c r="R441">
        <v>584007</v>
      </c>
      <c r="S441">
        <v>500353</v>
      </c>
      <c r="T441">
        <v>1475317</v>
      </c>
      <c r="U441">
        <v>855736</v>
      </c>
      <c r="V441">
        <v>2188619</v>
      </c>
      <c r="W441">
        <v>1470037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4032</v>
      </c>
      <c r="AE441">
        <v>227</v>
      </c>
      <c r="AF441">
        <v>3805</v>
      </c>
      <c r="AG441" s="2">
        <v>5.6299603169999997E-2</v>
      </c>
      <c r="AH441" t="s">
        <v>33</v>
      </c>
      <c r="AI441" s="4">
        <v>7003</v>
      </c>
      <c r="AJ441" s="4">
        <v>404187</v>
      </c>
      <c r="AK441" s="4">
        <v>3502</v>
      </c>
      <c r="AL441" s="4">
        <v>4128</v>
      </c>
      <c r="AM441" s="4">
        <v>418820</v>
      </c>
      <c r="AN441" s="5">
        <f ca="1">IFERROR(__xludf.DUMMYFUNCTION("""COMPUTED_VALUE"""),45)</f>
        <v>45</v>
      </c>
    </row>
    <row r="442" spans="1:40" x14ac:dyDescent="0.35">
      <c r="A442" s="1">
        <v>441</v>
      </c>
      <c r="B442" s="7">
        <v>44331</v>
      </c>
      <c r="C442">
        <v>63</v>
      </c>
      <c r="D442">
        <v>528</v>
      </c>
      <c r="E442">
        <v>-214</v>
      </c>
      <c r="F442">
        <v>-150</v>
      </c>
      <c r="G442" s="5">
        <f ca="1">IFERROR(__xludf.DUMMYFUNCTION("""COMPUTED_VALUE"""),2385)</f>
        <v>2385</v>
      </c>
      <c r="H442" s="5">
        <f ca="1">IFERROR(__xludf.DUMMYFUNCTION("""COMPUTED_VALUE"""),227)</f>
        <v>227</v>
      </c>
      <c r="I442">
        <v>-27</v>
      </c>
      <c r="J442">
        <v>-5</v>
      </c>
      <c r="K442">
        <v>-40</v>
      </c>
      <c r="L442">
        <v>-37</v>
      </c>
      <c r="M442">
        <v>-49</v>
      </c>
      <c r="N442">
        <v>6</v>
      </c>
      <c r="O442">
        <v>129313</v>
      </c>
      <c r="Q442">
        <v>113974</v>
      </c>
      <c r="R442">
        <v>584099</v>
      </c>
      <c r="S442">
        <v>501780</v>
      </c>
      <c r="T442">
        <v>1477975</v>
      </c>
      <c r="U442">
        <v>862142</v>
      </c>
      <c r="V442">
        <v>2191387</v>
      </c>
      <c r="W442">
        <v>1477896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3580</v>
      </c>
      <c r="AE442">
        <v>161</v>
      </c>
      <c r="AF442">
        <v>3419</v>
      </c>
      <c r="AG442" s="2">
        <v>4.4972067040000001E-2</v>
      </c>
      <c r="AH442" t="s">
        <v>33</v>
      </c>
      <c r="AI442" s="4">
        <v>7066</v>
      </c>
      <c r="AJ442" s="4">
        <v>404715</v>
      </c>
      <c r="AK442" s="4">
        <v>3288</v>
      </c>
      <c r="AL442" s="4">
        <v>3978</v>
      </c>
      <c r="AM442" s="4">
        <v>419047</v>
      </c>
      <c r="AN442" s="5">
        <f ca="1">IFERROR(__xludf.DUMMYFUNCTION("""COMPUTED_VALUE"""),-364)</f>
        <v>-364</v>
      </c>
    </row>
    <row r="443" spans="1:40" x14ac:dyDescent="0.35">
      <c r="A443" s="1">
        <v>442</v>
      </c>
      <c r="B443" s="7">
        <v>44332</v>
      </c>
      <c r="C443">
        <v>16</v>
      </c>
      <c r="D443">
        <v>265</v>
      </c>
      <c r="E443">
        <v>-99</v>
      </c>
      <c r="F443">
        <v>-21</v>
      </c>
      <c r="G443" s="5">
        <f ca="1">IFERROR(__xludf.DUMMYFUNCTION("""COMPUTED_VALUE"""),3080)</f>
        <v>3080</v>
      </c>
      <c r="H443" s="5">
        <f ca="1">IFERROR(__xludf.DUMMYFUNCTION("""COMPUTED_VALUE"""),161)</f>
        <v>161</v>
      </c>
      <c r="I443">
        <v>-26</v>
      </c>
      <c r="J443">
        <v>-4</v>
      </c>
      <c r="K443">
        <v>-53</v>
      </c>
      <c r="L443">
        <v>-33</v>
      </c>
      <c r="M443">
        <v>-20</v>
      </c>
      <c r="N443">
        <v>4</v>
      </c>
      <c r="O443">
        <v>129318</v>
      </c>
      <c r="Q443">
        <v>113982</v>
      </c>
      <c r="R443">
        <v>584827</v>
      </c>
      <c r="S443">
        <v>502660</v>
      </c>
      <c r="T443">
        <v>1481782</v>
      </c>
      <c r="U443">
        <v>867073</v>
      </c>
      <c r="V443">
        <v>2195927</v>
      </c>
      <c r="W443">
        <v>1483715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4361</v>
      </c>
      <c r="AE443">
        <v>421</v>
      </c>
      <c r="AF443">
        <v>3940</v>
      </c>
      <c r="AG443" s="2">
        <v>9.6537491399999995E-2</v>
      </c>
      <c r="AH443" t="s">
        <v>33</v>
      </c>
      <c r="AI443" s="4">
        <v>7082</v>
      </c>
      <c r="AJ443" s="4">
        <v>404980</v>
      </c>
      <c r="AK443" s="4">
        <v>3189</v>
      </c>
      <c r="AL443" s="4">
        <v>3957</v>
      </c>
      <c r="AM443" s="4">
        <v>419208</v>
      </c>
      <c r="AN443" s="5">
        <f ca="1">IFERROR(__xludf.DUMMYFUNCTION("""COMPUTED_VALUE"""),-120)</f>
        <v>-120</v>
      </c>
    </row>
    <row r="444" spans="1:40" x14ac:dyDescent="0.35">
      <c r="A444" s="1">
        <v>443</v>
      </c>
      <c r="B444" s="7">
        <v>44333</v>
      </c>
      <c r="C444">
        <v>25</v>
      </c>
      <c r="D444">
        <v>249</v>
      </c>
      <c r="E444">
        <v>-31</v>
      </c>
      <c r="F444">
        <v>178</v>
      </c>
      <c r="G444" s="5">
        <f ca="1">IFERROR(__xludf.DUMMYFUNCTION("""COMPUTED_VALUE"""),4295)</f>
        <v>4295</v>
      </c>
      <c r="H444" s="5">
        <f ca="1">IFERROR(__xludf.DUMMYFUNCTION("""COMPUTED_VALUE"""),421)</f>
        <v>421</v>
      </c>
      <c r="I444">
        <v>-21</v>
      </c>
      <c r="J444">
        <v>3</v>
      </c>
      <c r="K444">
        <v>-45</v>
      </c>
      <c r="L444">
        <v>-40</v>
      </c>
      <c r="M444">
        <v>-40</v>
      </c>
      <c r="N444">
        <v>10</v>
      </c>
      <c r="O444">
        <v>129401</v>
      </c>
      <c r="Q444">
        <v>114352</v>
      </c>
      <c r="R444">
        <v>585577</v>
      </c>
      <c r="S444">
        <v>507155</v>
      </c>
      <c r="T444">
        <v>1490559</v>
      </c>
      <c r="U444">
        <v>888577</v>
      </c>
      <c r="V444">
        <v>2205537</v>
      </c>
      <c r="W444">
        <v>1510084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4131</v>
      </c>
      <c r="AE444">
        <v>291</v>
      </c>
      <c r="AF444">
        <v>3840</v>
      </c>
      <c r="AG444" s="2">
        <v>7.0442992009999997E-2</v>
      </c>
      <c r="AH444" t="s">
        <v>33</v>
      </c>
      <c r="AI444" s="4">
        <v>7107</v>
      </c>
      <c r="AJ444" s="4">
        <v>405229</v>
      </c>
      <c r="AK444" s="4">
        <v>3158</v>
      </c>
      <c r="AL444" s="4">
        <v>4135</v>
      </c>
      <c r="AM444" s="4">
        <v>419629</v>
      </c>
      <c r="AN444" s="5">
        <f ca="1">IFERROR(__xludf.DUMMYFUNCTION("""COMPUTED_VALUE"""),147)</f>
        <v>147</v>
      </c>
    </row>
    <row r="445" spans="1:40" x14ac:dyDescent="0.35">
      <c r="A445" s="1">
        <v>444</v>
      </c>
      <c r="B445" s="7">
        <v>44334</v>
      </c>
      <c r="C445">
        <v>23</v>
      </c>
      <c r="D445">
        <v>128</v>
      </c>
      <c r="E445">
        <v>90</v>
      </c>
      <c r="F445">
        <v>50</v>
      </c>
      <c r="G445" s="5">
        <f ca="1">IFERROR(__xludf.DUMMYFUNCTION("""COMPUTED_VALUE"""),4185)</f>
        <v>4185</v>
      </c>
      <c r="H445" s="5">
        <f ca="1">IFERROR(__xludf.DUMMYFUNCTION("""COMPUTED_VALUE"""),291)</f>
        <v>291</v>
      </c>
      <c r="I445">
        <v>-22</v>
      </c>
      <c r="J445">
        <v>1</v>
      </c>
      <c r="K445">
        <v>-44</v>
      </c>
      <c r="L445">
        <v>-34</v>
      </c>
      <c r="M445">
        <v>-39</v>
      </c>
      <c r="N445">
        <v>10</v>
      </c>
      <c r="O445">
        <v>129533</v>
      </c>
      <c r="Q445">
        <v>114701</v>
      </c>
      <c r="R445">
        <v>586347</v>
      </c>
      <c r="S445">
        <v>510664</v>
      </c>
      <c r="T445">
        <v>1507872</v>
      </c>
      <c r="U445">
        <v>915320</v>
      </c>
      <c r="V445">
        <v>2223752</v>
      </c>
      <c r="W445">
        <v>1540685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4494</v>
      </c>
      <c r="AE445">
        <v>539</v>
      </c>
      <c r="AF445">
        <v>3955</v>
      </c>
      <c r="AG445" s="2">
        <v>0.1199376947</v>
      </c>
      <c r="AH445" t="s">
        <v>33</v>
      </c>
      <c r="AI445" s="4">
        <v>7130</v>
      </c>
      <c r="AJ445" s="4">
        <v>405357</v>
      </c>
      <c r="AK445" s="4">
        <v>3248</v>
      </c>
      <c r="AL445" s="4">
        <v>4185</v>
      </c>
      <c r="AM445" s="4">
        <v>419920</v>
      </c>
      <c r="AN445" s="5">
        <f ca="1">IFERROR(__xludf.DUMMYFUNCTION("""COMPUTED_VALUE"""),140)</f>
        <v>140</v>
      </c>
    </row>
    <row r="446" spans="1:40" x14ac:dyDescent="0.35">
      <c r="A446" s="1">
        <v>445</v>
      </c>
      <c r="B446" s="7">
        <v>44335</v>
      </c>
      <c r="C446">
        <v>19</v>
      </c>
      <c r="D446">
        <v>178</v>
      </c>
      <c r="E446">
        <v>118</v>
      </c>
      <c r="F446">
        <v>224</v>
      </c>
      <c r="G446" s="5">
        <f ca="1">IFERROR(__xludf.DUMMYFUNCTION("""COMPUTED_VALUE"""),4871)</f>
        <v>4871</v>
      </c>
      <c r="H446" s="5">
        <f ca="1">IFERROR(__xludf.DUMMYFUNCTION("""COMPUTED_VALUE"""),539)</f>
        <v>539</v>
      </c>
      <c r="I446">
        <v>-21</v>
      </c>
      <c r="J446">
        <v>2</v>
      </c>
      <c r="K446">
        <v>-43</v>
      </c>
      <c r="L446">
        <v>-33</v>
      </c>
      <c r="M446">
        <v>-35</v>
      </c>
      <c r="N446">
        <v>9</v>
      </c>
      <c r="O446">
        <v>129714</v>
      </c>
      <c r="Q446">
        <v>115004</v>
      </c>
      <c r="R446">
        <v>587128</v>
      </c>
      <c r="S446">
        <v>514002</v>
      </c>
      <c r="T446">
        <v>1531144</v>
      </c>
      <c r="U446">
        <v>937777</v>
      </c>
      <c r="V446">
        <v>2247986</v>
      </c>
      <c r="W446">
        <v>1566783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8307</v>
      </c>
      <c r="AE446">
        <v>895</v>
      </c>
      <c r="AF446">
        <v>7412</v>
      </c>
      <c r="AG446" s="2">
        <v>0.1077404599</v>
      </c>
      <c r="AH446" t="s">
        <v>33</v>
      </c>
      <c r="AI446" s="4">
        <v>7149</v>
      </c>
      <c r="AJ446" s="4">
        <v>405535</v>
      </c>
      <c r="AK446" s="4">
        <v>3366</v>
      </c>
      <c r="AL446" s="4">
        <v>4409</v>
      </c>
      <c r="AM446" s="4">
        <v>420459</v>
      </c>
      <c r="AN446" s="5">
        <f ca="1">IFERROR(__xludf.DUMMYFUNCTION("""COMPUTED_VALUE"""),342)</f>
        <v>342</v>
      </c>
    </row>
    <row r="447" spans="1:40" x14ac:dyDescent="0.35">
      <c r="A447" s="1">
        <v>446</v>
      </c>
      <c r="B447" s="7">
        <v>44336</v>
      </c>
      <c r="C447">
        <v>20</v>
      </c>
      <c r="D447">
        <v>179</v>
      </c>
      <c r="E447">
        <v>431</v>
      </c>
      <c r="F447">
        <v>265</v>
      </c>
      <c r="G447" s="5">
        <f ca="1">IFERROR(__xludf.DUMMYFUNCTION("""COMPUTED_VALUE"""),5797)</f>
        <v>5797</v>
      </c>
      <c r="H447" s="5">
        <f ca="1">IFERROR(__xludf.DUMMYFUNCTION("""COMPUTED_VALUE"""),895)</f>
        <v>895</v>
      </c>
      <c r="I447">
        <v>-21</v>
      </c>
      <c r="J447">
        <v>3</v>
      </c>
      <c r="K447">
        <v>-40</v>
      </c>
      <c r="L447">
        <v>-37</v>
      </c>
      <c r="M447">
        <v>-32</v>
      </c>
      <c r="N447">
        <v>9</v>
      </c>
      <c r="O447">
        <v>129893</v>
      </c>
      <c r="Q447">
        <v>115301</v>
      </c>
      <c r="R447">
        <v>587816</v>
      </c>
      <c r="S447">
        <v>517660</v>
      </c>
      <c r="T447">
        <v>1557616</v>
      </c>
      <c r="U447">
        <v>966272</v>
      </c>
      <c r="V447">
        <v>2275325</v>
      </c>
      <c r="W447">
        <v>1599233</v>
      </c>
      <c r="X447">
        <v>0</v>
      </c>
      <c r="Y447">
        <v>0</v>
      </c>
      <c r="Z447">
        <v>0</v>
      </c>
      <c r="AA447">
        <v>0</v>
      </c>
      <c r="AB447">
        <v>1045</v>
      </c>
      <c r="AC447">
        <v>0</v>
      </c>
      <c r="AD447">
        <v>8168</v>
      </c>
      <c r="AE447">
        <v>856</v>
      </c>
      <c r="AF447">
        <v>7312</v>
      </c>
      <c r="AG447" s="2">
        <v>0.1047992165</v>
      </c>
      <c r="AH447" t="s">
        <v>33</v>
      </c>
      <c r="AI447" s="4">
        <v>7169</v>
      </c>
      <c r="AJ447" s="4">
        <v>405714</v>
      </c>
      <c r="AK447" s="4">
        <v>3797</v>
      </c>
      <c r="AL447" s="4">
        <v>4674</v>
      </c>
      <c r="AM447" s="4">
        <v>421354</v>
      </c>
      <c r="AN447" s="5">
        <f ca="1">IFERROR(__xludf.DUMMYFUNCTION("""COMPUTED_VALUE"""),696)</f>
        <v>696</v>
      </c>
    </row>
    <row r="448" spans="1:40" x14ac:dyDescent="0.35">
      <c r="A448" s="1">
        <v>447</v>
      </c>
      <c r="B448" s="7">
        <v>44337</v>
      </c>
      <c r="C448">
        <v>15</v>
      </c>
      <c r="D448">
        <v>204</v>
      </c>
      <c r="E448">
        <v>345</v>
      </c>
      <c r="F448">
        <v>292</v>
      </c>
      <c r="G448" s="5">
        <f ca="1">IFERROR(__xludf.DUMMYFUNCTION("""COMPUTED_VALUE"""),5746)</f>
        <v>5746</v>
      </c>
      <c r="H448" s="5">
        <f ca="1">IFERROR(__xludf.DUMMYFUNCTION("""COMPUTED_VALUE"""),856)</f>
        <v>856</v>
      </c>
      <c r="I448">
        <v>-20</v>
      </c>
      <c r="J448">
        <v>0</v>
      </c>
      <c r="K448">
        <v>-39</v>
      </c>
      <c r="L448">
        <v>-35</v>
      </c>
      <c r="M448">
        <v>-30</v>
      </c>
      <c r="N448">
        <v>11</v>
      </c>
      <c r="O448">
        <v>130014</v>
      </c>
      <c r="Q448">
        <v>115625</v>
      </c>
      <c r="R448">
        <v>588442</v>
      </c>
      <c r="S448">
        <v>520855</v>
      </c>
      <c r="T448">
        <v>1584442</v>
      </c>
      <c r="U448">
        <v>990835</v>
      </c>
      <c r="V448">
        <v>2302898</v>
      </c>
      <c r="W448">
        <v>1627315</v>
      </c>
      <c r="X448">
        <v>0</v>
      </c>
      <c r="Y448">
        <v>0</v>
      </c>
      <c r="Z448">
        <v>0</v>
      </c>
      <c r="AA448">
        <v>0</v>
      </c>
      <c r="AB448">
        <v>2411</v>
      </c>
      <c r="AC448">
        <v>0</v>
      </c>
      <c r="AD448">
        <v>14265</v>
      </c>
      <c r="AE448">
        <v>932</v>
      </c>
      <c r="AF448">
        <v>13333</v>
      </c>
      <c r="AG448" s="2">
        <v>6.5334735369999994E-2</v>
      </c>
      <c r="AH448" t="s">
        <v>33</v>
      </c>
      <c r="AI448" s="4">
        <v>7184</v>
      </c>
      <c r="AJ448" s="4">
        <v>405918</v>
      </c>
      <c r="AK448" s="4">
        <v>4142</v>
      </c>
      <c r="AL448" s="4">
        <v>4966</v>
      </c>
      <c r="AM448" s="4">
        <v>422210</v>
      </c>
      <c r="AN448" s="5">
        <f ca="1">IFERROR(__xludf.DUMMYFUNCTION("""COMPUTED_VALUE"""),637)</f>
        <v>637</v>
      </c>
    </row>
    <row r="449" spans="1:40" x14ac:dyDescent="0.35">
      <c r="A449" s="1">
        <v>448</v>
      </c>
      <c r="B449" s="7">
        <v>44338</v>
      </c>
      <c r="C449">
        <v>12</v>
      </c>
      <c r="D449">
        <v>382</v>
      </c>
      <c r="E449">
        <v>244</v>
      </c>
      <c r="F449">
        <v>294</v>
      </c>
      <c r="G449" s="5">
        <f ca="1">IFERROR(__xludf.DUMMYFUNCTION("""COMPUTED_VALUE"""),5296)</f>
        <v>5296</v>
      </c>
      <c r="H449" s="5">
        <f ca="1">IFERROR(__xludf.DUMMYFUNCTION("""COMPUTED_VALUE"""),932)</f>
        <v>932</v>
      </c>
      <c r="I449">
        <v>-23</v>
      </c>
      <c r="J449">
        <v>2</v>
      </c>
      <c r="K449">
        <v>-45</v>
      </c>
      <c r="L449">
        <v>-27</v>
      </c>
      <c r="M449">
        <v>-19</v>
      </c>
      <c r="N449">
        <v>6</v>
      </c>
      <c r="O449">
        <v>130055</v>
      </c>
      <c r="Q449">
        <v>115679</v>
      </c>
      <c r="R449">
        <v>588873</v>
      </c>
      <c r="S449">
        <v>521910</v>
      </c>
      <c r="T449">
        <v>1597118</v>
      </c>
      <c r="U449">
        <v>1007097</v>
      </c>
      <c r="V449">
        <v>2316046</v>
      </c>
      <c r="W449">
        <v>1644686</v>
      </c>
      <c r="X449">
        <v>0</v>
      </c>
      <c r="Y449">
        <v>0</v>
      </c>
      <c r="Z449">
        <v>0</v>
      </c>
      <c r="AA449">
        <v>0</v>
      </c>
      <c r="AB449">
        <v>3289</v>
      </c>
      <c r="AC449">
        <v>0</v>
      </c>
      <c r="AD449">
        <v>8669</v>
      </c>
      <c r="AE449">
        <v>867</v>
      </c>
      <c r="AF449">
        <v>7802</v>
      </c>
      <c r="AG449" s="2">
        <v>0.1000115354</v>
      </c>
      <c r="AH449" t="s">
        <v>33</v>
      </c>
      <c r="AI449" s="4">
        <v>7196</v>
      </c>
      <c r="AJ449" s="4">
        <v>406300</v>
      </c>
      <c r="AK449" s="4">
        <v>4386</v>
      </c>
      <c r="AL449" s="4">
        <v>5260</v>
      </c>
      <c r="AM449" s="4">
        <v>423142</v>
      </c>
      <c r="AN449" s="5">
        <f ca="1">IFERROR(__xludf.DUMMYFUNCTION("""COMPUTED_VALUE"""),538)</f>
        <v>538</v>
      </c>
    </row>
    <row r="450" spans="1:40" x14ac:dyDescent="0.35">
      <c r="A450" s="1">
        <v>449</v>
      </c>
      <c r="B450" s="7">
        <v>44339</v>
      </c>
      <c r="C450">
        <v>11</v>
      </c>
      <c r="D450">
        <v>369</v>
      </c>
      <c r="E450">
        <v>358</v>
      </c>
      <c r="F450">
        <v>129</v>
      </c>
      <c r="G450" s="5">
        <f ca="1">IFERROR(__xludf.DUMMYFUNCTION("""COMPUTED_VALUE"""),5280)</f>
        <v>5280</v>
      </c>
      <c r="H450" s="5">
        <f ca="1">IFERROR(__xludf.DUMMYFUNCTION("""COMPUTED_VALUE"""),867)</f>
        <v>867</v>
      </c>
      <c r="I450">
        <v>-24</v>
      </c>
      <c r="J450">
        <v>0</v>
      </c>
      <c r="K450">
        <v>-50</v>
      </c>
      <c r="L450">
        <v>-26</v>
      </c>
      <c r="M450">
        <v>-10</v>
      </c>
      <c r="N450">
        <v>6</v>
      </c>
      <c r="O450">
        <v>130055</v>
      </c>
      <c r="Q450">
        <v>115685</v>
      </c>
      <c r="R450">
        <v>589306</v>
      </c>
      <c r="S450">
        <v>522510</v>
      </c>
      <c r="T450">
        <v>1605233</v>
      </c>
      <c r="U450">
        <v>1018653</v>
      </c>
      <c r="V450">
        <v>2324594</v>
      </c>
      <c r="W450">
        <v>1656848</v>
      </c>
      <c r="X450">
        <v>0</v>
      </c>
      <c r="Y450">
        <v>0</v>
      </c>
      <c r="Z450">
        <v>0</v>
      </c>
      <c r="AA450">
        <v>0</v>
      </c>
      <c r="AB450">
        <v>4753</v>
      </c>
      <c r="AC450">
        <v>0</v>
      </c>
      <c r="AD450">
        <v>8361</v>
      </c>
      <c r="AE450">
        <v>819</v>
      </c>
      <c r="AF450">
        <v>7542</v>
      </c>
      <c r="AG450" s="2">
        <v>9.7954790099999994E-2</v>
      </c>
      <c r="AH450" t="s">
        <v>33</v>
      </c>
      <c r="AI450" s="4">
        <v>7207</v>
      </c>
      <c r="AJ450" s="4">
        <v>406669</v>
      </c>
      <c r="AK450" s="4">
        <v>4744</v>
      </c>
      <c r="AL450" s="4">
        <v>5389</v>
      </c>
      <c r="AM450" s="4">
        <v>424009</v>
      </c>
      <c r="AN450" s="5">
        <f ca="1">IFERROR(__xludf.DUMMYFUNCTION("""COMPUTED_VALUE"""),487)</f>
        <v>487</v>
      </c>
    </row>
    <row r="451" spans="1:40" x14ac:dyDescent="0.35">
      <c r="A451" s="1">
        <v>450</v>
      </c>
      <c r="B451" s="7">
        <v>44340</v>
      </c>
      <c r="C451">
        <v>18</v>
      </c>
      <c r="D451">
        <v>318</v>
      </c>
      <c r="E451">
        <v>335</v>
      </c>
      <c r="F451">
        <v>148</v>
      </c>
      <c r="G451" s="5">
        <f ca="1">IFERROR(__xludf.DUMMYFUNCTION("""COMPUTED_VALUE"""),5907)</f>
        <v>5907</v>
      </c>
      <c r="H451" s="5">
        <f ca="1">IFERROR(__xludf.DUMMYFUNCTION("""COMPUTED_VALUE"""),819)</f>
        <v>819</v>
      </c>
      <c r="I451">
        <v>-23</v>
      </c>
      <c r="J451">
        <v>-2</v>
      </c>
      <c r="K451">
        <v>-45</v>
      </c>
      <c r="L451">
        <v>-33</v>
      </c>
      <c r="M451">
        <v>-29</v>
      </c>
      <c r="N451">
        <v>10</v>
      </c>
      <c r="O451">
        <v>130064</v>
      </c>
      <c r="Q451">
        <v>115709</v>
      </c>
      <c r="R451">
        <v>589583</v>
      </c>
      <c r="S451">
        <v>523390</v>
      </c>
      <c r="T451">
        <v>1609867</v>
      </c>
      <c r="U451">
        <v>1024668</v>
      </c>
      <c r="V451">
        <v>2329514</v>
      </c>
      <c r="W451">
        <v>1663767</v>
      </c>
      <c r="X451">
        <v>0</v>
      </c>
      <c r="Y451">
        <v>0</v>
      </c>
      <c r="Z451">
        <v>0</v>
      </c>
      <c r="AA451">
        <v>0</v>
      </c>
      <c r="AB451">
        <v>5129</v>
      </c>
      <c r="AC451">
        <v>0</v>
      </c>
      <c r="AD451">
        <v>9341</v>
      </c>
      <c r="AE451">
        <v>384</v>
      </c>
      <c r="AF451">
        <v>8957</v>
      </c>
      <c r="AG451" s="2">
        <v>4.1109088959999998E-2</v>
      </c>
      <c r="AH451" t="s">
        <v>33</v>
      </c>
      <c r="AI451" s="4">
        <v>7225</v>
      </c>
      <c r="AJ451" s="4">
        <v>406987</v>
      </c>
      <c r="AK451" s="4">
        <v>5079</v>
      </c>
      <c r="AL451" s="4">
        <v>5537</v>
      </c>
      <c r="AM451" s="4">
        <v>424828</v>
      </c>
      <c r="AN451" s="5">
        <f ca="1">IFERROR(__xludf.DUMMYFUNCTION("""COMPUTED_VALUE"""),483)</f>
        <v>483</v>
      </c>
    </row>
    <row r="452" spans="1:40" x14ac:dyDescent="0.35">
      <c r="A452" s="1">
        <v>451</v>
      </c>
      <c r="B452" s="7">
        <v>44341</v>
      </c>
      <c r="C452">
        <v>14</v>
      </c>
      <c r="D452">
        <v>506</v>
      </c>
      <c r="E452">
        <v>-62</v>
      </c>
      <c r="F452">
        <v>-74</v>
      </c>
      <c r="G452" s="5">
        <f ca="1">IFERROR(__xludf.DUMMYFUNCTION("""COMPUTED_VALUE"""),5060)</f>
        <v>5060</v>
      </c>
      <c r="H452" s="5">
        <f ca="1">IFERROR(__xludf.DUMMYFUNCTION("""COMPUTED_VALUE"""),384)</f>
        <v>384</v>
      </c>
      <c r="I452">
        <v>-17</v>
      </c>
      <c r="J452">
        <v>9</v>
      </c>
      <c r="K452">
        <v>-41</v>
      </c>
      <c r="L452">
        <v>-29</v>
      </c>
      <c r="M452">
        <v>-30</v>
      </c>
      <c r="N452">
        <v>8</v>
      </c>
      <c r="O452">
        <v>130238</v>
      </c>
      <c r="Q452">
        <v>116082</v>
      </c>
      <c r="R452">
        <v>590267</v>
      </c>
      <c r="S452">
        <v>526945</v>
      </c>
      <c r="T452">
        <v>1652727</v>
      </c>
      <c r="U452">
        <v>1061588</v>
      </c>
      <c r="V452">
        <v>2373232</v>
      </c>
      <c r="W452">
        <v>1704615</v>
      </c>
      <c r="X452">
        <v>0</v>
      </c>
      <c r="Y452">
        <v>0</v>
      </c>
      <c r="Z452">
        <v>0</v>
      </c>
      <c r="AA452">
        <v>0</v>
      </c>
      <c r="AB452">
        <v>7222</v>
      </c>
      <c r="AC452">
        <v>0</v>
      </c>
      <c r="AD452">
        <v>13768</v>
      </c>
      <c r="AE452">
        <v>617</v>
      </c>
      <c r="AF452">
        <v>13151</v>
      </c>
      <c r="AG452" s="2">
        <v>4.4814061590000002E-2</v>
      </c>
      <c r="AH452" t="s">
        <v>33</v>
      </c>
      <c r="AI452" s="4">
        <v>7239</v>
      </c>
      <c r="AJ452" s="4">
        <v>407493</v>
      </c>
      <c r="AK452" s="4">
        <v>5017</v>
      </c>
      <c r="AL452" s="4">
        <v>5463</v>
      </c>
      <c r="AM452" s="4">
        <v>425212</v>
      </c>
      <c r="AN452" s="5">
        <f ca="1">IFERROR(__xludf.DUMMYFUNCTION("""COMPUTED_VALUE"""),-136)</f>
        <v>-136</v>
      </c>
    </row>
    <row r="453" spans="1:40" x14ac:dyDescent="0.35">
      <c r="A453" s="1">
        <v>452</v>
      </c>
      <c r="B453" s="7">
        <v>44342</v>
      </c>
      <c r="C453">
        <v>11</v>
      </c>
      <c r="D453">
        <v>526</v>
      </c>
      <c r="E453">
        <v>-24</v>
      </c>
      <c r="F453">
        <v>104</v>
      </c>
      <c r="G453" s="5">
        <f ca="1">IFERROR(__xludf.DUMMYFUNCTION("""COMPUTED_VALUE"""),5034)</f>
        <v>5034</v>
      </c>
      <c r="H453" s="5">
        <f ca="1">IFERROR(__xludf.DUMMYFUNCTION("""COMPUTED_VALUE"""),617)</f>
        <v>617</v>
      </c>
      <c r="I453">
        <v>-16</v>
      </c>
      <c r="J453">
        <v>4</v>
      </c>
      <c r="K453">
        <v>-31</v>
      </c>
      <c r="L453">
        <v>-42</v>
      </c>
      <c r="M453">
        <v>-65</v>
      </c>
      <c r="N453">
        <v>16</v>
      </c>
      <c r="O453">
        <v>130312</v>
      </c>
      <c r="Q453">
        <v>116230</v>
      </c>
      <c r="R453">
        <v>591012</v>
      </c>
      <c r="S453">
        <v>528669</v>
      </c>
      <c r="T453">
        <v>1676765</v>
      </c>
      <c r="U453">
        <v>1087265</v>
      </c>
      <c r="V453">
        <v>2398089</v>
      </c>
      <c r="W453">
        <v>1732164</v>
      </c>
      <c r="X453">
        <v>0</v>
      </c>
      <c r="Y453">
        <v>0</v>
      </c>
      <c r="Z453">
        <v>0</v>
      </c>
      <c r="AA453">
        <v>0</v>
      </c>
      <c r="AB453">
        <v>8274</v>
      </c>
      <c r="AC453">
        <v>0</v>
      </c>
      <c r="AD453">
        <v>8524</v>
      </c>
      <c r="AE453">
        <v>940</v>
      </c>
      <c r="AF453">
        <v>7584</v>
      </c>
      <c r="AG453" s="2">
        <v>0.1102768653</v>
      </c>
      <c r="AH453" t="s">
        <v>33</v>
      </c>
      <c r="AI453" s="4">
        <v>7250</v>
      </c>
      <c r="AJ453" s="4">
        <v>408019</v>
      </c>
      <c r="AK453" s="4">
        <v>4993</v>
      </c>
      <c r="AL453" s="4">
        <v>5567</v>
      </c>
      <c r="AM453" s="4">
        <v>425829</v>
      </c>
      <c r="AN453" s="5">
        <f ca="1">IFERROR(__xludf.DUMMYFUNCTION("""COMPUTED_VALUE"""),80)</f>
        <v>80</v>
      </c>
    </row>
    <row r="454" spans="1:40" x14ac:dyDescent="0.35">
      <c r="A454" s="1">
        <v>453</v>
      </c>
      <c r="B454" s="7">
        <v>44343</v>
      </c>
      <c r="C454">
        <v>21</v>
      </c>
      <c r="D454">
        <v>566</v>
      </c>
      <c r="E454">
        <v>287</v>
      </c>
      <c r="F454">
        <v>66</v>
      </c>
      <c r="G454" s="5">
        <f ca="1">IFERROR(__xludf.DUMMYFUNCTION("""COMPUTED_VALUE"""),6278)</f>
        <v>6278</v>
      </c>
      <c r="H454" s="5">
        <f ca="1">IFERROR(__xludf.DUMMYFUNCTION("""COMPUTED_VALUE"""),940)</f>
        <v>940</v>
      </c>
      <c r="I454">
        <v>-19</v>
      </c>
      <c r="J454">
        <v>4</v>
      </c>
      <c r="K454">
        <v>-39</v>
      </c>
      <c r="L454">
        <v>-32</v>
      </c>
      <c r="M454">
        <v>-29</v>
      </c>
      <c r="N454">
        <v>9</v>
      </c>
      <c r="O454">
        <v>130439</v>
      </c>
      <c r="Q454">
        <v>116619</v>
      </c>
      <c r="R454">
        <v>591661</v>
      </c>
      <c r="S454">
        <v>531718</v>
      </c>
      <c r="T454">
        <v>1707434</v>
      </c>
      <c r="U454">
        <v>1121955</v>
      </c>
      <c r="V454">
        <v>2429534</v>
      </c>
      <c r="W454">
        <v>1770292</v>
      </c>
      <c r="X454">
        <v>0</v>
      </c>
      <c r="Y454">
        <v>0</v>
      </c>
      <c r="Z454">
        <v>0</v>
      </c>
      <c r="AA454">
        <v>0</v>
      </c>
      <c r="AB454">
        <v>11100</v>
      </c>
      <c r="AC454">
        <v>0</v>
      </c>
      <c r="AD454">
        <v>9599</v>
      </c>
      <c r="AE454">
        <v>693</v>
      </c>
      <c r="AF454">
        <v>8906</v>
      </c>
      <c r="AG454" s="2">
        <v>7.2195020309999997E-2</v>
      </c>
      <c r="AH454" t="s">
        <v>33</v>
      </c>
      <c r="AI454" s="4">
        <v>7271</v>
      </c>
      <c r="AJ454" s="4">
        <v>408585</v>
      </c>
      <c r="AK454" s="4">
        <v>5280</v>
      </c>
      <c r="AL454" s="4">
        <v>5633</v>
      </c>
      <c r="AM454" s="4">
        <v>426769</v>
      </c>
      <c r="AN454" s="5">
        <f ca="1">IFERROR(__xludf.DUMMYFUNCTION("""COMPUTED_VALUE"""),353)</f>
        <v>353</v>
      </c>
    </row>
    <row r="455" spans="1:40" x14ac:dyDescent="0.35">
      <c r="A455" s="1">
        <v>454</v>
      </c>
      <c r="B455" s="7">
        <v>44344</v>
      </c>
      <c r="C455">
        <v>17</v>
      </c>
      <c r="D455">
        <v>912</v>
      </c>
      <c r="E455">
        <v>-119</v>
      </c>
      <c r="F455">
        <v>-117</v>
      </c>
      <c r="G455" s="5">
        <f ca="1">IFERROR(__xludf.DUMMYFUNCTION("""COMPUTED_VALUE"""),5862)</f>
        <v>5862</v>
      </c>
      <c r="H455" s="5">
        <f ca="1">IFERROR(__xludf.DUMMYFUNCTION("""COMPUTED_VALUE"""),693)</f>
        <v>693</v>
      </c>
      <c r="I455">
        <v>-14</v>
      </c>
      <c r="J455">
        <v>10</v>
      </c>
      <c r="K455">
        <v>-33</v>
      </c>
      <c r="L455">
        <v>-31</v>
      </c>
      <c r="M455">
        <v>-27</v>
      </c>
      <c r="N455">
        <v>10</v>
      </c>
      <c r="O455">
        <v>133442</v>
      </c>
      <c r="Q455">
        <v>119578</v>
      </c>
      <c r="R455">
        <v>591661</v>
      </c>
      <c r="S455">
        <v>531718</v>
      </c>
      <c r="T455">
        <v>1707434</v>
      </c>
      <c r="U455">
        <v>1121955</v>
      </c>
      <c r="V455">
        <v>2432537</v>
      </c>
      <c r="W455">
        <v>1773251</v>
      </c>
      <c r="X455">
        <v>0</v>
      </c>
      <c r="Y455">
        <v>0</v>
      </c>
      <c r="Z455">
        <v>0</v>
      </c>
      <c r="AA455">
        <v>0</v>
      </c>
      <c r="AB455">
        <v>12027</v>
      </c>
      <c r="AC455">
        <v>0</v>
      </c>
      <c r="AD455">
        <v>13247</v>
      </c>
      <c r="AE455">
        <v>807</v>
      </c>
      <c r="AF455">
        <v>12440</v>
      </c>
      <c r="AG455" s="2">
        <v>6.0919453460000002E-2</v>
      </c>
      <c r="AH455" t="s">
        <v>33</v>
      </c>
      <c r="AI455" s="4">
        <v>7288</v>
      </c>
      <c r="AJ455" s="4">
        <v>409497</v>
      </c>
      <c r="AK455" s="4">
        <v>5161</v>
      </c>
      <c r="AL455" s="4">
        <v>5516</v>
      </c>
      <c r="AM455" s="4">
        <v>427462</v>
      </c>
      <c r="AN455" s="5">
        <f ca="1">IFERROR(__xludf.DUMMYFUNCTION("""COMPUTED_VALUE"""),-236)</f>
        <v>-236</v>
      </c>
    </row>
    <row r="456" spans="1:40" x14ac:dyDescent="0.35">
      <c r="A456" s="1">
        <v>455</v>
      </c>
      <c r="B456" s="7">
        <v>44345</v>
      </c>
      <c r="C456">
        <v>8</v>
      </c>
      <c r="D456">
        <v>1011</v>
      </c>
      <c r="E456">
        <v>-157</v>
      </c>
      <c r="F456">
        <v>-55</v>
      </c>
      <c r="G456" s="5">
        <f ca="1">IFERROR(__xludf.DUMMYFUNCTION("""COMPUTED_VALUE"""),6565)</f>
        <v>6565</v>
      </c>
      <c r="H456" s="5">
        <f ca="1">IFERROR(__xludf.DUMMYFUNCTION("""COMPUTED_VALUE"""),807)</f>
        <v>807</v>
      </c>
      <c r="I456">
        <v>-24</v>
      </c>
      <c r="J456">
        <v>0</v>
      </c>
      <c r="K456">
        <v>-48</v>
      </c>
      <c r="L456">
        <v>-28</v>
      </c>
      <c r="M456">
        <v>-17</v>
      </c>
      <c r="N456">
        <v>6</v>
      </c>
      <c r="O456">
        <v>133442</v>
      </c>
      <c r="Q456">
        <v>119578</v>
      </c>
      <c r="R456">
        <v>591661</v>
      </c>
      <c r="S456">
        <v>531718</v>
      </c>
      <c r="T456">
        <v>1707434</v>
      </c>
      <c r="U456">
        <v>1121955</v>
      </c>
      <c r="V456">
        <v>2432537</v>
      </c>
      <c r="W456">
        <v>1773251</v>
      </c>
      <c r="X456">
        <v>0</v>
      </c>
      <c r="Y456">
        <v>0</v>
      </c>
      <c r="Z456">
        <v>0</v>
      </c>
      <c r="AA456">
        <v>0</v>
      </c>
      <c r="AB456">
        <v>12538</v>
      </c>
      <c r="AC456">
        <v>0</v>
      </c>
      <c r="AD456">
        <v>10573</v>
      </c>
      <c r="AE456">
        <v>1064</v>
      </c>
      <c r="AF456">
        <v>9509</v>
      </c>
      <c r="AG456" s="2">
        <v>0.10063368960000001</v>
      </c>
      <c r="AH456" t="s">
        <v>33</v>
      </c>
      <c r="AI456" s="4">
        <v>7296</v>
      </c>
      <c r="AJ456" s="4">
        <v>410508</v>
      </c>
      <c r="AK456" s="4">
        <v>5004</v>
      </c>
      <c r="AL456" s="4">
        <v>5461</v>
      </c>
      <c r="AM456" s="4">
        <v>428269</v>
      </c>
      <c r="AN456" s="5">
        <f ca="1">IFERROR(__xludf.DUMMYFUNCTION("""COMPUTED_VALUE"""),-212)</f>
        <v>-212</v>
      </c>
    </row>
    <row r="457" spans="1:40" x14ac:dyDescent="0.35">
      <c r="A457" s="1">
        <v>456</v>
      </c>
      <c r="B457" s="7">
        <v>44346</v>
      </c>
      <c r="C457">
        <v>13</v>
      </c>
      <c r="D457">
        <v>987</v>
      </c>
      <c r="E457">
        <v>96</v>
      </c>
      <c r="F457">
        <v>-32</v>
      </c>
      <c r="G457" s="5">
        <f ca="1">IFERROR(__xludf.DUMMYFUNCTION("""COMPUTED_VALUE"""),6115)</f>
        <v>6115</v>
      </c>
      <c r="H457" s="5">
        <f ca="1">IFERROR(__xludf.DUMMYFUNCTION("""COMPUTED_VALUE"""),1064)</f>
        <v>1064</v>
      </c>
      <c r="I457">
        <v>-19</v>
      </c>
      <c r="J457">
        <v>6</v>
      </c>
      <c r="K457">
        <v>-46</v>
      </c>
      <c r="L457">
        <v>-24</v>
      </c>
      <c r="M457">
        <v>-10</v>
      </c>
      <c r="N457">
        <v>4</v>
      </c>
      <c r="O457">
        <v>133466</v>
      </c>
      <c r="Q457">
        <v>119600</v>
      </c>
      <c r="R457">
        <v>591661</v>
      </c>
      <c r="S457">
        <v>531718</v>
      </c>
      <c r="T457">
        <v>1707434</v>
      </c>
      <c r="U457">
        <v>1124013</v>
      </c>
      <c r="V457">
        <v>2432561</v>
      </c>
      <c r="W457">
        <v>1775331</v>
      </c>
      <c r="X457">
        <v>0</v>
      </c>
      <c r="Y457">
        <v>0</v>
      </c>
      <c r="Z457">
        <v>0</v>
      </c>
      <c r="AA457">
        <v>0</v>
      </c>
      <c r="AB457">
        <v>12673</v>
      </c>
      <c r="AC457">
        <v>0</v>
      </c>
      <c r="AD457">
        <v>7322</v>
      </c>
      <c r="AE457">
        <v>726</v>
      </c>
      <c r="AF457">
        <v>6596</v>
      </c>
      <c r="AG457" s="2">
        <v>9.9153236820000004E-2</v>
      </c>
      <c r="AH457" t="s">
        <v>33</v>
      </c>
      <c r="AI457" s="4">
        <v>7309</v>
      </c>
      <c r="AJ457" s="4">
        <v>411495</v>
      </c>
      <c r="AK457" s="4">
        <v>5100</v>
      </c>
      <c r="AL457" s="4">
        <v>5429</v>
      </c>
      <c r="AM457" s="4">
        <v>429333</v>
      </c>
      <c r="AN457" s="5">
        <f ca="1">IFERROR(__xludf.DUMMYFUNCTION("""COMPUTED_VALUE"""),64)</f>
        <v>64</v>
      </c>
    </row>
    <row r="458" spans="1:40" x14ac:dyDescent="0.35">
      <c r="A458" s="1">
        <v>457</v>
      </c>
      <c r="B458" s="7">
        <v>44347</v>
      </c>
      <c r="C458">
        <v>18</v>
      </c>
      <c r="D458">
        <v>579</v>
      </c>
      <c r="E458">
        <v>141</v>
      </c>
      <c r="F458">
        <v>-12</v>
      </c>
      <c r="G458" s="5">
        <f ca="1">IFERROR(__xludf.DUMMYFUNCTION("""COMPUTED_VALUE"""),5662)</f>
        <v>5662</v>
      </c>
      <c r="H458" s="5">
        <f ca="1">IFERROR(__xludf.DUMMYFUNCTION("""COMPUTED_VALUE"""),726)</f>
        <v>726</v>
      </c>
      <c r="I458">
        <v>-14</v>
      </c>
      <c r="J458">
        <v>10</v>
      </c>
      <c r="K458">
        <v>-35</v>
      </c>
      <c r="L458">
        <v>-29</v>
      </c>
      <c r="M458">
        <v>-30</v>
      </c>
      <c r="N458">
        <v>9</v>
      </c>
      <c r="O458">
        <v>133466</v>
      </c>
      <c r="Q458">
        <v>119600</v>
      </c>
      <c r="R458">
        <v>591661</v>
      </c>
      <c r="S458">
        <v>531718</v>
      </c>
      <c r="T458">
        <v>1794667</v>
      </c>
      <c r="U458">
        <v>1145836</v>
      </c>
      <c r="V458">
        <v>2519794</v>
      </c>
      <c r="W458">
        <v>1797154</v>
      </c>
      <c r="X458">
        <v>0</v>
      </c>
      <c r="Y458">
        <v>0</v>
      </c>
      <c r="Z458">
        <v>0</v>
      </c>
      <c r="AA458">
        <v>0</v>
      </c>
      <c r="AB458">
        <v>13965</v>
      </c>
      <c r="AC458">
        <v>0</v>
      </c>
      <c r="AD458">
        <v>6847</v>
      </c>
      <c r="AE458">
        <v>519</v>
      </c>
      <c r="AF458">
        <v>6328</v>
      </c>
      <c r="AG458" s="2">
        <v>7.5799620270000007E-2</v>
      </c>
      <c r="AH458" t="s">
        <v>33</v>
      </c>
      <c r="AI458" s="4">
        <v>7327</v>
      </c>
      <c r="AJ458" s="4">
        <v>412074</v>
      </c>
      <c r="AK458" s="4">
        <v>5241</v>
      </c>
      <c r="AL458" s="4">
        <v>5417</v>
      </c>
      <c r="AM458" s="4">
        <v>430059</v>
      </c>
      <c r="AN458" s="5">
        <f ca="1">IFERROR(__xludf.DUMMYFUNCTION("""COMPUTED_VALUE"""),129)</f>
        <v>129</v>
      </c>
    </row>
    <row r="459" spans="1:40" x14ac:dyDescent="0.35">
      <c r="A459" s="1">
        <v>458</v>
      </c>
      <c r="B459" s="7">
        <v>44348</v>
      </c>
      <c r="C459">
        <v>22</v>
      </c>
      <c r="D459">
        <v>519</v>
      </c>
      <c r="E459">
        <v>-27</v>
      </c>
      <c r="F459">
        <v>5</v>
      </c>
      <c r="G459" s="5">
        <f ca="1">IFERROR(__xludf.DUMMYFUNCTION("""COMPUTED_VALUE"""),4824)</f>
        <v>4824</v>
      </c>
      <c r="H459" s="5">
        <f ca="1">IFERROR(__xludf.DUMMYFUNCTION("""COMPUTED_VALUE"""),519)</f>
        <v>519</v>
      </c>
      <c r="I459">
        <v>-15</v>
      </c>
      <c r="J459">
        <v>7</v>
      </c>
      <c r="K459">
        <v>-30</v>
      </c>
      <c r="L459">
        <v>-41</v>
      </c>
      <c r="M459">
        <v>-67</v>
      </c>
      <c r="N459">
        <v>17</v>
      </c>
      <c r="O459">
        <v>133593</v>
      </c>
      <c r="Q459">
        <v>119829</v>
      </c>
      <c r="R459">
        <v>591661</v>
      </c>
      <c r="S459">
        <v>531832</v>
      </c>
      <c r="T459">
        <v>1794667</v>
      </c>
      <c r="U459">
        <v>1152681</v>
      </c>
      <c r="V459">
        <v>2519921</v>
      </c>
      <c r="W459">
        <v>1804342</v>
      </c>
      <c r="X459">
        <v>0</v>
      </c>
      <c r="Y459">
        <v>0</v>
      </c>
      <c r="Z459">
        <v>0</v>
      </c>
      <c r="AA459">
        <v>0</v>
      </c>
      <c r="AB459">
        <v>13968</v>
      </c>
      <c r="AC459">
        <v>0</v>
      </c>
      <c r="AD459">
        <v>6917</v>
      </c>
      <c r="AE459">
        <v>601</v>
      </c>
      <c r="AF459">
        <v>6316</v>
      </c>
      <c r="AG459" s="2">
        <v>8.6887378919999994E-2</v>
      </c>
      <c r="AH459" t="s">
        <v>33</v>
      </c>
      <c r="AI459" s="4">
        <v>7349</v>
      </c>
      <c r="AJ459" s="4">
        <v>412593</v>
      </c>
      <c r="AK459" s="4">
        <v>5214</v>
      </c>
      <c r="AL459" s="4">
        <v>5422</v>
      </c>
      <c r="AM459" s="4">
        <v>430578</v>
      </c>
      <c r="AN459" s="5">
        <f ca="1">IFERROR(__xludf.DUMMYFUNCTION("""COMPUTED_VALUE"""),-22)</f>
        <v>-22</v>
      </c>
    </row>
    <row r="460" spans="1:40" x14ac:dyDescent="0.35">
      <c r="A460" s="1">
        <v>459</v>
      </c>
      <c r="B460" s="7">
        <v>44349</v>
      </c>
      <c r="C460">
        <v>12</v>
      </c>
      <c r="D460">
        <v>586</v>
      </c>
      <c r="E460">
        <v>-36</v>
      </c>
      <c r="F460">
        <v>39</v>
      </c>
      <c r="G460" s="5">
        <f ca="1">IFERROR(__xludf.DUMMYFUNCTION("""COMPUTED_VALUE"""),5246)</f>
        <v>5246</v>
      </c>
      <c r="H460" s="5">
        <f ca="1">IFERROR(__xludf.DUMMYFUNCTION("""COMPUTED_VALUE"""),601)</f>
        <v>601</v>
      </c>
      <c r="I460">
        <v>-17</v>
      </c>
      <c r="J460">
        <v>8</v>
      </c>
      <c r="K460">
        <v>-40</v>
      </c>
      <c r="L460">
        <v>-28</v>
      </c>
      <c r="M460">
        <v>-29</v>
      </c>
      <c r="N460">
        <v>9</v>
      </c>
      <c r="O460">
        <v>133773</v>
      </c>
      <c r="Q460">
        <v>120240</v>
      </c>
      <c r="R460">
        <v>591661</v>
      </c>
      <c r="S460">
        <v>532949</v>
      </c>
      <c r="T460">
        <v>1794667</v>
      </c>
      <c r="U460">
        <v>1176722</v>
      </c>
      <c r="V460">
        <v>2520101</v>
      </c>
      <c r="W460">
        <v>1829911</v>
      </c>
      <c r="X460">
        <v>0</v>
      </c>
      <c r="Y460">
        <v>0</v>
      </c>
      <c r="Z460">
        <v>0</v>
      </c>
      <c r="AA460">
        <v>0</v>
      </c>
      <c r="AB460">
        <v>16205</v>
      </c>
      <c r="AC460">
        <v>0</v>
      </c>
      <c r="AD460">
        <v>9849</v>
      </c>
      <c r="AE460">
        <v>714</v>
      </c>
      <c r="AF460">
        <v>9135</v>
      </c>
      <c r="AG460" s="2">
        <v>7.2494669509999998E-2</v>
      </c>
      <c r="AH460" t="s">
        <v>33</v>
      </c>
      <c r="AI460" s="4">
        <v>7361</v>
      </c>
      <c r="AJ460" s="4">
        <v>413179</v>
      </c>
      <c r="AK460" s="4">
        <v>5178</v>
      </c>
      <c r="AL460" s="4">
        <v>5461</v>
      </c>
      <c r="AM460" s="4">
        <v>431179</v>
      </c>
      <c r="AN460" s="5">
        <f ca="1">IFERROR(__xludf.DUMMYFUNCTION("""COMPUTED_VALUE"""),3)</f>
        <v>3</v>
      </c>
    </row>
    <row r="461" spans="1:40" x14ac:dyDescent="0.35">
      <c r="A461" s="1">
        <v>460</v>
      </c>
      <c r="B461" s="7">
        <v>44350</v>
      </c>
      <c r="C461">
        <v>20</v>
      </c>
      <c r="D461">
        <v>501</v>
      </c>
      <c r="E461">
        <v>224</v>
      </c>
      <c r="F461">
        <v>-31</v>
      </c>
      <c r="G461" s="5">
        <f ca="1">IFERROR(__xludf.DUMMYFUNCTION("""COMPUTED_VALUE"""),5353)</f>
        <v>5353</v>
      </c>
      <c r="H461" s="5">
        <f ca="1">IFERROR(__xludf.DUMMYFUNCTION("""COMPUTED_VALUE"""),714)</f>
        <v>714</v>
      </c>
      <c r="I461">
        <v>-15</v>
      </c>
      <c r="J461">
        <v>10</v>
      </c>
      <c r="K461">
        <v>-38</v>
      </c>
      <c r="L461">
        <v>-30</v>
      </c>
      <c r="M461">
        <v>-28</v>
      </c>
      <c r="N461">
        <v>9</v>
      </c>
      <c r="O461">
        <v>135712</v>
      </c>
      <c r="Q461">
        <v>120240</v>
      </c>
      <c r="R461">
        <v>593122</v>
      </c>
      <c r="S461">
        <v>533954</v>
      </c>
      <c r="T461">
        <v>1805312</v>
      </c>
      <c r="U461">
        <v>1180307</v>
      </c>
      <c r="V461">
        <v>2534146</v>
      </c>
      <c r="W461">
        <v>1834501</v>
      </c>
      <c r="X461">
        <v>0</v>
      </c>
      <c r="Y461">
        <v>0</v>
      </c>
      <c r="Z461">
        <v>0</v>
      </c>
      <c r="AA461">
        <v>0</v>
      </c>
      <c r="AB461">
        <v>18116</v>
      </c>
      <c r="AC461">
        <v>0</v>
      </c>
      <c r="AD461">
        <v>14450</v>
      </c>
      <c r="AE461">
        <v>906</v>
      </c>
      <c r="AF461">
        <v>13544</v>
      </c>
      <c r="AG461" s="2">
        <v>6.2698961940000006E-2</v>
      </c>
      <c r="AH461" t="s">
        <v>33</v>
      </c>
      <c r="AI461" s="4">
        <v>7381</v>
      </c>
      <c r="AJ461" s="4">
        <v>413680</v>
      </c>
      <c r="AK461" s="4">
        <v>5402</v>
      </c>
      <c r="AL461" s="4">
        <v>5430</v>
      </c>
      <c r="AM461" s="4">
        <v>431893</v>
      </c>
      <c r="AN461" s="5">
        <f ca="1">IFERROR(__xludf.DUMMYFUNCTION("""COMPUTED_VALUE"""),193)</f>
        <v>193</v>
      </c>
    </row>
    <row r="462" spans="1:40" x14ac:dyDescent="0.35">
      <c r="A462" s="1">
        <v>461</v>
      </c>
      <c r="B462" s="7">
        <v>44351</v>
      </c>
      <c r="C462">
        <v>21</v>
      </c>
      <c r="D462">
        <v>816</v>
      </c>
      <c r="E462">
        <v>12</v>
      </c>
      <c r="F462">
        <v>57</v>
      </c>
      <c r="G462" s="5">
        <f ca="1">IFERROR(__xludf.DUMMYFUNCTION("""COMPUTED_VALUE"""),6486)</f>
        <v>6486</v>
      </c>
      <c r="H462" s="5">
        <f ca="1">IFERROR(__xludf.DUMMYFUNCTION("""COMPUTED_VALUE"""),906)</f>
        <v>906</v>
      </c>
      <c r="I462">
        <v>-13</v>
      </c>
      <c r="J462">
        <v>10</v>
      </c>
      <c r="K462">
        <v>-34</v>
      </c>
      <c r="L462">
        <v>-30</v>
      </c>
      <c r="M462">
        <v>-26</v>
      </c>
      <c r="N462">
        <v>10</v>
      </c>
      <c r="O462">
        <v>135712</v>
      </c>
      <c r="Q462">
        <v>120490</v>
      </c>
      <c r="R462">
        <v>593332</v>
      </c>
      <c r="S462">
        <v>534307</v>
      </c>
      <c r="T462">
        <v>1846940</v>
      </c>
      <c r="U462">
        <v>1186829</v>
      </c>
      <c r="V462">
        <v>2575984</v>
      </c>
      <c r="W462">
        <v>1841626</v>
      </c>
      <c r="X462">
        <v>0</v>
      </c>
      <c r="Y462">
        <v>0</v>
      </c>
      <c r="Z462">
        <v>0</v>
      </c>
      <c r="AA462">
        <v>0</v>
      </c>
      <c r="AB462">
        <v>21451</v>
      </c>
      <c r="AC462">
        <v>0</v>
      </c>
      <c r="AD462">
        <v>10605</v>
      </c>
      <c r="AE462">
        <v>1317</v>
      </c>
      <c r="AF462">
        <v>9288</v>
      </c>
      <c r="AG462" s="2">
        <v>0.1241867044</v>
      </c>
      <c r="AH462" t="s">
        <v>33</v>
      </c>
      <c r="AI462" s="4">
        <v>7402</v>
      </c>
      <c r="AJ462" s="4">
        <v>414496</v>
      </c>
      <c r="AK462" s="4">
        <v>5414</v>
      </c>
      <c r="AL462" s="4">
        <v>5487</v>
      </c>
      <c r="AM462" s="4">
        <v>432799</v>
      </c>
      <c r="AN462" s="5">
        <f ca="1">IFERROR(__xludf.DUMMYFUNCTION("""COMPUTED_VALUE"""),69)</f>
        <v>69</v>
      </c>
    </row>
    <row r="463" spans="1:40" x14ac:dyDescent="0.35">
      <c r="A463" s="1">
        <v>462</v>
      </c>
      <c r="B463" s="7">
        <v>44352</v>
      </c>
      <c r="C463">
        <v>21</v>
      </c>
      <c r="D463">
        <v>821</v>
      </c>
      <c r="E463">
        <v>342</v>
      </c>
      <c r="F463">
        <v>133</v>
      </c>
      <c r="G463" s="5">
        <f ca="1">IFERROR(__xludf.DUMMYFUNCTION("""COMPUTED_VALUE"""),6594)</f>
        <v>6594</v>
      </c>
      <c r="H463" s="5">
        <f ca="1">IFERROR(__xludf.DUMMYFUNCTION("""COMPUTED_VALUE"""),1317)</f>
        <v>1317</v>
      </c>
      <c r="I463">
        <v>-15</v>
      </c>
      <c r="J463">
        <v>13</v>
      </c>
      <c r="K463">
        <v>-36</v>
      </c>
      <c r="L463">
        <v>-21</v>
      </c>
      <c r="M463">
        <v>-16</v>
      </c>
      <c r="N463">
        <v>5</v>
      </c>
      <c r="O463">
        <v>135712</v>
      </c>
      <c r="Q463">
        <v>120490</v>
      </c>
      <c r="R463">
        <v>593332</v>
      </c>
      <c r="S463">
        <v>534407</v>
      </c>
      <c r="T463">
        <v>1854565</v>
      </c>
      <c r="U463">
        <v>1186860</v>
      </c>
      <c r="V463">
        <v>2583609</v>
      </c>
      <c r="W463">
        <v>1841757</v>
      </c>
      <c r="X463">
        <v>0</v>
      </c>
      <c r="Y463">
        <v>0</v>
      </c>
      <c r="Z463">
        <v>0</v>
      </c>
      <c r="AA463">
        <v>0</v>
      </c>
      <c r="AB463">
        <v>22097</v>
      </c>
      <c r="AC463">
        <v>0</v>
      </c>
      <c r="AD463">
        <v>7625</v>
      </c>
      <c r="AE463">
        <v>1019</v>
      </c>
      <c r="AF463">
        <v>6606</v>
      </c>
      <c r="AG463" s="2">
        <v>0.13363934429999999</v>
      </c>
      <c r="AH463" t="s">
        <v>33</v>
      </c>
      <c r="AI463" s="4">
        <v>7423</v>
      </c>
      <c r="AJ463" s="4">
        <v>415317</v>
      </c>
      <c r="AK463" s="4">
        <v>5756</v>
      </c>
      <c r="AL463" s="4">
        <v>5620</v>
      </c>
      <c r="AM463" s="4">
        <v>434116</v>
      </c>
      <c r="AN463" s="5">
        <f ca="1">IFERROR(__xludf.DUMMYFUNCTION("""COMPUTED_VALUE"""),475)</f>
        <v>475</v>
      </c>
    </row>
    <row r="464" spans="1:40" x14ac:dyDescent="0.35">
      <c r="A464" s="1">
        <v>463</v>
      </c>
      <c r="B464" s="7">
        <v>44353</v>
      </c>
      <c r="C464">
        <v>15</v>
      </c>
      <c r="D464">
        <v>864</v>
      </c>
      <c r="E464">
        <v>210</v>
      </c>
      <c r="F464">
        <v>-70</v>
      </c>
      <c r="G464" s="5">
        <f ca="1">IFERROR(__xludf.DUMMYFUNCTION("""COMPUTED_VALUE"""),5832)</f>
        <v>5832</v>
      </c>
      <c r="H464" s="5">
        <f ca="1">IFERROR(__xludf.DUMMYFUNCTION("""COMPUTED_VALUE"""),1019)</f>
        <v>1019</v>
      </c>
      <c r="I464">
        <v>-19</v>
      </c>
      <c r="J464">
        <v>5</v>
      </c>
      <c r="K464">
        <v>-45</v>
      </c>
      <c r="L464">
        <v>-22</v>
      </c>
      <c r="M464">
        <v>-11</v>
      </c>
      <c r="N464">
        <v>5</v>
      </c>
      <c r="O464">
        <v>135728</v>
      </c>
      <c r="Q464">
        <v>120491</v>
      </c>
      <c r="R464">
        <v>593332</v>
      </c>
      <c r="S464">
        <v>534410</v>
      </c>
      <c r="T464">
        <v>1856406</v>
      </c>
      <c r="U464">
        <v>1186874</v>
      </c>
      <c r="V464">
        <v>2585466</v>
      </c>
      <c r="W464">
        <v>1841775</v>
      </c>
      <c r="X464">
        <v>0</v>
      </c>
      <c r="Y464">
        <v>0</v>
      </c>
      <c r="Z464">
        <v>0</v>
      </c>
      <c r="AA464">
        <v>0</v>
      </c>
      <c r="AB464">
        <v>22097</v>
      </c>
      <c r="AC464">
        <v>0</v>
      </c>
      <c r="AD464">
        <v>6698</v>
      </c>
      <c r="AE464">
        <v>1197</v>
      </c>
      <c r="AF464">
        <v>5501</v>
      </c>
      <c r="AG464" s="2">
        <v>0.17871006270000001</v>
      </c>
      <c r="AH464" t="s">
        <v>33</v>
      </c>
      <c r="AI464" s="4">
        <v>7438</v>
      </c>
      <c r="AJ464" s="4">
        <v>416181</v>
      </c>
      <c r="AK464" s="4">
        <v>5966</v>
      </c>
      <c r="AL464" s="4">
        <v>5550</v>
      </c>
      <c r="AM464" s="4">
        <v>435135</v>
      </c>
      <c r="AN464" s="5">
        <f ca="1">IFERROR(__xludf.DUMMYFUNCTION("""COMPUTED_VALUE"""),140)</f>
        <v>140</v>
      </c>
    </row>
    <row r="465" spans="1:40" x14ac:dyDescent="0.35">
      <c r="A465" s="1">
        <v>464</v>
      </c>
      <c r="B465" s="7">
        <v>44354</v>
      </c>
      <c r="C465">
        <v>19</v>
      </c>
      <c r="D465">
        <v>813</v>
      </c>
      <c r="E465">
        <v>295</v>
      </c>
      <c r="F465">
        <v>70</v>
      </c>
      <c r="G465" s="5">
        <f ca="1">IFERROR(__xludf.DUMMYFUNCTION("""COMPUTED_VALUE"""),6993)</f>
        <v>6993</v>
      </c>
      <c r="H465" s="5">
        <f ca="1">IFERROR(__xludf.DUMMYFUNCTION("""COMPUTED_VALUE"""),1197)</f>
        <v>1197</v>
      </c>
      <c r="I465">
        <v>-15</v>
      </c>
      <c r="J465">
        <v>10</v>
      </c>
      <c r="K465">
        <v>-38</v>
      </c>
      <c r="L465">
        <v>-30</v>
      </c>
      <c r="M465">
        <v>-28</v>
      </c>
      <c r="N465">
        <v>9</v>
      </c>
      <c r="O465">
        <v>135728</v>
      </c>
      <c r="Q465">
        <v>120568</v>
      </c>
      <c r="R465">
        <v>593442</v>
      </c>
      <c r="S465">
        <v>534697</v>
      </c>
      <c r="T465">
        <v>1878591</v>
      </c>
      <c r="U465">
        <v>1190433</v>
      </c>
      <c r="V465">
        <v>2607761</v>
      </c>
      <c r="W465">
        <v>1845698</v>
      </c>
      <c r="X465">
        <v>0</v>
      </c>
      <c r="Y465">
        <v>0</v>
      </c>
      <c r="Z465">
        <v>0</v>
      </c>
      <c r="AA465">
        <v>0</v>
      </c>
      <c r="AB465">
        <v>22097</v>
      </c>
      <c r="AC465">
        <v>0</v>
      </c>
      <c r="AD465">
        <v>7237</v>
      </c>
      <c r="AE465">
        <v>755</v>
      </c>
      <c r="AF465">
        <v>6482</v>
      </c>
      <c r="AG465" s="2">
        <v>0.1043249965</v>
      </c>
      <c r="AH465" t="s">
        <v>33</v>
      </c>
      <c r="AI465" s="4">
        <v>7457</v>
      </c>
      <c r="AJ465" s="4">
        <v>416994</v>
      </c>
      <c r="AK465" s="4">
        <v>6261</v>
      </c>
      <c r="AL465" s="4">
        <v>5620</v>
      </c>
      <c r="AM465" s="4">
        <v>436332</v>
      </c>
      <c r="AN465" s="5">
        <f ca="1">IFERROR(__xludf.DUMMYFUNCTION("""COMPUTED_VALUE"""),365)</f>
        <v>365</v>
      </c>
    </row>
    <row r="466" spans="1:40" x14ac:dyDescent="0.35">
      <c r="A466" s="1">
        <v>465</v>
      </c>
      <c r="B466" s="7">
        <v>44355</v>
      </c>
      <c r="C466">
        <v>21</v>
      </c>
      <c r="D466">
        <v>1003</v>
      </c>
      <c r="E466">
        <v>-204</v>
      </c>
      <c r="F466">
        <v>-65</v>
      </c>
      <c r="G466" s="5">
        <f ca="1">IFERROR(__xludf.DUMMYFUNCTION("""COMPUTED_VALUE"""),6294)</f>
        <v>6294</v>
      </c>
      <c r="H466" s="5">
        <f ca="1">IFERROR(__xludf.DUMMYFUNCTION("""COMPUTED_VALUE"""),755)</f>
        <v>755</v>
      </c>
      <c r="I466">
        <v>-18</v>
      </c>
      <c r="J466">
        <v>6</v>
      </c>
      <c r="K466">
        <v>-41</v>
      </c>
      <c r="L466">
        <v>-31</v>
      </c>
      <c r="M466">
        <v>-29</v>
      </c>
      <c r="N466">
        <v>10</v>
      </c>
      <c r="O466">
        <v>135728</v>
      </c>
      <c r="Q466">
        <v>120568</v>
      </c>
      <c r="R466">
        <v>593442</v>
      </c>
      <c r="S466">
        <v>535079</v>
      </c>
      <c r="T466">
        <v>1951461</v>
      </c>
      <c r="U466">
        <v>1197044</v>
      </c>
      <c r="V466">
        <v>2680631</v>
      </c>
      <c r="W466">
        <v>1845698</v>
      </c>
      <c r="X466">
        <v>0</v>
      </c>
      <c r="Y466">
        <v>0</v>
      </c>
      <c r="Z466">
        <v>0</v>
      </c>
      <c r="AA466">
        <v>0</v>
      </c>
      <c r="AB466">
        <v>32553</v>
      </c>
      <c r="AC466">
        <v>0</v>
      </c>
      <c r="AD466">
        <v>11167</v>
      </c>
      <c r="AE466">
        <v>1376</v>
      </c>
      <c r="AF466">
        <v>9791</v>
      </c>
      <c r="AG466" s="2">
        <v>0.12322020240000001</v>
      </c>
      <c r="AH466" t="s">
        <v>33</v>
      </c>
      <c r="AI466" s="4">
        <v>7478</v>
      </c>
      <c r="AJ466" s="4">
        <v>417997</v>
      </c>
      <c r="AK466" s="4">
        <v>6057</v>
      </c>
      <c r="AL466" s="4">
        <v>5555</v>
      </c>
      <c r="AM466" s="4">
        <v>437087</v>
      </c>
      <c r="AN466" s="5">
        <f ca="1">IFERROR(__xludf.DUMMYFUNCTION("""COMPUTED_VALUE"""),-269)</f>
        <v>-269</v>
      </c>
    </row>
    <row r="467" spans="1:40" x14ac:dyDescent="0.35">
      <c r="A467" s="1">
        <v>466</v>
      </c>
      <c r="B467" s="7">
        <v>44356</v>
      </c>
      <c r="C467">
        <v>21</v>
      </c>
      <c r="D467">
        <v>1112</v>
      </c>
      <c r="E467">
        <v>63</v>
      </c>
      <c r="F467">
        <v>175</v>
      </c>
      <c r="G467" s="5">
        <f ca="1">IFERROR(__xludf.DUMMYFUNCTION("""COMPUTED_VALUE"""),7725)</f>
        <v>7725</v>
      </c>
      <c r="H467" s="5">
        <f ca="1">IFERROR(__xludf.DUMMYFUNCTION("""COMPUTED_VALUE"""),1371)</f>
        <v>1371</v>
      </c>
      <c r="I467">
        <v>-16</v>
      </c>
      <c r="J467">
        <v>6</v>
      </c>
      <c r="K467">
        <v>-39</v>
      </c>
      <c r="L467">
        <v>-30</v>
      </c>
      <c r="M467">
        <v>-29</v>
      </c>
      <c r="N467">
        <v>10</v>
      </c>
      <c r="O467">
        <v>135728</v>
      </c>
      <c r="Q467">
        <v>120761</v>
      </c>
      <c r="R467">
        <v>593442</v>
      </c>
      <c r="S467">
        <v>535079</v>
      </c>
      <c r="T467">
        <v>1999271</v>
      </c>
      <c r="U467">
        <v>1199225</v>
      </c>
      <c r="V467">
        <v>2728441</v>
      </c>
      <c r="W467">
        <v>1845698</v>
      </c>
      <c r="X467">
        <v>0</v>
      </c>
      <c r="Y467">
        <v>0</v>
      </c>
      <c r="Z467">
        <v>0</v>
      </c>
      <c r="AA467">
        <v>0</v>
      </c>
      <c r="AB467">
        <v>35612</v>
      </c>
      <c r="AC467">
        <v>0</v>
      </c>
      <c r="AD467">
        <v>12304</v>
      </c>
      <c r="AE467">
        <v>2096</v>
      </c>
      <c r="AF467">
        <v>10208</v>
      </c>
      <c r="AG467" s="2">
        <v>0.1703511053</v>
      </c>
      <c r="AH467" t="s">
        <v>33</v>
      </c>
      <c r="AI467" s="4">
        <v>7499</v>
      </c>
      <c r="AJ467" s="4">
        <v>419109</v>
      </c>
      <c r="AK467" s="4">
        <v>6120</v>
      </c>
      <c r="AL467" s="4">
        <v>5730</v>
      </c>
      <c r="AM467" s="4">
        <v>438458</v>
      </c>
      <c r="AN467" s="5">
        <f ca="1">IFERROR(__xludf.DUMMYFUNCTION("""COMPUTED_VALUE"""),238)</f>
        <v>238</v>
      </c>
    </row>
    <row r="468" spans="1:40" x14ac:dyDescent="0.35">
      <c r="A468" s="1">
        <v>467</v>
      </c>
      <c r="B468" s="7">
        <v>44357</v>
      </c>
      <c r="C468">
        <v>24</v>
      </c>
      <c r="D468">
        <v>1102</v>
      </c>
      <c r="E468">
        <v>871</v>
      </c>
      <c r="F468">
        <v>99</v>
      </c>
      <c r="G468" s="5">
        <f ca="1">IFERROR(__xludf.DUMMYFUNCTION("""COMPUTED_VALUE"""),8851)</f>
        <v>8851</v>
      </c>
      <c r="H468" s="5">
        <f ca="1">IFERROR(__xludf.DUMMYFUNCTION("""COMPUTED_VALUE"""),2096)</f>
        <v>2096</v>
      </c>
      <c r="I468">
        <v>-16</v>
      </c>
      <c r="J468">
        <v>7</v>
      </c>
      <c r="K468">
        <v>-37</v>
      </c>
      <c r="L468">
        <v>-30</v>
      </c>
      <c r="M468">
        <v>-28</v>
      </c>
      <c r="N468">
        <v>10</v>
      </c>
      <c r="O468">
        <v>135728</v>
      </c>
      <c r="Q468">
        <v>120833</v>
      </c>
      <c r="R468">
        <v>595046</v>
      </c>
      <c r="S468">
        <v>535273</v>
      </c>
      <c r="T468">
        <v>2059479</v>
      </c>
      <c r="U468">
        <v>1202304</v>
      </c>
      <c r="V468">
        <v>2790253</v>
      </c>
      <c r="W468">
        <v>1858410</v>
      </c>
      <c r="X468">
        <v>0</v>
      </c>
      <c r="Y468">
        <v>0</v>
      </c>
      <c r="Z468">
        <v>0</v>
      </c>
      <c r="AA468">
        <v>0</v>
      </c>
      <c r="AB468">
        <v>37375</v>
      </c>
      <c r="AC468">
        <v>3077</v>
      </c>
      <c r="AD468">
        <v>13142</v>
      </c>
      <c r="AE468">
        <v>2293</v>
      </c>
      <c r="AF468">
        <v>10849</v>
      </c>
      <c r="AG468" s="2">
        <v>0.17447877040000001</v>
      </c>
      <c r="AH468" t="s">
        <v>33</v>
      </c>
      <c r="AI468" s="4">
        <v>7523</v>
      </c>
      <c r="AJ468" s="4">
        <v>420211</v>
      </c>
      <c r="AK468" s="4">
        <v>6991</v>
      </c>
      <c r="AL468" s="4">
        <v>5829</v>
      </c>
      <c r="AM468" s="4">
        <v>440554</v>
      </c>
      <c r="AN468" s="5">
        <f ca="1">IFERROR(__xludf.DUMMYFUNCTION("""COMPUTED_VALUE"""),970)</f>
        <v>970</v>
      </c>
    </row>
    <row r="469" spans="1:40" x14ac:dyDescent="0.35">
      <c r="A469" s="1">
        <v>468</v>
      </c>
      <c r="B469" s="7">
        <v>44358</v>
      </c>
      <c r="C469">
        <v>20</v>
      </c>
      <c r="D469">
        <v>1185</v>
      </c>
      <c r="E469">
        <v>759</v>
      </c>
      <c r="F469">
        <v>329</v>
      </c>
      <c r="G469" s="5">
        <f ca="1">IFERROR(__xludf.DUMMYFUNCTION("""COMPUTED_VALUE"""),8124)</f>
        <v>8124</v>
      </c>
      <c r="H469" s="5">
        <f ca="1">IFERROR(__xludf.DUMMYFUNCTION("""COMPUTED_VALUE"""),2293)</f>
        <v>2293</v>
      </c>
      <c r="I469">
        <v>-14</v>
      </c>
      <c r="J469">
        <v>7</v>
      </c>
      <c r="K469">
        <v>-33</v>
      </c>
      <c r="L469">
        <v>-30</v>
      </c>
      <c r="M469">
        <v>-27</v>
      </c>
      <c r="N469">
        <v>11</v>
      </c>
      <c r="O469">
        <v>135728</v>
      </c>
      <c r="Q469">
        <v>120932</v>
      </c>
      <c r="R469">
        <v>595046</v>
      </c>
      <c r="S469">
        <v>535273</v>
      </c>
      <c r="T469">
        <v>2141397</v>
      </c>
      <c r="U469">
        <v>1205366</v>
      </c>
      <c r="V469">
        <v>2872171</v>
      </c>
      <c r="W469">
        <v>1861571</v>
      </c>
      <c r="X469">
        <v>0</v>
      </c>
      <c r="Y469">
        <v>0</v>
      </c>
      <c r="Z469">
        <v>0</v>
      </c>
      <c r="AA469">
        <v>0</v>
      </c>
      <c r="AB469">
        <v>37375</v>
      </c>
      <c r="AC469">
        <v>3077</v>
      </c>
      <c r="AD469">
        <v>13443</v>
      </c>
      <c r="AE469">
        <v>2455</v>
      </c>
      <c r="AF469">
        <v>10988</v>
      </c>
      <c r="AG469" s="2">
        <v>0.1826229264</v>
      </c>
      <c r="AH469" t="s">
        <v>33</v>
      </c>
      <c r="AI469" s="4">
        <v>7543</v>
      </c>
      <c r="AJ469" s="4">
        <v>421396</v>
      </c>
      <c r="AK469" s="4">
        <v>7750</v>
      </c>
      <c r="AL469" s="4">
        <v>6158</v>
      </c>
      <c r="AM469" s="4">
        <v>442847</v>
      </c>
      <c r="AN469" s="5">
        <f ca="1">IFERROR(__xludf.DUMMYFUNCTION("""COMPUTED_VALUE"""),1088)</f>
        <v>1088</v>
      </c>
    </row>
    <row r="470" spans="1:40" x14ac:dyDescent="0.35">
      <c r="A470" s="1">
        <v>469</v>
      </c>
      <c r="B470" s="7">
        <v>44359</v>
      </c>
      <c r="C470">
        <v>14</v>
      </c>
      <c r="D470">
        <v>725</v>
      </c>
      <c r="E470">
        <v>1105</v>
      </c>
      <c r="F470">
        <v>611</v>
      </c>
      <c r="G470" s="5">
        <f ca="1">IFERROR(__xludf.DUMMYFUNCTION("""COMPUTED_VALUE"""),7465)</f>
        <v>7465</v>
      </c>
      <c r="H470" s="5">
        <f ca="1">IFERROR(__xludf.DUMMYFUNCTION("""COMPUTED_VALUE"""),2455)</f>
        <v>2455</v>
      </c>
      <c r="I470">
        <v>-16</v>
      </c>
      <c r="J470">
        <v>11</v>
      </c>
      <c r="K470">
        <v>-36</v>
      </c>
      <c r="L470">
        <v>-22</v>
      </c>
      <c r="M470">
        <v>-15</v>
      </c>
      <c r="N470">
        <v>5</v>
      </c>
      <c r="O470">
        <v>135728</v>
      </c>
      <c r="Q470">
        <v>120935</v>
      </c>
      <c r="R470">
        <v>595046</v>
      </c>
      <c r="S470">
        <v>535273</v>
      </c>
      <c r="T470">
        <v>2150108</v>
      </c>
      <c r="U470">
        <v>1205710</v>
      </c>
      <c r="V470">
        <v>2880882</v>
      </c>
      <c r="W470">
        <v>1861918</v>
      </c>
      <c r="X470">
        <v>0</v>
      </c>
      <c r="Y470">
        <v>0</v>
      </c>
      <c r="Z470">
        <v>0</v>
      </c>
      <c r="AA470">
        <v>0</v>
      </c>
      <c r="AB470">
        <v>38891</v>
      </c>
      <c r="AC470">
        <v>3561</v>
      </c>
      <c r="AD470">
        <v>11800</v>
      </c>
      <c r="AE470">
        <v>2769</v>
      </c>
      <c r="AF470">
        <v>9031</v>
      </c>
      <c r="AG470" s="2">
        <v>0.23466101689999999</v>
      </c>
      <c r="AH470" t="s">
        <v>33</v>
      </c>
      <c r="AI470" s="4">
        <v>7557</v>
      </c>
      <c r="AJ470" s="4">
        <v>422121</v>
      </c>
      <c r="AK470" s="4">
        <v>8855</v>
      </c>
      <c r="AL470" s="4">
        <v>6769</v>
      </c>
      <c r="AM470" s="4">
        <v>445302</v>
      </c>
      <c r="AN470" s="5">
        <f ca="1">IFERROR(__xludf.DUMMYFUNCTION("""COMPUTED_VALUE"""),1716)</f>
        <v>1716</v>
      </c>
    </row>
    <row r="471" spans="1:40" x14ac:dyDescent="0.35">
      <c r="A471" s="1">
        <v>470</v>
      </c>
      <c r="B471" s="7">
        <v>44360</v>
      </c>
      <c r="C471">
        <v>14</v>
      </c>
      <c r="D471">
        <v>935</v>
      </c>
      <c r="E471">
        <v>1179</v>
      </c>
      <c r="F471">
        <v>641</v>
      </c>
      <c r="G471" s="5">
        <f ca="1">IFERROR(__xludf.DUMMYFUNCTION("""COMPUTED_VALUE"""),9868)</f>
        <v>9868</v>
      </c>
      <c r="H471" s="5">
        <f ca="1">IFERROR(__xludf.DUMMYFUNCTION("""COMPUTED_VALUE"""),2769)</f>
        <v>2769</v>
      </c>
      <c r="I471">
        <v>-19</v>
      </c>
      <c r="J471">
        <v>5</v>
      </c>
      <c r="K471">
        <v>-42</v>
      </c>
      <c r="L471">
        <v>-23</v>
      </c>
      <c r="M471">
        <v>-11</v>
      </c>
      <c r="N471">
        <v>6</v>
      </c>
      <c r="O471">
        <v>135728</v>
      </c>
      <c r="Q471">
        <v>120935</v>
      </c>
      <c r="R471">
        <v>595046</v>
      </c>
      <c r="S471">
        <v>535273</v>
      </c>
      <c r="T471">
        <v>2150152</v>
      </c>
      <c r="U471">
        <v>1205747</v>
      </c>
      <c r="V471">
        <v>2880926</v>
      </c>
      <c r="W471">
        <v>1861955</v>
      </c>
      <c r="X471">
        <v>0</v>
      </c>
      <c r="Y471">
        <v>0</v>
      </c>
      <c r="Z471">
        <v>0</v>
      </c>
      <c r="AA471">
        <v>0</v>
      </c>
      <c r="AB471">
        <v>41243</v>
      </c>
      <c r="AC471">
        <v>4851</v>
      </c>
      <c r="AD471">
        <v>11671</v>
      </c>
      <c r="AE471">
        <v>2722</v>
      </c>
      <c r="AF471">
        <v>8949</v>
      </c>
      <c r="AG471" s="2">
        <v>0.2332276583</v>
      </c>
      <c r="AH471" t="s">
        <v>33</v>
      </c>
      <c r="AI471" s="4">
        <v>7571</v>
      </c>
      <c r="AJ471" s="4">
        <v>423056</v>
      </c>
      <c r="AK471" s="4">
        <v>10034</v>
      </c>
      <c r="AL471" s="4">
        <v>7410</v>
      </c>
      <c r="AM471" s="4">
        <v>448071</v>
      </c>
      <c r="AN471" s="5">
        <f ca="1">IFERROR(__xludf.DUMMYFUNCTION("""COMPUTED_VALUE"""),1820)</f>
        <v>1820</v>
      </c>
    </row>
    <row r="472" spans="1:40" x14ac:dyDescent="0.35">
      <c r="A472" s="1">
        <v>471</v>
      </c>
      <c r="B472" s="7">
        <v>44361</v>
      </c>
      <c r="C472">
        <v>38</v>
      </c>
      <c r="D472">
        <v>1032</v>
      </c>
      <c r="E472">
        <v>1206</v>
      </c>
      <c r="F472">
        <v>446</v>
      </c>
      <c r="G472" s="5">
        <f ca="1">IFERROR(__xludf.DUMMYFUNCTION("""COMPUTED_VALUE"""),8189)</f>
        <v>8189</v>
      </c>
      <c r="H472" s="5">
        <f ca="1">IFERROR(__xludf.DUMMYFUNCTION("""COMPUTED_VALUE"""),2722)</f>
        <v>2722</v>
      </c>
      <c r="I472">
        <v>-17</v>
      </c>
      <c r="J472">
        <v>7</v>
      </c>
      <c r="K472">
        <v>-36</v>
      </c>
      <c r="L472">
        <v>-30</v>
      </c>
      <c r="M472">
        <v>-29</v>
      </c>
      <c r="N472">
        <v>10</v>
      </c>
      <c r="O472">
        <v>135728</v>
      </c>
      <c r="Q472">
        <v>120935</v>
      </c>
      <c r="R472">
        <v>595046</v>
      </c>
      <c r="S472">
        <v>535273</v>
      </c>
      <c r="T472">
        <v>2235051</v>
      </c>
      <c r="U472">
        <v>1210934</v>
      </c>
      <c r="V472">
        <v>2965825</v>
      </c>
      <c r="W472">
        <v>1867142</v>
      </c>
      <c r="X472">
        <v>84899</v>
      </c>
      <c r="Y472">
        <v>0</v>
      </c>
      <c r="Z472">
        <v>0</v>
      </c>
      <c r="AA472">
        <v>0</v>
      </c>
      <c r="AB472">
        <v>41675</v>
      </c>
      <c r="AC472">
        <v>5241</v>
      </c>
      <c r="AD472">
        <v>8970</v>
      </c>
      <c r="AE472">
        <v>1502</v>
      </c>
      <c r="AF472">
        <v>7468</v>
      </c>
      <c r="AG472" s="2">
        <v>0.16744704569999999</v>
      </c>
      <c r="AH472" t="s">
        <v>33</v>
      </c>
      <c r="AI472" s="4">
        <v>7609</v>
      </c>
      <c r="AJ472" s="4">
        <v>424088</v>
      </c>
      <c r="AK472" s="4">
        <v>11240</v>
      </c>
      <c r="AL472" s="4">
        <v>7856</v>
      </c>
      <c r="AM472" s="4">
        <v>450793</v>
      </c>
      <c r="AN472" s="5">
        <f ca="1">IFERROR(__xludf.DUMMYFUNCTION("""COMPUTED_VALUE"""),1652)</f>
        <v>1652</v>
      </c>
    </row>
    <row r="473" spans="1:40" x14ac:dyDescent="0.35">
      <c r="A473" s="1">
        <v>472</v>
      </c>
      <c r="B473" s="7">
        <v>44362</v>
      </c>
      <c r="C473">
        <v>25</v>
      </c>
      <c r="D473">
        <v>1329</v>
      </c>
      <c r="E473">
        <v>-138</v>
      </c>
      <c r="F473">
        <v>286</v>
      </c>
      <c r="G473" s="5">
        <f ca="1">IFERROR(__xludf.DUMMYFUNCTION("""COMPUTED_VALUE"""),8161)</f>
        <v>8161</v>
      </c>
      <c r="H473" s="5">
        <f ca="1">IFERROR(__xludf.DUMMYFUNCTION("""COMPUTED_VALUE"""),1502)</f>
        <v>1502</v>
      </c>
      <c r="I473">
        <v>-22</v>
      </c>
      <c r="J473">
        <v>1</v>
      </c>
      <c r="K473">
        <v>-43</v>
      </c>
      <c r="L473">
        <v>-32</v>
      </c>
      <c r="M473">
        <v>-30</v>
      </c>
      <c r="N473">
        <v>11</v>
      </c>
      <c r="O473">
        <v>135728</v>
      </c>
      <c r="Q473">
        <v>120935</v>
      </c>
      <c r="R473">
        <v>595046</v>
      </c>
      <c r="S473">
        <v>535273</v>
      </c>
      <c r="T473">
        <v>2310799</v>
      </c>
      <c r="U473">
        <v>1215119</v>
      </c>
      <c r="V473">
        <v>3041573</v>
      </c>
      <c r="W473">
        <v>1871327</v>
      </c>
      <c r="X473">
        <v>75748</v>
      </c>
      <c r="Y473">
        <v>0</v>
      </c>
      <c r="Z473">
        <v>0</v>
      </c>
      <c r="AA473">
        <v>0</v>
      </c>
      <c r="AB473">
        <v>42573</v>
      </c>
      <c r="AC473">
        <v>6093</v>
      </c>
      <c r="AD473">
        <v>15269</v>
      </c>
      <c r="AE473">
        <v>2376</v>
      </c>
      <c r="AF473">
        <v>12893</v>
      </c>
      <c r="AG473" s="2">
        <v>0.15560940470000001</v>
      </c>
      <c r="AH473" t="s">
        <v>33</v>
      </c>
      <c r="AI473" s="4">
        <v>7634</v>
      </c>
      <c r="AJ473" s="4">
        <v>425417</v>
      </c>
      <c r="AK473" s="4">
        <v>11102</v>
      </c>
      <c r="AL473" s="4">
        <v>8142</v>
      </c>
      <c r="AM473" s="4">
        <v>452295</v>
      </c>
      <c r="AN473" s="5">
        <f ca="1">IFERROR(__xludf.DUMMYFUNCTION("""COMPUTED_VALUE"""),148)</f>
        <v>148</v>
      </c>
    </row>
    <row r="474" spans="1:40" x14ac:dyDescent="0.35">
      <c r="A474" s="1">
        <v>473</v>
      </c>
      <c r="B474" s="7">
        <v>44363</v>
      </c>
      <c r="C474">
        <v>31</v>
      </c>
      <c r="D474">
        <v>1278</v>
      </c>
      <c r="E474">
        <v>453</v>
      </c>
      <c r="F474">
        <v>614</v>
      </c>
      <c r="G474" s="5">
        <f ca="1">IFERROR(__xludf.DUMMYFUNCTION("""COMPUTED_VALUE"""),9944)</f>
        <v>9944</v>
      </c>
      <c r="H474" s="5">
        <f ca="1">IFERROR(__xludf.DUMMYFUNCTION("""COMPUTED_VALUE"""),2376)</f>
        <v>2376</v>
      </c>
      <c r="I474">
        <v>-20</v>
      </c>
      <c r="J474">
        <v>3</v>
      </c>
      <c r="K474">
        <v>-42</v>
      </c>
      <c r="L474">
        <v>-32</v>
      </c>
      <c r="M474">
        <v>-31</v>
      </c>
      <c r="N474">
        <v>11</v>
      </c>
      <c r="O474">
        <v>135728</v>
      </c>
      <c r="Q474">
        <v>120935</v>
      </c>
      <c r="R474">
        <v>595046</v>
      </c>
      <c r="S474">
        <v>535273</v>
      </c>
      <c r="T474">
        <v>2400877</v>
      </c>
      <c r="U474">
        <v>1218963</v>
      </c>
      <c r="V474">
        <v>3131651</v>
      </c>
      <c r="W474">
        <v>1875171</v>
      </c>
      <c r="X474">
        <v>90078</v>
      </c>
      <c r="Y474">
        <v>0</v>
      </c>
      <c r="Z474">
        <v>0</v>
      </c>
      <c r="AA474">
        <v>0</v>
      </c>
      <c r="AB474">
        <v>42574</v>
      </c>
      <c r="AC474">
        <v>6094</v>
      </c>
      <c r="AD474">
        <v>16499</v>
      </c>
      <c r="AE474">
        <v>4144</v>
      </c>
      <c r="AF474">
        <v>12355</v>
      </c>
      <c r="AG474" s="2">
        <v>0.25116673740000001</v>
      </c>
      <c r="AH474" t="s">
        <v>33</v>
      </c>
      <c r="AI474" s="4">
        <v>7665</v>
      </c>
      <c r="AJ474" s="4">
        <v>426695</v>
      </c>
      <c r="AK474" s="4">
        <v>11555</v>
      </c>
      <c r="AL474" s="4">
        <v>8756</v>
      </c>
      <c r="AM474" s="4">
        <v>454671</v>
      </c>
      <c r="AN474" s="5">
        <f ca="1">IFERROR(__xludf.DUMMYFUNCTION("""COMPUTED_VALUE"""),1067)</f>
        <v>1067</v>
      </c>
    </row>
    <row r="475" spans="1:40" x14ac:dyDescent="0.35">
      <c r="A475" s="1">
        <v>474</v>
      </c>
      <c r="B475" s="7">
        <v>44364</v>
      </c>
      <c r="C475">
        <v>48</v>
      </c>
      <c r="D475">
        <v>2069</v>
      </c>
      <c r="E475">
        <v>1499</v>
      </c>
      <c r="F475">
        <v>528</v>
      </c>
      <c r="G475" s="5">
        <f ca="1">IFERROR(__xludf.DUMMYFUNCTION("""COMPUTED_VALUE"""),12624)</f>
        <v>12624</v>
      </c>
      <c r="H475" s="5">
        <f ca="1">IFERROR(__xludf.DUMMYFUNCTION("""COMPUTED_VALUE"""),4144)</f>
        <v>4144</v>
      </c>
      <c r="I475">
        <v>-21</v>
      </c>
      <c r="J475">
        <v>1</v>
      </c>
      <c r="K475">
        <v>-42</v>
      </c>
      <c r="L475">
        <v>-35</v>
      </c>
      <c r="M475">
        <v>-31</v>
      </c>
      <c r="N475">
        <v>11</v>
      </c>
      <c r="O475">
        <v>135728</v>
      </c>
      <c r="Q475">
        <v>120935</v>
      </c>
      <c r="R475">
        <v>595046</v>
      </c>
      <c r="S475">
        <v>535273</v>
      </c>
      <c r="T475">
        <v>2400877</v>
      </c>
      <c r="U475">
        <v>1218963</v>
      </c>
      <c r="V475">
        <v>3131651</v>
      </c>
      <c r="W475">
        <v>1875171</v>
      </c>
      <c r="X475">
        <v>0</v>
      </c>
      <c r="Y475">
        <v>0</v>
      </c>
      <c r="Z475">
        <v>0</v>
      </c>
      <c r="AA475">
        <v>0</v>
      </c>
      <c r="AB475">
        <v>44273</v>
      </c>
      <c r="AC475">
        <v>6902</v>
      </c>
      <c r="AD475">
        <v>17368</v>
      </c>
      <c r="AE475">
        <v>4737</v>
      </c>
      <c r="AF475">
        <v>12631</v>
      </c>
      <c r="AG475" s="2">
        <v>0.27274297559999999</v>
      </c>
      <c r="AH475" t="s">
        <v>33</v>
      </c>
      <c r="AI475" s="4">
        <v>7713</v>
      </c>
      <c r="AJ475" s="4">
        <v>428764</v>
      </c>
      <c r="AK475" s="4">
        <v>13054</v>
      </c>
      <c r="AL475" s="4">
        <v>9284</v>
      </c>
      <c r="AM475" s="4">
        <v>458815</v>
      </c>
      <c r="AN475" s="5">
        <f ca="1">IFERROR(__xludf.DUMMYFUNCTION("""COMPUTED_VALUE"""),2027)</f>
        <v>2027</v>
      </c>
    </row>
    <row r="476" spans="1:40" x14ac:dyDescent="0.35">
      <c r="A476" s="1">
        <v>475</v>
      </c>
      <c r="B476" s="7">
        <v>44365</v>
      </c>
      <c r="C476">
        <v>64</v>
      </c>
      <c r="D476">
        <v>2500</v>
      </c>
      <c r="E476">
        <v>1897</v>
      </c>
      <c r="F476">
        <v>276</v>
      </c>
      <c r="G476" s="5">
        <f ca="1">IFERROR(__xludf.DUMMYFUNCTION("""COMPUTED_VALUE"""),12990)</f>
        <v>12990</v>
      </c>
      <c r="H476" s="5">
        <f ca="1">IFERROR(__xludf.DUMMYFUNCTION("""COMPUTED_VALUE"""),4737)</f>
        <v>4737</v>
      </c>
      <c r="I476">
        <v>-21</v>
      </c>
      <c r="J476">
        <v>1</v>
      </c>
      <c r="K476">
        <v>-40</v>
      </c>
      <c r="L476">
        <v>-36</v>
      </c>
      <c r="M476">
        <v>-30</v>
      </c>
      <c r="N476">
        <v>13</v>
      </c>
      <c r="O476">
        <v>135728</v>
      </c>
      <c r="Q476">
        <v>120935</v>
      </c>
      <c r="R476">
        <v>595046</v>
      </c>
      <c r="S476">
        <v>535273</v>
      </c>
      <c r="T476">
        <v>2508477</v>
      </c>
      <c r="U476">
        <v>1224789</v>
      </c>
      <c r="V476">
        <v>3239251</v>
      </c>
      <c r="W476">
        <v>1880997</v>
      </c>
      <c r="X476">
        <v>107600</v>
      </c>
      <c r="Y476">
        <v>5826</v>
      </c>
      <c r="Z476">
        <v>2644205</v>
      </c>
      <c r="AA476">
        <v>1345724</v>
      </c>
      <c r="AB476">
        <v>46121</v>
      </c>
      <c r="AC476">
        <v>8128</v>
      </c>
      <c r="AD476">
        <v>16797</v>
      </c>
      <c r="AE476">
        <v>4895</v>
      </c>
      <c r="AF476">
        <v>11902</v>
      </c>
      <c r="AG476" s="2">
        <v>0.29142108709999998</v>
      </c>
      <c r="AH476" t="s">
        <v>33</v>
      </c>
      <c r="AI476" s="4">
        <v>7777</v>
      </c>
      <c r="AJ476" s="4">
        <v>431264</v>
      </c>
      <c r="AK476" s="4">
        <v>14951</v>
      </c>
      <c r="AL476" s="4">
        <v>9560</v>
      </c>
      <c r="AM476" s="4">
        <v>463552</v>
      </c>
      <c r="AN476" s="5">
        <f ca="1">IFERROR(__xludf.DUMMYFUNCTION("""COMPUTED_VALUE"""),2173)</f>
        <v>2173</v>
      </c>
    </row>
    <row r="477" spans="1:40" x14ac:dyDescent="0.35">
      <c r="A477" s="1">
        <v>476</v>
      </c>
      <c r="B477" s="7">
        <v>44366</v>
      </c>
      <c r="C477">
        <v>59</v>
      </c>
      <c r="D477">
        <v>2235</v>
      </c>
      <c r="E477">
        <v>1836</v>
      </c>
      <c r="F477">
        <v>765</v>
      </c>
      <c r="G477" s="5">
        <f ca="1">IFERROR(__xludf.DUMMYFUNCTION("""COMPUTED_VALUE"""),12906)</f>
        <v>12906</v>
      </c>
      <c r="H477" s="5">
        <f ca="1">IFERROR(__xludf.DUMMYFUNCTION("""COMPUTED_VALUE"""),4895)</f>
        <v>4895</v>
      </c>
      <c r="I477">
        <v>-27</v>
      </c>
      <c r="J477">
        <v>2</v>
      </c>
      <c r="K477">
        <v>-49</v>
      </c>
      <c r="L477">
        <v>-32</v>
      </c>
      <c r="M477">
        <v>-19</v>
      </c>
      <c r="N477">
        <v>9</v>
      </c>
      <c r="O477">
        <v>135728</v>
      </c>
      <c r="Q477">
        <v>120935</v>
      </c>
      <c r="R477">
        <v>595046</v>
      </c>
      <c r="S477">
        <v>535273</v>
      </c>
      <c r="T477">
        <v>2613480</v>
      </c>
      <c r="U477">
        <v>1230115</v>
      </c>
      <c r="V477">
        <v>3344254</v>
      </c>
      <c r="W477">
        <v>1886323</v>
      </c>
      <c r="X477">
        <v>105003</v>
      </c>
      <c r="Y477">
        <v>5326</v>
      </c>
      <c r="Z477">
        <v>2749208</v>
      </c>
      <c r="AA477">
        <v>1351050</v>
      </c>
      <c r="AB477">
        <v>48936</v>
      </c>
      <c r="AC477">
        <v>11200</v>
      </c>
      <c r="AD477">
        <v>16636</v>
      </c>
      <c r="AE477">
        <v>5582</v>
      </c>
      <c r="AF477">
        <v>11054</v>
      </c>
      <c r="AG477" s="2">
        <v>0.3355373888</v>
      </c>
      <c r="AH477" t="s">
        <v>33</v>
      </c>
      <c r="AI477" s="4">
        <v>7836</v>
      </c>
      <c r="AJ477" s="4">
        <v>433499</v>
      </c>
      <c r="AK477" s="4">
        <v>16787</v>
      </c>
      <c r="AL477" s="4">
        <v>10325</v>
      </c>
      <c r="AM477" s="4">
        <v>468447</v>
      </c>
      <c r="AN477" s="5">
        <f ca="1">IFERROR(__xludf.DUMMYFUNCTION("""COMPUTED_VALUE"""),2601)</f>
        <v>2601</v>
      </c>
    </row>
    <row r="478" spans="1:40" x14ac:dyDescent="0.35">
      <c r="A478" s="1">
        <v>477</v>
      </c>
      <c r="B478" s="7">
        <v>44367</v>
      </c>
      <c r="C478">
        <v>69</v>
      </c>
      <c r="D478">
        <v>2483</v>
      </c>
      <c r="E478">
        <v>2318</v>
      </c>
      <c r="F478">
        <v>712</v>
      </c>
      <c r="G478" s="5">
        <f ca="1">IFERROR(__xludf.DUMMYFUNCTION("""COMPUTED_VALUE"""),13737)</f>
        <v>13737</v>
      </c>
      <c r="H478" s="5">
        <f ca="1">IFERROR(__xludf.DUMMYFUNCTION("""COMPUTED_VALUE"""),5582)</f>
        <v>5582</v>
      </c>
      <c r="I478">
        <v>-32</v>
      </c>
      <c r="J478">
        <v>-7</v>
      </c>
      <c r="K478">
        <v>-56</v>
      </c>
      <c r="L478">
        <v>-35</v>
      </c>
      <c r="M478">
        <v>-15</v>
      </c>
      <c r="N478">
        <v>10</v>
      </c>
      <c r="O478">
        <v>135728</v>
      </c>
      <c r="Q478">
        <v>121377</v>
      </c>
      <c r="R478">
        <v>595654</v>
      </c>
      <c r="S478">
        <v>535273</v>
      </c>
      <c r="T478">
        <v>2653322</v>
      </c>
      <c r="U478">
        <v>1230107</v>
      </c>
      <c r="V478">
        <v>3384704</v>
      </c>
      <c r="W478">
        <v>1886757</v>
      </c>
      <c r="X478">
        <v>40450</v>
      </c>
      <c r="Y478">
        <v>434</v>
      </c>
      <c r="Z478">
        <v>2789050</v>
      </c>
      <c r="AA478">
        <v>1351484</v>
      </c>
      <c r="AB478">
        <v>51827</v>
      </c>
      <c r="AC478">
        <v>11313</v>
      </c>
      <c r="AD478">
        <v>15424</v>
      </c>
      <c r="AE478">
        <v>5014</v>
      </c>
      <c r="AF478">
        <v>10410</v>
      </c>
      <c r="AG478" s="2">
        <v>0.32507780079999998</v>
      </c>
      <c r="AH478" t="s">
        <v>33</v>
      </c>
      <c r="AI478" s="4">
        <v>7905</v>
      </c>
      <c r="AJ478" s="4">
        <v>435982</v>
      </c>
      <c r="AK478" s="4">
        <v>19105</v>
      </c>
      <c r="AL478" s="4">
        <v>11037</v>
      </c>
      <c r="AM478" s="4">
        <v>474029</v>
      </c>
      <c r="AN478" s="5">
        <f ca="1">IFERROR(__xludf.DUMMYFUNCTION("""COMPUTED_VALUE"""),3030)</f>
        <v>3030</v>
      </c>
    </row>
    <row r="479" spans="1:40" x14ac:dyDescent="0.35">
      <c r="A479" s="1">
        <v>478</v>
      </c>
      <c r="B479" s="7">
        <v>44368</v>
      </c>
      <c r="C479">
        <v>71</v>
      </c>
      <c r="D479">
        <v>3025</v>
      </c>
      <c r="E479">
        <v>1612</v>
      </c>
      <c r="F479">
        <v>306</v>
      </c>
      <c r="G479" s="5">
        <f ca="1">IFERROR(__xludf.DUMMYFUNCTION("""COMPUTED_VALUE"""),14536)</f>
        <v>14536</v>
      </c>
      <c r="H479" s="5">
        <f ca="1">IFERROR(__xludf.DUMMYFUNCTION("""COMPUTED_VALUE"""),5014)</f>
        <v>5014</v>
      </c>
      <c r="I479">
        <v>-25</v>
      </c>
      <c r="J479">
        <v>2</v>
      </c>
      <c r="K479">
        <v>-46</v>
      </c>
      <c r="L479">
        <v>-38</v>
      </c>
      <c r="M479">
        <v>-34</v>
      </c>
      <c r="N479">
        <v>13</v>
      </c>
      <c r="O479">
        <v>135728</v>
      </c>
      <c r="Q479">
        <v>121377</v>
      </c>
      <c r="R479">
        <v>595654</v>
      </c>
      <c r="S479">
        <v>535273</v>
      </c>
      <c r="T479">
        <v>2668463</v>
      </c>
      <c r="U479">
        <v>1230605</v>
      </c>
      <c r="V479">
        <v>3399845</v>
      </c>
      <c r="W479">
        <v>1887255</v>
      </c>
      <c r="X479">
        <v>15141</v>
      </c>
      <c r="Y479">
        <v>498</v>
      </c>
      <c r="Z479">
        <v>2804191</v>
      </c>
      <c r="AA479">
        <v>1351982</v>
      </c>
      <c r="AB479">
        <v>53397</v>
      </c>
      <c r="AC479">
        <v>11735</v>
      </c>
      <c r="AD479">
        <v>14462</v>
      </c>
      <c r="AE479">
        <v>3221</v>
      </c>
      <c r="AF479">
        <v>11241</v>
      </c>
      <c r="AG479" s="2">
        <v>0.22272161530000001</v>
      </c>
      <c r="AH479" t="s">
        <v>33</v>
      </c>
      <c r="AI479" s="4">
        <v>7976</v>
      </c>
      <c r="AJ479" s="4">
        <v>439007</v>
      </c>
      <c r="AK479" s="4">
        <v>20717</v>
      </c>
      <c r="AL479" s="4">
        <v>11343</v>
      </c>
      <c r="AM479" s="4">
        <v>479043</v>
      </c>
      <c r="AN479" s="5">
        <f ca="1">IFERROR(__xludf.DUMMYFUNCTION("""COMPUTED_VALUE"""),1918)</f>
        <v>1918</v>
      </c>
    </row>
    <row r="480" spans="1:40" x14ac:dyDescent="0.35">
      <c r="A480" s="1">
        <v>479</v>
      </c>
      <c r="B480" s="7">
        <v>44369</v>
      </c>
      <c r="C480">
        <v>38</v>
      </c>
      <c r="D480">
        <v>3052</v>
      </c>
      <c r="E480">
        <v>450</v>
      </c>
      <c r="F480">
        <v>-319</v>
      </c>
      <c r="G480" s="5">
        <f ca="1">IFERROR(__xludf.DUMMYFUNCTION("""COMPUTED_VALUE"""),13668)</f>
        <v>13668</v>
      </c>
      <c r="H480" s="5">
        <f ca="1">IFERROR(__xludf.DUMMYFUNCTION("""COMPUTED_VALUE"""),3221)</f>
        <v>3221</v>
      </c>
      <c r="I480">
        <v>-26</v>
      </c>
      <c r="J480">
        <v>3</v>
      </c>
      <c r="K480">
        <v>-46</v>
      </c>
      <c r="L480">
        <v>-40</v>
      </c>
      <c r="M480">
        <v>-36</v>
      </c>
      <c r="N480">
        <v>13</v>
      </c>
      <c r="O480">
        <v>135728</v>
      </c>
      <c r="Q480">
        <v>121377</v>
      </c>
      <c r="R480">
        <v>595654</v>
      </c>
      <c r="S480">
        <v>535273</v>
      </c>
      <c r="T480">
        <v>2781630</v>
      </c>
      <c r="U480">
        <v>1235008</v>
      </c>
      <c r="V480">
        <v>3513012</v>
      </c>
      <c r="W480">
        <v>1891658</v>
      </c>
      <c r="X480">
        <v>113167</v>
      </c>
      <c r="Y480">
        <v>4403</v>
      </c>
      <c r="Z480">
        <v>2917358</v>
      </c>
      <c r="AA480">
        <v>1356385</v>
      </c>
      <c r="AB480">
        <v>53398</v>
      </c>
      <c r="AC480">
        <v>11736</v>
      </c>
      <c r="AD480">
        <v>19485</v>
      </c>
      <c r="AE480">
        <v>4693</v>
      </c>
      <c r="AF480">
        <v>14792</v>
      </c>
      <c r="AG480" s="2">
        <v>0.24085193739999999</v>
      </c>
      <c r="AH480" t="s">
        <v>33</v>
      </c>
      <c r="AI480" s="4">
        <v>8014</v>
      </c>
      <c r="AJ480" s="4">
        <v>442059</v>
      </c>
      <c r="AK480" s="4">
        <v>21167</v>
      </c>
      <c r="AL480" s="4">
        <v>11024</v>
      </c>
      <c r="AM480" s="4">
        <v>482264</v>
      </c>
      <c r="AN480" s="5">
        <f ca="1">IFERROR(__xludf.DUMMYFUNCTION("""COMPUTED_VALUE"""),131)</f>
        <v>131</v>
      </c>
    </row>
    <row r="481" spans="1:40" x14ac:dyDescent="0.35">
      <c r="A481" s="1">
        <v>480</v>
      </c>
      <c r="B481" s="7">
        <v>44370</v>
      </c>
      <c r="C481">
        <v>43</v>
      </c>
      <c r="D481">
        <v>1136</v>
      </c>
      <c r="E481">
        <v>1701</v>
      </c>
      <c r="F481">
        <v>1813</v>
      </c>
      <c r="G481" s="5">
        <f ca="1">IFERROR(__xludf.DUMMYFUNCTION("""COMPUTED_VALUE"""),15308)</f>
        <v>15308</v>
      </c>
      <c r="H481" s="5">
        <f ca="1">IFERROR(__xludf.DUMMYFUNCTION("""COMPUTED_VALUE"""),4693)</f>
        <v>4693</v>
      </c>
      <c r="I481">
        <v>-28</v>
      </c>
      <c r="J481">
        <v>0</v>
      </c>
      <c r="K481">
        <v>-47</v>
      </c>
      <c r="L481">
        <v>-42</v>
      </c>
      <c r="M481">
        <v>-36</v>
      </c>
      <c r="N481">
        <v>14</v>
      </c>
      <c r="O481">
        <v>135728</v>
      </c>
      <c r="Q481">
        <v>121377</v>
      </c>
      <c r="R481">
        <v>595654</v>
      </c>
      <c r="S481">
        <v>535273</v>
      </c>
      <c r="T481">
        <v>2861777</v>
      </c>
      <c r="U481">
        <v>1238158</v>
      </c>
      <c r="V481">
        <v>3593159</v>
      </c>
      <c r="W481">
        <v>1894808</v>
      </c>
      <c r="X481">
        <v>80147</v>
      </c>
      <c r="Y481">
        <v>3150</v>
      </c>
      <c r="Z481">
        <v>2997505</v>
      </c>
      <c r="AA481">
        <v>1359535</v>
      </c>
      <c r="AB481">
        <v>53399</v>
      </c>
      <c r="AC481">
        <v>11737</v>
      </c>
      <c r="AD481">
        <v>20460</v>
      </c>
      <c r="AE481">
        <v>7505</v>
      </c>
      <c r="AF481">
        <v>12955</v>
      </c>
      <c r="AG481" s="2">
        <v>0.36681329419999997</v>
      </c>
      <c r="AH481" t="s">
        <v>33</v>
      </c>
      <c r="AI481" s="4">
        <v>8057</v>
      </c>
      <c r="AJ481" s="4">
        <v>443195</v>
      </c>
      <c r="AK481" s="4">
        <v>22868</v>
      </c>
      <c r="AL481" s="4">
        <v>12837</v>
      </c>
      <c r="AM481" s="4">
        <v>486957</v>
      </c>
      <c r="AN481" s="5">
        <f ca="1">IFERROR(__xludf.DUMMYFUNCTION("""COMPUTED_VALUE"""),3514)</f>
        <v>3514</v>
      </c>
    </row>
    <row r="482" spans="1:40" x14ac:dyDescent="0.35">
      <c r="A482" s="1">
        <v>481</v>
      </c>
      <c r="B482" s="7">
        <v>44371</v>
      </c>
      <c r="C482">
        <v>50</v>
      </c>
      <c r="D482">
        <v>2523</v>
      </c>
      <c r="E482">
        <v>3535</v>
      </c>
      <c r="F482">
        <v>1397</v>
      </c>
      <c r="G482" s="5">
        <f ca="1">IFERROR(__xludf.DUMMYFUNCTION("""COMPUTED_VALUE"""),20574)</f>
        <v>20574</v>
      </c>
      <c r="H482" s="5">
        <f ca="1">IFERROR(__xludf.DUMMYFUNCTION("""COMPUTED_VALUE"""),7505)</f>
        <v>7505</v>
      </c>
      <c r="I482">
        <v>-28</v>
      </c>
      <c r="J482">
        <v>0</v>
      </c>
      <c r="K482">
        <v>-48</v>
      </c>
      <c r="L482">
        <v>-43</v>
      </c>
      <c r="M482">
        <v>-37</v>
      </c>
      <c r="N482">
        <v>15</v>
      </c>
      <c r="O482">
        <v>135728</v>
      </c>
      <c r="Q482">
        <v>121377</v>
      </c>
      <c r="R482">
        <v>595654</v>
      </c>
      <c r="S482">
        <v>535273</v>
      </c>
      <c r="T482">
        <v>3022069</v>
      </c>
      <c r="U482">
        <v>1241917</v>
      </c>
      <c r="V482">
        <v>3753451</v>
      </c>
      <c r="W482">
        <v>1898567</v>
      </c>
      <c r="X482">
        <v>160292</v>
      </c>
      <c r="Y482">
        <v>3759</v>
      </c>
      <c r="Z482">
        <v>3157797</v>
      </c>
      <c r="AA482">
        <v>1363294</v>
      </c>
      <c r="AB482">
        <v>64836</v>
      </c>
      <c r="AC482">
        <v>16062</v>
      </c>
      <c r="AD482">
        <v>20155</v>
      </c>
      <c r="AE482">
        <v>6934</v>
      </c>
      <c r="AF482">
        <v>13221</v>
      </c>
      <c r="AG482" s="2">
        <v>0.34403373850000002</v>
      </c>
      <c r="AH482" t="s">
        <v>33</v>
      </c>
      <c r="AI482" s="4">
        <v>8107</v>
      </c>
      <c r="AJ482" s="4">
        <v>445718</v>
      </c>
      <c r="AK482" s="4">
        <v>26403</v>
      </c>
      <c r="AL482" s="4">
        <v>14234</v>
      </c>
      <c r="AM482" s="4">
        <v>494462</v>
      </c>
      <c r="AN482" s="5">
        <f ca="1">IFERROR(__xludf.DUMMYFUNCTION("""COMPUTED_VALUE"""),4932)</f>
        <v>4932</v>
      </c>
    </row>
    <row r="483" spans="1:40" x14ac:dyDescent="0.35">
      <c r="A483" s="1">
        <v>482</v>
      </c>
      <c r="B483" s="7">
        <v>44372</v>
      </c>
      <c r="C483">
        <v>70</v>
      </c>
      <c r="D483">
        <v>2570</v>
      </c>
      <c r="E483">
        <v>2922</v>
      </c>
      <c r="F483">
        <v>1372</v>
      </c>
      <c r="G483" s="5">
        <f ca="1">IFERROR(__xludf.DUMMYFUNCTION("""COMPUTED_VALUE"""),18872)</f>
        <v>18872</v>
      </c>
      <c r="H483" s="5">
        <f ca="1">IFERROR(__xludf.DUMMYFUNCTION("""COMPUTED_VALUE"""),6934)</f>
        <v>6934</v>
      </c>
      <c r="I483">
        <v>-25</v>
      </c>
      <c r="J483">
        <v>7</v>
      </c>
      <c r="K483">
        <v>-45</v>
      </c>
      <c r="L483">
        <v>-44</v>
      </c>
      <c r="M483">
        <v>-37</v>
      </c>
      <c r="N483">
        <v>16</v>
      </c>
      <c r="O483">
        <v>135728</v>
      </c>
      <c r="Q483">
        <v>121377</v>
      </c>
      <c r="R483">
        <v>595654</v>
      </c>
      <c r="S483">
        <v>535273</v>
      </c>
      <c r="T483">
        <v>3152714</v>
      </c>
      <c r="U483">
        <v>1245683</v>
      </c>
      <c r="V483">
        <v>3884096</v>
      </c>
      <c r="W483">
        <v>1902333</v>
      </c>
      <c r="X483">
        <v>130645</v>
      </c>
      <c r="Y483">
        <v>3766</v>
      </c>
      <c r="Z483">
        <v>3288442</v>
      </c>
      <c r="AA483">
        <v>1367060</v>
      </c>
      <c r="AB483">
        <v>64837</v>
      </c>
      <c r="AC483">
        <v>16063</v>
      </c>
      <c r="AD483">
        <v>22911</v>
      </c>
      <c r="AE483">
        <v>9271</v>
      </c>
      <c r="AF483">
        <v>13640</v>
      </c>
      <c r="AG483" s="2">
        <v>0.40465278690000001</v>
      </c>
      <c r="AH483" t="s">
        <v>33</v>
      </c>
      <c r="AI483" s="4">
        <v>8177</v>
      </c>
      <c r="AJ483" s="4">
        <v>448288</v>
      </c>
      <c r="AK483" s="4">
        <v>29325</v>
      </c>
      <c r="AL483" s="4">
        <v>15606</v>
      </c>
      <c r="AM483" s="4">
        <v>501396</v>
      </c>
      <c r="AN483" s="5">
        <f ca="1">IFERROR(__xludf.DUMMYFUNCTION("""COMPUTED_VALUE"""),4294)</f>
        <v>4294</v>
      </c>
    </row>
    <row r="484" spans="1:40" x14ac:dyDescent="0.35">
      <c r="A484" s="1">
        <v>483</v>
      </c>
      <c r="B484" s="7">
        <v>44373</v>
      </c>
      <c r="C484">
        <v>43</v>
      </c>
      <c r="D484">
        <v>2725</v>
      </c>
      <c r="E484">
        <v>4504</v>
      </c>
      <c r="F484">
        <v>1999</v>
      </c>
      <c r="G484" s="5">
        <f ca="1">IFERROR(__xludf.DUMMYFUNCTION("""COMPUTED_VALUE"""),21095)</f>
        <v>21095</v>
      </c>
      <c r="H484" s="5">
        <f ca="1">IFERROR(__xludf.DUMMYFUNCTION("""COMPUTED_VALUE"""),9271)</f>
        <v>9271</v>
      </c>
      <c r="I484">
        <v>-32</v>
      </c>
      <c r="J484">
        <v>5</v>
      </c>
      <c r="K484">
        <v>-55</v>
      </c>
      <c r="L484">
        <v>-39</v>
      </c>
      <c r="M484">
        <v>-23</v>
      </c>
      <c r="N484">
        <v>11</v>
      </c>
      <c r="O484">
        <v>135728</v>
      </c>
      <c r="Q484">
        <v>121377</v>
      </c>
      <c r="R484">
        <v>595654</v>
      </c>
      <c r="S484">
        <v>535273</v>
      </c>
      <c r="T484">
        <v>3286874</v>
      </c>
      <c r="U484">
        <v>1250631</v>
      </c>
      <c r="V484">
        <v>4018256</v>
      </c>
      <c r="W484">
        <v>1907281</v>
      </c>
      <c r="X484">
        <v>134160</v>
      </c>
      <c r="Y484">
        <v>4948</v>
      </c>
      <c r="Z484">
        <v>3422602</v>
      </c>
      <c r="AA484">
        <v>1372008</v>
      </c>
      <c r="AB484">
        <v>72089</v>
      </c>
      <c r="AC484">
        <v>19991</v>
      </c>
      <c r="AD484">
        <v>24704</v>
      </c>
      <c r="AE484">
        <v>9394</v>
      </c>
      <c r="AF484">
        <v>15310</v>
      </c>
      <c r="AG484" s="2">
        <v>0.38026230570000003</v>
      </c>
      <c r="AH484" t="s">
        <v>33</v>
      </c>
      <c r="AI484" s="4">
        <v>8220</v>
      </c>
      <c r="AJ484" s="4">
        <v>451013</v>
      </c>
      <c r="AK484" s="4">
        <v>33829</v>
      </c>
      <c r="AL484" s="4">
        <v>17605</v>
      </c>
      <c r="AM484" s="4">
        <v>510667</v>
      </c>
      <c r="AN484" s="5">
        <f ca="1">IFERROR(__xludf.DUMMYFUNCTION("""COMPUTED_VALUE"""),6503)</f>
        <v>6503</v>
      </c>
    </row>
    <row r="485" spans="1:40" x14ac:dyDescent="0.35">
      <c r="A485" s="1">
        <v>484</v>
      </c>
      <c r="B485" s="7">
        <v>44374</v>
      </c>
      <c r="C485">
        <v>49</v>
      </c>
      <c r="D485">
        <v>3484</v>
      </c>
      <c r="E485">
        <v>4635</v>
      </c>
      <c r="F485">
        <v>1226</v>
      </c>
      <c r="G485" s="5">
        <f ca="1">IFERROR(__xludf.DUMMYFUNCTION("""COMPUTED_VALUE"""),21342)</f>
        <v>21342</v>
      </c>
      <c r="H485" s="5">
        <f ca="1">IFERROR(__xludf.DUMMYFUNCTION("""COMPUTED_VALUE"""),9394)</f>
        <v>9394</v>
      </c>
      <c r="I485">
        <v>-38</v>
      </c>
      <c r="J485">
        <v>-5</v>
      </c>
      <c r="K485">
        <v>-64</v>
      </c>
      <c r="L485">
        <v>-42</v>
      </c>
      <c r="M485">
        <v>-19</v>
      </c>
      <c r="N485">
        <v>12</v>
      </c>
      <c r="O485">
        <v>135728</v>
      </c>
      <c r="Q485">
        <v>121377</v>
      </c>
      <c r="R485">
        <v>595654</v>
      </c>
      <c r="S485">
        <v>535273</v>
      </c>
      <c r="T485">
        <v>3346354</v>
      </c>
      <c r="U485">
        <v>1254580</v>
      </c>
      <c r="V485">
        <v>4077736</v>
      </c>
      <c r="W485">
        <v>1911230</v>
      </c>
      <c r="X485">
        <v>59480</v>
      </c>
      <c r="Y485">
        <v>3949</v>
      </c>
      <c r="Z485">
        <v>3482082</v>
      </c>
      <c r="AA485">
        <v>1375957</v>
      </c>
      <c r="AB485">
        <v>75756</v>
      </c>
      <c r="AC485">
        <v>23258</v>
      </c>
      <c r="AD485">
        <v>24295</v>
      </c>
      <c r="AE485">
        <v>8348</v>
      </c>
      <c r="AF485">
        <v>15947</v>
      </c>
      <c r="AG485" s="2">
        <v>0.34360979629999999</v>
      </c>
      <c r="AH485" t="s">
        <v>33</v>
      </c>
      <c r="AI485" s="4">
        <v>8269</v>
      </c>
      <c r="AJ485" s="4">
        <v>454497</v>
      </c>
      <c r="AK485" s="4">
        <v>38464</v>
      </c>
      <c r="AL485" s="4">
        <v>18831</v>
      </c>
      <c r="AM485" s="4">
        <v>520061</v>
      </c>
      <c r="AN485" s="5">
        <f ca="1">IFERROR(__xludf.DUMMYFUNCTION("""COMPUTED_VALUE"""),5861)</f>
        <v>5861</v>
      </c>
    </row>
    <row r="486" spans="1:40" x14ac:dyDescent="0.35">
      <c r="A486" s="1">
        <v>485</v>
      </c>
      <c r="B486" s="7">
        <v>44375</v>
      </c>
      <c r="C486">
        <v>79</v>
      </c>
      <c r="D486">
        <v>3438</v>
      </c>
      <c r="E486">
        <v>3788</v>
      </c>
      <c r="F486">
        <v>1043</v>
      </c>
      <c r="G486" s="5">
        <f ca="1">IFERROR(__xludf.DUMMYFUNCTION("""COMPUTED_VALUE"""),20694)</f>
        <v>20694</v>
      </c>
      <c r="H486" s="5">
        <f ca="1">IFERROR(__xludf.DUMMYFUNCTION("""COMPUTED_VALUE"""),8348)</f>
        <v>8348</v>
      </c>
      <c r="I486">
        <v>-27</v>
      </c>
      <c r="J486">
        <v>8</v>
      </c>
      <c r="K486">
        <v>-49</v>
      </c>
      <c r="L486">
        <v>-44</v>
      </c>
      <c r="M486">
        <v>-40</v>
      </c>
      <c r="N486">
        <v>16</v>
      </c>
      <c r="O486">
        <v>136733</v>
      </c>
      <c r="Q486">
        <v>121794</v>
      </c>
      <c r="R486">
        <v>599877</v>
      </c>
      <c r="S486">
        <v>535273</v>
      </c>
      <c r="T486">
        <v>3368399</v>
      </c>
      <c r="U486">
        <v>1255847</v>
      </c>
      <c r="V486">
        <v>4105009</v>
      </c>
      <c r="W486">
        <v>1912914</v>
      </c>
      <c r="X486">
        <v>27273</v>
      </c>
      <c r="Y486">
        <v>1684</v>
      </c>
      <c r="Z486">
        <v>3505132</v>
      </c>
      <c r="AA486">
        <v>1377641</v>
      </c>
      <c r="AB486">
        <v>75757</v>
      </c>
      <c r="AC486">
        <v>23259</v>
      </c>
      <c r="AD486">
        <v>22046</v>
      </c>
      <c r="AE486">
        <v>7379</v>
      </c>
      <c r="AF486">
        <v>14667</v>
      </c>
      <c r="AG486" s="2">
        <v>0.33470924429999999</v>
      </c>
      <c r="AH486" t="s">
        <v>33</v>
      </c>
      <c r="AI486" s="4">
        <v>8348</v>
      </c>
      <c r="AJ486" s="4">
        <v>457935</v>
      </c>
      <c r="AK486" s="4">
        <v>42252</v>
      </c>
      <c r="AL486" s="4">
        <v>19874</v>
      </c>
      <c r="AM486" s="4">
        <v>528409</v>
      </c>
      <c r="AN486" s="5">
        <f ca="1">IFERROR(__xludf.DUMMYFUNCTION("""COMPUTED_VALUE"""),4831)</f>
        <v>4831</v>
      </c>
    </row>
    <row r="487" spans="1:40" x14ac:dyDescent="0.35">
      <c r="A487" s="1">
        <v>486</v>
      </c>
      <c r="B487" s="7">
        <v>44376</v>
      </c>
      <c r="C487">
        <v>78</v>
      </c>
      <c r="D487">
        <v>3504</v>
      </c>
      <c r="E487">
        <v>3252</v>
      </c>
      <c r="F487">
        <v>545</v>
      </c>
      <c r="G487" s="5">
        <f ca="1">IFERROR(__xludf.DUMMYFUNCTION("""COMPUTED_VALUE"""),20467)</f>
        <v>20467</v>
      </c>
      <c r="H487" s="5">
        <f ca="1">IFERROR(__xludf.DUMMYFUNCTION("""COMPUTED_VALUE"""),7379)</f>
        <v>7379</v>
      </c>
      <c r="I487">
        <v>-32</v>
      </c>
      <c r="J487">
        <v>2</v>
      </c>
      <c r="K487">
        <v>-54</v>
      </c>
      <c r="L487">
        <v>-47</v>
      </c>
      <c r="M487">
        <v>-43</v>
      </c>
      <c r="N487">
        <v>16</v>
      </c>
      <c r="O487">
        <v>136733</v>
      </c>
      <c r="Q487">
        <v>121794</v>
      </c>
      <c r="R487">
        <v>599877</v>
      </c>
      <c r="S487">
        <v>535273</v>
      </c>
      <c r="T487">
        <v>3496352</v>
      </c>
      <c r="U487">
        <v>1260595</v>
      </c>
      <c r="V487">
        <v>4232962</v>
      </c>
      <c r="W487">
        <v>1917662</v>
      </c>
      <c r="X487">
        <v>127953</v>
      </c>
      <c r="Y487">
        <v>4748</v>
      </c>
      <c r="Z487">
        <v>3633085</v>
      </c>
      <c r="AA487">
        <v>1382389</v>
      </c>
      <c r="AB487">
        <v>83415</v>
      </c>
      <c r="AC487">
        <v>26605</v>
      </c>
      <c r="AD487">
        <v>22432</v>
      </c>
      <c r="AE487">
        <v>7680</v>
      </c>
      <c r="AF487">
        <v>14752</v>
      </c>
      <c r="AG487" s="2">
        <v>0.3423680456</v>
      </c>
      <c r="AH487" t="s">
        <v>33</v>
      </c>
      <c r="AI487" s="4">
        <v>8426</v>
      </c>
      <c r="AJ487" s="4">
        <v>461439</v>
      </c>
      <c r="AK487" s="4">
        <v>45504</v>
      </c>
      <c r="AL487" s="4">
        <v>20419</v>
      </c>
      <c r="AM487" s="4">
        <v>535788</v>
      </c>
      <c r="AN487" s="5">
        <f ca="1">IFERROR(__xludf.DUMMYFUNCTION("""COMPUTED_VALUE"""),3797)</f>
        <v>3797</v>
      </c>
    </row>
    <row r="488" spans="1:40" x14ac:dyDescent="0.35">
      <c r="A488" s="1">
        <v>487</v>
      </c>
      <c r="B488" s="7">
        <v>44377</v>
      </c>
      <c r="C488">
        <v>60</v>
      </c>
      <c r="D488">
        <v>3504</v>
      </c>
      <c r="E488">
        <v>2325</v>
      </c>
      <c r="F488">
        <v>1791</v>
      </c>
      <c r="G488" s="5">
        <f ca="1">IFERROR(__xludf.DUMMYFUNCTION("""COMPUTED_VALUE"""),21807)</f>
        <v>21807</v>
      </c>
      <c r="H488" s="5">
        <f ca="1">IFERROR(__xludf.DUMMYFUNCTION("""COMPUTED_VALUE"""),7680)</f>
        <v>7680</v>
      </c>
      <c r="I488">
        <v>-31</v>
      </c>
      <c r="J488">
        <v>4</v>
      </c>
      <c r="K488">
        <v>-54</v>
      </c>
      <c r="L488">
        <v>-48</v>
      </c>
      <c r="M488">
        <v>-43</v>
      </c>
      <c r="N488">
        <v>15</v>
      </c>
      <c r="O488">
        <v>136733</v>
      </c>
      <c r="Q488">
        <v>121794</v>
      </c>
      <c r="R488">
        <v>599877</v>
      </c>
      <c r="S488">
        <v>535273</v>
      </c>
      <c r="T488">
        <v>3629039</v>
      </c>
      <c r="U488">
        <v>1263178</v>
      </c>
      <c r="V488">
        <v>4365649</v>
      </c>
      <c r="W488">
        <v>1920245</v>
      </c>
      <c r="X488">
        <v>132687</v>
      </c>
      <c r="Y488">
        <v>2583</v>
      </c>
      <c r="Z488">
        <v>3765772</v>
      </c>
      <c r="AA488">
        <v>1384972</v>
      </c>
      <c r="AB488">
        <v>83416</v>
      </c>
      <c r="AC488">
        <v>26606</v>
      </c>
      <c r="AD488">
        <v>21394</v>
      </c>
      <c r="AE488">
        <v>7541</v>
      </c>
      <c r="AF488">
        <v>13853</v>
      </c>
      <c r="AG488" s="2">
        <v>0.35248200429999998</v>
      </c>
      <c r="AH488" t="s">
        <v>33</v>
      </c>
      <c r="AI488" s="4">
        <v>8486</v>
      </c>
      <c r="AJ488" s="4">
        <v>464943</v>
      </c>
      <c r="AK488" s="4">
        <v>47829</v>
      </c>
      <c r="AL488" s="4">
        <v>22210</v>
      </c>
      <c r="AM488" s="4">
        <v>543468</v>
      </c>
      <c r="AN488" s="5">
        <f ca="1">IFERROR(__xludf.DUMMYFUNCTION("""COMPUTED_VALUE"""),4116)</f>
        <v>4116</v>
      </c>
    </row>
    <row r="489" spans="1:40" x14ac:dyDescent="0.35">
      <c r="A489" s="1">
        <v>488</v>
      </c>
      <c r="B489" s="7">
        <v>44378</v>
      </c>
      <c r="C489">
        <v>42</v>
      </c>
      <c r="D489">
        <v>3518</v>
      </c>
      <c r="E489">
        <v>2007</v>
      </c>
      <c r="F489">
        <v>1974</v>
      </c>
      <c r="G489" s="5">
        <f ca="1">IFERROR(__xludf.DUMMYFUNCTION("""COMPUTED_VALUE"""),24836)</f>
        <v>24836</v>
      </c>
      <c r="H489" s="5">
        <f ca="1">IFERROR(__xludf.DUMMYFUNCTION("""COMPUTED_VALUE"""),7541)</f>
        <v>7541</v>
      </c>
      <c r="I489">
        <v>-30</v>
      </c>
      <c r="J489">
        <v>8</v>
      </c>
      <c r="K489">
        <v>-51</v>
      </c>
      <c r="L489">
        <v>-47</v>
      </c>
      <c r="M489">
        <v>-43</v>
      </c>
      <c r="N489">
        <v>17</v>
      </c>
      <c r="O489">
        <v>136733</v>
      </c>
      <c r="Q489">
        <v>121794</v>
      </c>
      <c r="R489">
        <v>599877</v>
      </c>
      <c r="S489">
        <v>535273</v>
      </c>
      <c r="T489">
        <v>3761641</v>
      </c>
      <c r="U489">
        <v>1267783</v>
      </c>
      <c r="V489">
        <v>4498251</v>
      </c>
      <c r="W489">
        <v>1924850</v>
      </c>
      <c r="X489">
        <v>132602</v>
      </c>
      <c r="Y489">
        <v>4605</v>
      </c>
      <c r="Z489">
        <v>3897692</v>
      </c>
      <c r="AA489">
        <v>1389577</v>
      </c>
      <c r="AB489">
        <v>90852</v>
      </c>
      <c r="AC489">
        <v>30523</v>
      </c>
      <c r="AD489">
        <v>25285</v>
      </c>
      <c r="AE489">
        <v>9399</v>
      </c>
      <c r="AF489">
        <v>15886</v>
      </c>
      <c r="AG489" s="2">
        <v>0.371722365</v>
      </c>
      <c r="AH489" t="s">
        <v>33</v>
      </c>
      <c r="AI489" s="4">
        <v>8528</v>
      </c>
      <c r="AJ489" s="4">
        <v>468461</v>
      </c>
      <c r="AK489" s="4">
        <v>49836</v>
      </c>
      <c r="AL489" s="4">
        <v>24184</v>
      </c>
      <c r="AM489" s="4">
        <v>551009</v>
      </c>
      <c r="AN489" s="5">
        <f ca="1">IFERROR(__xludf.DUMMYFUNCTION("""COMPUTED_VALUE"""),3981)</f>
        <v>3981</v>
      </c>
    </row>
    <row r="490" spans="1:40" x14ac:dyDescent="0.35">
      <c r="A490" s="1">
        <v>489</v>
      </c>
      <c r="B490" s="7">
        <v>44379</v>
      </c>
      <c r="C490">
        <v>19</v>
      </c>
      <c r="D490">
        <v>5006</v>
      </c>
      <c r="E490">
        <v>3178</v>
      </c>
      <c r="F490">
        <v>1196</v>
      </c>
      <c r="G490" s="5">
        <f ca="1">IFERROR(__xludf.DUMMYFUNCTION("""COMPUTED_VALUE"""),25830)</f>
        <v>25830</v>
      </c>
      <c r="H490" s="5">
        <f ca="1">IFERROR(__xludf.DUMMYFUNCTION("""COMPUTED_VALUE"""),9399)</f>
        <v>9399</v>
      </c>
      <c r="I490">
        <v>-26</v>
      </c>
      <c r="J490">
        <v>12</v>
      </c>
      <c r="K490">
        <v>-47</v>
      </c>
      <c r="L490">
        <v>-47</v>
      </c>
      <c r="M490">
        <v>-41</v>
      </c>
      <c r="N490">
        <v>18</v>
      </c>
      <c r="O490">
        <v>136733</v>
      </c>
      <c r="Q490">
        <v>121794</v>
      </c>
      <c r="R490">
        <v>599877</v>
      </c>
      <c r="S490">
        <v>535273</v>
      </c>
      <c r="T490">
        <v>3867687</v>
      </c>
      <c r="U490">
        <v>1272047</v>
      </c>
      <c r="V490">
        <v>4604297</v>
      </c>
      <c r="W490">
        <v>1929114</v>
      </c>
      <c r="X490">
        <v>106046</v>
      </c>
      <c r="Y490">
        <v>4264</v>
      </c>
      <c r="Z490">
        <v>4003127</v>
      </c>
      <c r="AA490">
        <v>1393841</v>
      </c>
      <c r="AB490">
        <v>92965</v>
      </c>
      <c r="AC490">
        <v>32769</v>
      </c>
      <c r="AD490">
        <v>24478</v>
      </c>
      <c r="AE490">
        <v>9702</v>
      </c>
      <c r="AF490">
        <v>14776</v>
      </c>
      <c r="AG490" s="2">
        <v>0.39635591139999998</v>
      </c>
      <c r="AH490" t="s">
        <v>33</v>
      </c>
      <c r="AI490" s="4">
        <v>8547</v>
      </c>
      <c r="AJ490" s="4">
        <v>473467</v>
      </c>
      <c r="AK490" s="4">
        <v>53014</v>
      </c>
      <c r="AL490" s="4">
        <v>25380</v>
      </c>
      <c r="AM490" s="4">
        <v>560408</v>
      </c>
      <c r="AN490" s="5">
        <f ca="1">IFERROR(__xludf.DUMMYFUNCTION("""COMPUTED_VALUE"""),4374)</f>
        <v>4374</v>
      </c>
    </row>
    <row r="491" spans="1:40" x14ac:dyDescent="0.35">
      <c r="A491" s="1">
        <v>490</v>
      </c>
      <c r="B491" s="7">
        <v>44380</v>
      </c>
      <c r="C491">
        <v>30</v>
      </c>
      <c r="D491">
        <v>5683</v>
      </c>
      <c r="E491">
        <v>1927</v>
      </c>
      <c r="F491">
        <v>2062</v>
      </c>
      <c r="G491" s="5">
        <f ca="1">IFERROR(__xludf.DUMMYFUNCTION("""COMPUTED_VALUE"""),27913)</f>
        <v>27913</v>
      </c>
      <c r="H491" s="5">
        <f ca="1">IFERROR(__xludf.DUMMYFUNCTION("""COMPUTED_VALUE"""),9702)</f>
        <v>9702</v>
      </c>
      <c r="I491">
        <v>-45</v>
      </c>
      <c r="J491">
        <v>0</v>
      </c>
      <c r="K491">
        <v>-63</v>
      </c>
      <c r="L491">
        <v>-50</v>
      </c>
      <c r="M491">
        <v>-34</v>
      </c>
      <c r="N491">
        <v>16</v>
      </c>
      <c r="O491">
        <v>136733</v>
      </c>
      <c r="Q491">
        <v>121794</v>
      </c>
      <c r="R491">
        <v>599877</v>
      </c>
      <c r="S491">
        <v>535273</v>
      </c>
      <c r="T491">
        <v>3945402</v>
      </c>
      <c r="U491">
        <v>1274738</v>
      </c>
      <c r="V491">
        <v>4682012</v>
      </c>
      <c r="W491">
        <v>1931805</v>
      </c>
      <c r="X491">
        <v>77715</v>
      </c>
      <c r="Y491">
        <v>2691</v>
      </c>
      <c r="Z491">
        <v>4080842</v>
      </c>
      <c r="AA491">
        <v>1396532</v>
      </c>
      <c r="AB491">
        <v>94470</v>
      </c>
      <c r="AC491">
        <v>34297</v>
      </c>
      <c r="AD491">
        <v>24616</v>
      </c>
      <c r="AE491">
        <v>10485</v>
      </c>
      <c r="AF491">
        <v>14131</v>
      </c>
      <c r="AG491" s="2">
        <v>0.42594247639999999</v>
      </c>
      <c r="AH491" t="s">
        <v>34</v>
      </c>
      <c r="AI491" s="4">
        <v>8577</v>
      </c>
      <c r="AJ491" s="4">
        <v>479150</v>
      </c>
      <c r="AK491" s="4">
        <v>54941</v>
      </c>
      <c r="AL491" s="4">
        <v>27442</v>
      </c>
      <c r="AM491" s="4">
        <v>570110</v>
      </c>
      <c r="AN491" s="5">
        <f ca="1">IFERROR(__xludf.DUMMYFUNCTION("""COMPUTED_VALUE"""),3989)</f>
        <v>3989</v>
      </c>
    </row>
    <row r="492" spans="1:40" x14ac:dyDescent="0.35">
      <c r="A492" s="1">
        <v>491</v>
      </c>
      <c r="B492" s="7">
        <v>44381</v>
      </c>
      <c r="C492">
        <v>75</v>
      </c>
      <c r="D492">
        <v>5799</v>
      </c>
      <c r="E492">
        <v>4366</v>
      </c>
      <c r="F492">
        <v>245</v>
      </c>
      <c r="G492" s="5">
        <f ca="1">IFERROR(__xludf.DUMMYFUNCTION("""COMPUTED_VALUE"""),27233)</f>
        <v>27233</v>
      </c>
      <c r="H492" s="5">
        <f ca="1">IFERROR(__xludf.DUMMYFUNCTION("""COMPUTED_VALUE"""),10485)</f>
        <v>10485</v>
      </c>
      <c r="I492">
        <v>-49</v>
      </c>
      <c r="J492">
        <v>-7</v>
      </c>
      <c r="K492">
        <v>-70</v>
      </c>
      <c r="L492">
        <v>-52</v>
      </c>
      <c r="M492">
        <v>-29</v>
      </c>
      <c r="N492">
        <v>16</v>
      </c>
      <c r="O492">
        <v>136733</v>
      </c>
      <c r="Q492">
        <v>121794</v>
      </c>
      <c r="R492">
        <v>599877</v>
      </c>
      <c r="S492">
        <v>535273</v>
      </c>
      <c r="T492">
        <v>4064047</v>
      </c>
      <c r="U492">
        <v>1278202</v>
      </c>
      <c r="V492">
        <v>4800657</v>
      </c>
      <c r="W492">
        <v>1935269</v>
      </c>
      <c r="X492">
        <v>118645</v>
      </c>
      <c r="Y492">
        <v>3464</v>
      </c>
      <c r="Z492">
        <v>4199487</v>
      </c>
      <c r="AA492">
        <v>1399996</v>
      </c>
      <c r="AB492">
        <v>94471</v>
      </c>
      <c r="AC492">
        <v>34298</v>
      </c>
      <c r="AD492">
        <v>27356</v>
      </c>
      <c r="AE492">
        <v>10903</v>
      </c>
      <c r="AF492">
        <v>16453</v>
      </c>
      <c r="AG492" s="2">
        <v>0.39855973099999997</v>
      </c>
      <c r="AH492" t="s">
        <v>34</v>
      </c>
      <c r="AI492" s="4">
        <v>8652</v>
      </c>
      <c r="AJ492" s="4">
        <v>484949</v>
      </c>
      <c r="AK492" s="4">
        <v>59307</v>
      </c>
      <c r="AL492" s="4">
        <v>27687</v>
      </c>
      <c r="AM492" s="4">
        <v>580595</v>
      </c>
      <c r="AN492" s="5">
        <f ca="1">IFERROR(__xludf.DUMMYFUNCTION("""COMPUTED_VALUE"""),4611)</f>
        <v>4611</v>
      </c>
    </row>
    <row r="493" spans="1:40" x14ac:dyDescent="0.35">
      <c r="A493" s="1">
        <v>492</v>
      </c>
      <c r="B493" s="7">
        <v>44382</v>
      </c>
      <c r="C493">
        <v>127</v>
      </c>
      <c r="D493">
        <v>6607</v>
      </c>
      <c r="E493">
        <v>3566</v>
      </c>
      <c r="F493">
        <v>603</v>
      </c>
      <c r="G493" s="5">
        <f ca="1">IFERROR(__xludf.DUMMYFUNCTION("""COMPUTED_VALUE"""),29745)</f>
        <v>29745</v>
      </c>
      <c r="H493" s="5">
        <f ca="1">IFERROR(__xludf.DUMMYFUNCTION("""COMPUTED_VALUE"""),10903)</f>
        <v>10903</v>
      </c>
      <c r="I493">
        <v>-40</v>
      </c>
      <c r="J493">
        <v>0</v>
      </c>
      <c r="K493">
        <v>-56</v>
      </c>
      <c r="L493">
        <v>-54</v>
      </c>
      <c r="M493">
        <v>-50</v>
      </c>
      <c r="N493">
        <v>20</v>
      </c>
      <c r="O493">
        <v>136733</v>
      </c>
      <c r="Q493">
        <v>121794</v>
      </c>
      <c r="R493">
        <v>599877</v>
      </c>
      <c r="S493">
        <v>535273</v>
      </c>
      <c r="T493">
        <v>4091384</v>
      </c>
      <c r="U493">
        <v>1278790</v>
      </c>
      <c r="V493">
        <v>4827994</v>
      </c>
      <c r="W493">
        <v>1935857</v>
      </c>
      <c r="X493">
        <v>27337</v>
      </c>
      <c r="Y493">
        <v>588</v>
      </c>
      <c r="Z493">
        <v>4215155</v>
      </c>
      <c r="AA493">
        <v>1400584</v>
      </c>
      <c r="AB493">
        <v>94472</v>
      </c>
      <c r="AC493">
        <v>34299</v>
      </c>
      <c r="AD493">
        <v>25309</v>
      </c>
      <c r="AE493">
        <v>9439</v>
      </c>
      <c r="AF493">
        <v>15870</v>
      </c>
      <c r="AG493" s="2">
        <v>0.37295033389999999</v>
      </c>
      <c r="AH493" t="s">
        <v>34</v>
      </c>
      <c r="AI493" s="4">
        <v>8779</v>
      </c>
      <c r="AJ493" s="4">
        <v>491556</v>
      </c>
      <c r="AK493" s="4">
        <v>62873</v>
      </c>
      <c r="AL493" s="4">
        <v>28290</v>
      </c>
      <c r="AM493" s="4">
        <v>591498</v>
      </c>
      <c r="AN493" s="5">
        <f ca="1">IFERROR(__xludf.DUMMYFUNCTION("""COMPUTED_VALUE"""),4169)</f>
        <v>4169</v>
      </c>
    </row>
    <row r="494" spans="1:40" x14ac:dyDescent="0.35">
      <c r="A494" s="1">
        <v>493</v>
      </c>
      <c r="B494" s="7">
        <v>44383</v>
      </c>
      <c r="C494">
        <v>82</v>
      </c>
      <c r="D494">
        <v>5936</v>
      </c>
      <c r="E494">
        <v>2575</v>
      </c>
      <c r="F494">
        <v>846</v>
      </c>
      <c r="G494" s="5">
        <f ca="1">IFERROR(__xludf.DUMMYFUNCTION("""COMPUTED_VALUE"""),31189)</f>
        <v>31189</v>
      </c>
      <c r="H494" s="5">
        <f ca="1">IFERROR(__xludf.DUMMYFUNCTION("""COMPUTED_VALUE"""),9439)</f>
        <v>9439</v>
      </c>
      <c r="I494">
        <v>-43</v>
      </c>
      <c r="J494">
        <v>-4</v>
      </c>
      <c r="K494">
        <v>-58</v>
      </c>
      <c r="L494">
        <v>-55</v>
      </c>
      <c r="M494">
        <v>-51</v>
      </c>
      <c r="N494">
        <v>21</v>
      </c>
      <c r="O494">
        <v>136733</v>
      </c>
      <c r="Q494">
        <v>121794</v>
      </c>
      <c r="R494">
        <v>599877</v>
      </c>
      <c r="S494">
        <v>535273</v>
      </c>
      <c r="T494">
        <v>4173066</v>
      </c>
      <c r="U494">
        <v>1281036</v>
      </c>
      <c r="V494">
        <v>4909676</v>
      </c>
      <c r="W494">
        <v>1938103</v>
      </c>
      <c r="X494">
        <v>81682</v>
      </c>
      <c r="Y494">
        <v>2246</v>
      </c>
      <c r="Z494">
        <v>4290114</v>
      </c>
      <c r="AA494">
        <v>1402830</v>
      </c>
      <c r="AB494">
        <v>94473</v>
      </c>
      <c r="AC494">
        <v>34300</v>
      </c>
      <c r="AD494">
        <v>25453</v>
      </c>
      <c r="AE494">
        <v>9366</v>
      </c>
      <c r="AF494">
        <v>16087</v>
      </c>
      <c r="AG494" s="2">
        <v>0.3679723412</v>
      </c>
      <c r="AH494" t="s">
        <v>34</v>
      </c>
      <c r="AI494" s="4">
        <v>8861</v>
      </c>
      <c r="AJ494" s="4">
        <v>497492</v>
      </c>
      <c r="AK494" s="4">
        <v>65448</v>
      </c>
      <c r="AL494" s="4">
        <v>29136</v>
      </c>
      <c r="AM494" s="4">
        <v>600937</v>
      </c>
      <c r="AN494" s="5">
        <f ca="1">IFERROR(__xludf.DUMMYFUNCTION("""COMPUTED_VALUE"""),3421)</f>
        <v>3421</v>
      </c>
    </row>
    <row r="495" spans="1:40" x14ac:dyDescent="0.35">
      <c r="A495" s="1">
        <v>494</v>
      </c>
      <c r="B495" s="7">
        <v>44384</v>
      </c>
      <c r="C495">
        <v>181</v>
      </c>
      <c r="D495">
        <v>3707</v>
      </c>
      <c r="E495">
        <v>4196</v>
      </c>
      <c r="F495">
        <v>1282</v>
      </c>
      <c r="G495" s="5">
        <f ca="1">IFERROR(__xludf.DUMMYFUNCTION("""COMPUTED_VALUE"""),34379)</f>
        <v>34379</v>
      </c>
      <c r="H495" s="5">
        <f ca="1">IFERROR(__xludf.DUMMYFUNCTION("""COMPUTED_VALUE"""),9366)</f>
        <v>9366</v>
      </c>
      <c r="I495">
        <v>-43</v>
      </c>
      <c r="J495">
        <v>-5</v>
      </c>
      <c r="K495">
        <v>-58</v>
      </c>
      <c r="L495">
        <v>-56</v>
      </c>
      <c r="M495">
        <v>-51</v>
      </c>
      <c r="N495">
        <v>21</v>
      </c>
      <c r="O495">
        <v>136733</v>
      </c>
      <c r="Q495">
        <v>121794</v>
      </c>
      <c r="R495">
        <v>599877</v>
      </c>
      <c r="S495">
        <v>535273</v>
      </c>
      <c r="T495">
        <v>4336223</v>
      </c>
      <c r="U495">
        <v>1286025</v>
      </c>
      <c r="V495">
        <v>5072833</v>
      </c>
      <c r="W495">
        <v>1943092</v>
      </c>
      <c r="X495">
        <v>163157</v>
      </c>
      <c r="Y495">
        <v>4989</v>
      </c>
      <c r="Z495">
        <v>4436232</v>
      </c>
      <c r="AA495">
        <v>1407819</v>
      </c>
      <c r="AB495">
        <v>100685</v>
      </c>
      <c r="AC495">
        <v>39077</v>
      </c>
      <c r="AD495">
        <v>28003</v>
      </c>
      <c r="AE495">
        <v>12974</v>
      </c>
      <c r="AF495">
        <v>15029</v>
      </c>
      <c r="AG495" s="2">
        <v>0.46330750279999999</v>
      </c>
      <c r="AH495" t="s">
        <v>34</v>
      </c>
      <c r="AI495" s="4">
        <v>9042</v>
      </c>
      <c r="AJ495" s="4">
        <v>501199</v>
      </c>
      <c r="AK495" s="4">
        <v>69644</v>
      </c>
      <c r="AL495" s="4">
        <v>30418</v>
      </c>
      <c r="AM495" s="4">
        <v>610303</v>
      </c>
      <c r="AN495" s="5">
        <f ca="1">IFERROR(__xludf.DUMMYFUNCTION("""COMPUTED_VALUE"""),5478)</f>
        <v>5478</v>
      </c>
    </row>
    <row r="496" spans="1:40" x14ac:dyDescent="0.35">
      <c r="A496" s="1">
        <v>495</v>
      </c>
      <c r="B496" s="7">
        <v>44385</v>
      </c>
      <c r="C496">
        <v>68</v>
      </c>
      <c r="D496">
        <v>10886</v>
      </c>
      <c r="E496">
        <v>2717</v>
      </c>
      <c r="F496">
        <v>-697</v>
      </c>
      <c r="G496" s="5">
        <f ca="1">IFERROR(__xludf.DUMMYFUNCTION("""COMPUTED_VALUE"""),38391)</f>
        <v>38391</v>
      </c>
      <c r="H496" s="5">
        <f ca="1">IFERROR(__xludf.DUMMYFUNCTION("""COMPUTED_VALUE"""),12974)</f>
        <v>12974</v>
      </c>
      <c r="I496">
        <v>-43</v>
      </c>
      <c r="J496">
        <v>-6</v>
      </c>
      <c r="K496">
        <v>-56</v>
      </c>
      <c r="L496">
        <v>-57</v>
      </c>
      <c r="M496">
        <v>-51</v>
      </c>
      <c r="N496">
        <v>21</v>
      </c>
      <c r="O496">
        <v>136733</v>
      </c>
      <c r="Q496">
        <v>121794</v>
      </c>
      <c r="R496">
        <v>599877</v>
      </c>
      <c r="S496">
        <v>535273</v>
      </c>
      <c r="T496">
        <v>4425085</v>
      </c>
      <c r="U496">
        <v>1288054</v>
      </c>
      <c r="V496">
        <v>5161695</v>
      </c>
      <c r="W496">
        <v>1945121</v>
      </c>
      <c r="X496">
        <v>88862</v>
      </c>
      <c r="Y496">
        <v>2029</v>
      </c>
      <c r="Z496">
        <v>4516412</v>
      </c>
      <c r="AA496">
        <v>1409848</v>
      </c>
      <c r="AB496">
        <v>100834</v>
      </c>
      <c r="AC496">
        <v>39078</v>
      </c>
      <c r="AD496">
        <v>31847</v>
      </c>
      <c r="AE496">
        <v>13112</v>
      </c>
      <c r="AF496">
        <v>18735</v>
      </c>
      <c r="AG496" s="2">
        <v>0.41171852920000002</v>
      </c>
      <c r="AH496" t="s">
        <v>34</v>
      </c>
      <c r="AI496" s="4">
        <v>9110</v>
      </c>
      <c r="AJ496" s="4">
        <v>512085</v>
      </c>
      <c r="AK496" s="4">
        <v>72361</v>
      </c>
      <c r="AL496" s="4">
        <v>29721</v>
      </c>
      <c r="AM496" s="4">
        <v>623277</v>
      </c>
      <c r="AN496" s="5">
        <f ca="1">IFERROR(__xludf.DUMMYFUNCTION("""COMPUTED_VALUE"""),2020)</f>
        <v>2020</v>
      </c>
    </row>
    <row r="497" spans="1:40" x14ac:dyDescent="0.35">
      <c r="A497" s="1">
        <v>496</v>
      </c>
      <c r="B497" s="7">
        <v>44386</v>
      </c>
      <c r="C497">
        <v>196</v>
      </c>
      <c r="D497">
        <v>14856</v>
      </c>
      <c r="E497">
        <v>878</v>
      </c>
      <c r="F497">
        <v>-2818</v>
      </c>
      <c r="G497" s="5">
        <f ca="1">IFERROR(__xludf.DUMMYFUNCTION("""COMPUTED_VALUE"""),38124)</f>
        <v>38124</v>
      </c>
      <c r="H497" s="5">
        <f ca="1">IFERROR(__xludf.DUMMYFUNCTION("""COMPUTED_VALUE"""),13112)</f>
        <v>13112</v>
      </c>
      <c r="I497">
        <v>-43</v>
      </c>
      <c r="J497">
        <v>-5</v>
      </c>
      <c r="K497">
        <v>-54</v>
      </c>
      <c r="L497">
        <v>-58</v>
      </c>
      <c r="M497">
        <v>-50</v>
      </c>
      <c r="N497">
        <v>23</v>
      </c>
      <c r="O497">
        <v>136733</v>
      </c>
      <c r="Q497">
        <v>121794</v>
      </c>
      <c r="R497">
        <v>599877</v>
      </c>
      <c r="S497">
        <v>535273</v>
      </c>
      <c r="T497">
        <v>4651990</v>
      </c>
      <c r="U497">
        <v>1293428</v>
      </c>
      <c r="V497">
        <v>5388600</v>
      </c>
      <c r="W497">
        <v>1950495</v>
      </c>
      <c r="X497">
        <v>226905</v>
      </c>
      <c r="Y497">
        <v>5374</v>
      </c>
      <c r="Z497">
        <v>4705939</v>
      </c>
      <c r="AA497">
        <v>1415222</v>
      </c>
      <c r="AB497">
        <v>105582</v>
      </c>
      <c r="AC497">
        <v>40732</v>
      </c>
      <c r="AD497">
        <v>30950</v>
      </c>
      <c r="AE497">
        <v>12920</v>
      </c>
      <c r="AF497">
        <v>18030</v>
      </c>
      <c r="AG497" s="2">
        <v>0.41744749599999997</v>
      </c>
      <c r="AH497" t="s">
        <v>34</v>
      </c>
      <c r="AI497" s="4">
        <v>9306</v>
      </c>
      <c r="AJ497" s="4">
        <v>526941</v>
      </c>
      <c r="AK497" s="4">
        <v>73239</v>
      </c>
      <c r="AL497" s="4">
        <v>26903</v>
      </c>
      <c r="AM497" s="4">
        <v>636389</v>
      </c>
      <c r="AN497" s="5">
        <f ca="1">IFERROR(__xludf.DUMMYFUNCTION("""COMPUTED_VALUE"""),-1940)</f>
        <v>-1940</v>
      </c>
    </row>
    <row r="498" spans="1:40" x14ac:dyDescent="0.35">
      <c r="A498" s="1">
        <v>497</v>
      </c>
      <c r="B498" s="7">
        <v>44387</v>
      </c>
      <c r="C498">
        <v>51</v>
      </c>
      <c r="D498">
        <v>16926</v>
      </c>
      <c r="E498">
        <v>-1427</v>
      </c>
      <c r="F498">
        <v>-2630</v>
      </c>
      <c r="G498" s="5">
        <f ca="1">IFERROR(__xludf.DUMMYFUNCTION("""COMPUTED_VALUE"""),35094)</f>
        <v>35094</v>
      </c>
      <c r="H498" s="5">
        <f ca="1">IFERROR(__xludf.DUMMYFUNCTION("""COMPUTED_VALUE"""),12920)</f>
        <v>12920</v>
      </c>
      <c r="I498">
        <v>-49</v>
      </c>
      <c r="J498">
        <v>-7</v>
      </c>
      <c r="K498">
        <v>-65</v>
      </c>
      <c r="L498">
        <v>-54</v>
      </c>
      <c r="M498">
        <v>-36</v>
      </c>
      <c r="N498">
        <v>17</v>
      </c>
      <c r="O498">
        <v>136733</v>
      </c>
      <c r="Q498">
        <v>121794</v>
      </c>
      <c r="R498">
        <v>599877</v>
      </c>
      <c r="S498">
        <v>535273</v>
      </c>
      <c r="T498">
        <v>4686935</v>
      </c>
      <c r="U498">
        <v>1293976</v>
      </c>
      <c r="V498">
        <v>5423545</v>
      </c>
      <c r="W498">
        <v>1951043</v>
      </c>
      <c r="X498">
        <v>34945</v>
      </c>
      <c r="Y498">
        <v>548</v>
      </c>
      <c r="Z498">
        <v>4735163</v>
      </c>
      <c r="AA498">
        <v>1415770</v>
      </c>
      <c r="AB498">
        <v>105582</v>
      </c>
      <c r="AC498">
        <v>40733</v>
      </c>
      <c r="AD498">
        <v>35642</v>
      </c>
      <c r="AE498">
        <v>13133</v>
      </c>
      <c r="AF498">
        <v>22509</v>
      </c>
      <c r="AG498" s="2">
        <v>0.36846978279999998</v>
      </c>
      <c r="AH498" t="s">
        <v>34</v>
      </c>
      <c r="AI498" s="4">
        <v>9357</v>
      </c>
      <c r="AJ498" s="4">
        <v>543867</v>
      </c>
      <c r="AK498" s="4">
        <v>71812</v>
      </c>
      <c r="AL498" s="4">
        <v>24273</v>
      </c>
      <c r="AM498" s="4">
        <v>649309</v>
      </c>
      <c r="AN498" s="5">
        <f ca="1">IFERROR(__xludf.DUMMYFUNCTION("""COMPUTED_VALUE"""),-4057)</f>
        <v>-4057</v>
      </c>
    </row>
    <row r="499" spans="1:40" x14ac:dyDescent="0.35">
      <c r="A499" s="1">
        <v>498</v>
      </c>
      <c r="B499" s="7">
        <v>44388</v>
      </c>
      <c r="C499">
        <v>38</v>
      </c>
      <c r="D499">
        <v>20570</v>
      </c>
      <c r="E499">
        <v>-3561</v>
      </c>
      <c r="F499">
        <v>-3914</v>
      </c>
      <c r="G499" s="5">
        <f ca="1">IFERROR(__xludf.DUMMYFUNCTION("""COMPUTED_VALUE"""),36197)</f>
        <v>36197</v>
      </c>
      <c r="H499" s="5">
        <f ca="1">IFERROR(__xludf.DUMMYFUNCTION("""COMPUTED_VALUE"""),13133)</f>
        <v>13133</v>
      </c>
      <c r="I499">
        <v>-51</v>
      </c>
      <c r="J499">
        <v>-14</v>
      </c>
      <c r="K499">
        <v>-72</v>
      </c>
      <c r="L499">
        <v>-55</v>
      </c>
      <c r="M499">
        <v>-29</v>
      </c>
      <c r="N499">
        <v>17</v>
      </c>
      <c r="O499">
        <v>136733</v>
      </c>
      <c r="Q499">
        <v>121794</v>
      </c>
      <c r="R499">
        <v>599877</v>
      </c>
      <c r="S499">
        <v>535273</v>
      </c>
      <c r="T499">
        <v>4705083</v>
      </c>
      <c r="U499">
        <v>1294418</v>
      </c>
      <c r="V499">
        <v>5441693</v>
      </c>
      <c r="W499">
        <v>1951485</v>
      </c>
      <c r="X499">
        <v>18148</v>
      </c>
      <c r="Y499">
        <v>442</v>
      </c>
      <c r="Z499">
        <v>4750013</v>
      </c>
      <c r="AA499">
        <v>1416212</v>
      </c>
      <c r="AB499">
        <v>105622</v>
      </c>
      <c r="AC499">
        <v>40734</v>
      </c>
      <c r="AD499">
        <v>35376</v>
      </c>
      <c r="AE499">
        <v>14619</v>
      </c>
      <c r="AF499">
        <v>20757</v>
      </c>
      <c r="AG499" s="2">
        <v>0.41324626869999997</v>
      </c>
      <c r="AH499" t="s">
        <v>34</v>
      </c>
      <c r="AI499" s="4">
        <v>9395</v>
      </c>
      <c r="AJ499" s="4">
        <v>564437</v>
      </c>
      <c r="AK499" s="4">
        <v>68251</v>
      </c>
      <c r="AL499" s="4">
        <v>20359</v>
      </c>
      <c r="AM499" s="4">
        <v>662442</v>
      </c>
      <c r="AN499" s="5">
        <f ca="1">IFERROR(__xludf.DUMMYFUNCTION("""COMPUTED_VALUE"""),-7475)</f>
        <v>-7475</v>
      </c>
    </row>
    <row r="500" spans="1:40" x14ac:dyDescent="0.35">
      <c r="A500" s="1">
        <v>499</v>
      </c>
      <c r="B500" s="7">
        <v>44389</v>
      </c>
      <c r="C500">
        <v>67</v>
      </c>
      <c r="D500">
        <v>20475</v>
      </c>
      <c r="E500">
        <v>-1670</v>
      </c>
      <c r="F500">
        <v>-4253</v>
      </c>
      <c r="G500" s="5">
        <f ca="1">IFERROR(__xludf.DUMMYFUNCTION("""COMPUTED_VALUE"""),40427)</f>
        <v>40427</v>
      </c>
      <c r="H500" s="5">
        <f ca="1">IFERROR(__xludf.DUMMYFUNCTION("""COMPUTED_VALUE"""),14619)</f>
        <v>14619</v>
      </c>
      <c r="I500">
        <v>-43</v>
      </c>
      <c r="J500">
        <v>-8</v>
      </c>
      <c r="K500">
        <v>-56</v>
      </c>
      <c r="L500">
        <v>-60</v>
      </c>
      <c r="M500">
        <v>-51</v>
      </c>
      <c r="N500">
        <v>21</v>
      </c>
      <c r="O500">
        <v>136733</v>
      </c>
      <c r="Q500">
        <v>121794</v>
      </c>
      <c r="R500">
        <v>599877</v>
      </c>
      <c r="S500">
        <v>535273</v>
      </c>
      <c r="T500">
        <v>4729394</v>
      </c>
      <c r="U500">
        <v>1294628</v>
      </c>
      <c r="V500">
        <v>5466004</v>
      </c>
      <c r="W500">
        <v>1951695</v>
      </c>
      <c r="X500">
        <v>24311</v>
      </c>
      <c r="Y500">
        <v>210</v>
      </c>
      <c r="Z500">
        <v>4773966</v>
      </c>
      <c r="AA500">
        <v>1416422</v>
      </c>
      <c r="AB500">
        <v>105641</v>
      </c>
      <c r="AC500">
        <v>40735</v>
      </c>
      <c r="AD500">
        <v>31632</v>
      </c>
      <c r="AE500">
        <v>12182</v>
      </c>
      <c r="AF500">
        <v>19450</v>
      </c>
      <c r="AG500" s="2">
        <v>0.38511633789999999</v>
      </c>
      <c r="AH500" t="s">
        <v>34</v>
      </c>
      <c r="AI500" s="4">
        <v>9462</v>
      </c>
      <c r="AJ500" s="4">
        <v>584912</v>
      </c>
      <c r="AK500" s="4">
        <v>66581</v>
      </c>
      <c r="AL500" s="4">
        <v>16106</v>
      </c>
      <c r="AM500" s="4">
        <v>677061</v>
      </c>
      <c r="AN500" s="5">
        <f ca="1">IFERROR(__xludf.DUMMYFUNCTION("""COMPUTED_VALUE"""),-5923)</f>
        <v>-5923</v>
      </c>
    </row>
    <row r="501" spans="1:40" x14ac:dyDescent="0.35">
      <c r="A501" s="1">
        <v>500</v>
      </c>
      <c r="B501" s="7">
        <v>44390</v>
      </c>
      <c r="C501">
        <v>79</v>
      </c>
      <c r="D501">
        <v>4574</v>
      </c>
      <c r="E501">
        <v>5267</v>
      </c>
      <c r="F501">
        <v>2262</v>
      </c>
      <c r="G501" s="5">
        <f ca="1">IFERROR(__xludf.DUMMYFUNCTION("""COMPUTED_VALUE"""),47899)</f>
        <v>47899</v>
      </c>
      <c r="H501" s="5">
        <f ca="1">IFERROR(__xludf.DUMMYFUNCTION("""COMPUTED_VALUE"""),12182)</f>
        <v>12182</v>
      </c>
      <c r="I501">
        <v>-46</v>
      </c>
      <c r="J501">
        <v>-12</v>
      </c>
      <c r="K501">
        <v>-59</v>
      </c>
      <c r="L501">
        <v>-60</v>
      </c>
      <c r="M501">
        <v>-53</v>
      </c>
      <c r="N501">
        <v>22</v>
      </c>
      <c r="O501">
        <v>136733</v>
      </c>
      <c r="Q501">
        <v>121794</v>
      </c>
      <c r="R501">
        <v>599877</v>
      </c>
      <c r="S501">
        <v>535273</v>
      </c>
      <c r="T501">
        <v>4807725</v>
      </c>
      <c r="U501">
        <v>1295799</v>
      </c>
      <c r="V501">
        <v>5544335</v>
      </c>
      <c r="W501">
        <v>1952866</v>
      </c>
      <c r="X501">
        <v>78331</v>
      </c>
      <c r="Y501">
        <v>1171</v>
      </c>
      <c r="Z501">
        <v>4839141</v>
      </c>
      <c r="AA501">
        <v>1417593</v>
      </c>
      <c r="AB501">
        <v>109064</v>
      </c>
      <c r="AC501">
        <v>41052</v>
      </c>
      <c r="AD501">
        <v>43067</v>
      </c>
      <c r="AE501">
        <v>12667</v>
      </c>
      <c r="AF501">
        <v>30400</v>
      </c>
      <c r="AG501" s="2">
        <v>0.29412311050000001</v>
      </c>
      <c r="AH501" t="s">
        <v>34</v>
      </c>
      <c r="AI501" s="4">
        <v>9541</v>
      </c>
      <c r="AJ501" s="4">
        <v>589486</v>
      </c>
      <c r="AK501" s="4">
        <v>71848</v>
      </c>
      <c r="AL501" s="4">
        <v>18368</v>
      </c>
      <c r="AM501" s="4">
        <v>689243</v>
      </c>
      <c r="AN501" s="5">
        <f ca="1">IFERROR(__xludf.DUMMYFUNCTION("""COMPUTED_VALUE"""),7529)</f>
        <v>7529</v>
      </c>
    </row>
    <row r="502" spans="1:40" x14ac:dyDescent="0.35">
      <c r="A502" s="1">
        <v>501</v>
      </c>
      <c r="B502" s="7">
        <v>44391</v>
      </c>
      <c r="C502">
        <v>62</v>
      </c>
      <c r="D502">
        <v>3070</v>
      </c>
      <c r="E502">
        <v>6723</v>
      </c>
      <c r="F502">
        <v>2812</v>
      </c>
      <c r="G502" s="5">
        <f ca="1">IFERROR(__xludf.DUMMYFUNCTION("""COMPUTED_VALUE"""),54517)</f>
        <v>54517</v>
      </c>
      <c r="H502" s="5">
        <f ca="1">IFERROR(__xludf.DUMMYFUNCTION("""COMPUTED_VALUE"""),12667)</f>
        <v>12667</v>
      </c>
      <c r="I502">
        <v>-45</v>
      </c>
      <c r="J502">
        <v>-12</v>
      </c>
      <c r="K502">
        <v>-59</v>
      </c>
      <c r="L502">
        <v>-60</v>
      </c>
      <c r="M502">
        <v>-51</v>
      </c>
      <c r="N502">
        <v>22</v>
      </c>
      <c r="O502">
        <v>136733</v>
      </c>
      <c r="Q502">
        <v>121794</v>
      </c>
      <c r="R502">
        <v>623508</v>
      </c>
      <c r="S502">
        <v>539719</v>
      </c>
      <c r="T502">
        <v>5165244</v>
      </c>
      <c r="U502">
        <v>1304367</v>
      </c>
      <c r="V502">
        <v>5925485</v>
      </c>
      <c r="W502">
        <v>1965880</v>
      </c>
      <c r="X502">
        <v>381150</v>
      </c>
      <c r="Y502">
        <v>13014</v>
      </c>
      <c r="Z502">
        <v>5123691</v>
      </c>
      <c r="AA502">
        <v>1426161</v>
      </c>
      <c r="AB502">
        <v>123107</v>
      </c>
      <c r="AC502">
        <v>41053</v>
      </c>
      <c r="AD502">
        <v>41734</v>
      </c>
      <c r="AE502">
        <v>12691</v>
      </c>
      <c r="AF502">
        <v>29043</v>
      </c>
      <c r="AG502" s="2">
        <v>0.30409258639999998</v>
      </c>
      <c r="AH502" t="s">
        <v>34</v>
      </c>
      <c r="AI502" s="4">
        <v>9603</v>
      </c>
      <c r="AJ502" s="4">
        <v>592556</v>
      </c>
      <c r="AK502" s="4">
        <v>78571</v>
      </c>
      <c r="AL502" s="4">
        <v>21180</v>
      </c>
      <c r="AM502" s="4">
        <v>701910</v>
      </c>
      <c r="AN502" s="5">
        <f ca="1">IFERROR(__xludf.DUMMYFUNCTION("""COMPUTED_VALUE"""),9535)</f>
        <v>9535</v>
      </c>
    </row>
    <row r="503" spans="1:40" x14ac:dyDescent="0.35">
      <c r="A503" s="1">
        <v>502</v>
      </c>
      <c r="B503" s="7">
        <v>44392</v>
      </c>
      <c r="C503">
        <v>140</v>
      </c>
      <c r="D503">
        <v>3026</v>
      </c>
      <c r="E503">
        <v>7727</v>
      </c>
      <c r="F503">
        <v>1798</v>
      </c>
      <c r="G503" s="5">
        <f ca="1">IFERROR(__xludf.DUMMYFUNCTION("""COMPUTED_VALUE"""),56757)</f>
        <v>56757</v>
      </c>
      <c r="H503" s="5">
        <f ca="1">IFERROR(__xludf.DUMMYFUNCTION("""COMPUTED_VALUE"""),12691)</f>
        <v>12691</v>
      </c>
      <c r="I503">
        <v>-44</v>
      </c>
      <c r="J503">
        <v>-10</v>
      </c>
      <c r="K503">
        <v>-57</v>
      </c>
      <c r="L503">
        <v>-60</v>
      </c>
      <c r="M503">
        <v>-51</v>
      </c>
      <c r="N503">
        <v>21</v>
      </c>
      <c r="O503">
        <v>136733</v>
      </c>
      <c r="Q503">
        <v>121794</v>
      </c>
      <c r="R503">
        <v>625214</v>
      </c>
      <c r="S503">
        <v>539900</v>
      </c>
      <c r="T503">
        <v>5308046</v>
      </c>
      <c r="U503">
        <v>1308614</v>
      </c>
      <c r="V503">
        <v>6069993</v>
      </c>
      <c r="W503">
        <v>1970308</v>
      </c>
      <c r="X503">
        <v>144508</v>
      </c>
      <c r="Y503">
        <v>4428</v>
      </c>
      <c r="Z503">
        <v>5236799</v>
      </c>
      <c r="AA503">
        <v>1430408</v>
      </c>
      <c r="AB503">
        <v>126643</v>
      </c>
      <c r="AC503">
        <v>46473</v>
      </c>
      <c r="AD503">
        <v>41580</v>
      </c>
      <c r="AE503">
        <v>12415</v>
      </c>
      <c r="AF503">
        <v>29165</v>
      </c>
      <c r="AG503" s="2">
        <v>0.29858104860000001</v>
      </c>
      <c r="AH503" t="s">
        <v>34</v>
      </c>
      <c r="AI503" s="4">
        <v>9743</v>
      </c>
      <c r="AJ503" s="4">
        <v>595582</v>
      </c>
      <c r="AK503" s="4">
        <v>86298</v>
      </c>
      <c r="AL503" s="4">
        <v>22978</v>
      </c>
      <c r="AM503" s="4">
        <v>714601</v>
      </c>
      <c r="AN503" s="5">
        <f ca="1">IFERROR(__xludf.DUMMYFUNCTION("""COMPUTED_VALUE"""),9525)</f>
        <v>9525</v>
      </c>
    </row>
    <row r="504" spans="1:40" x14ac:dyDescent="0.35">
      <c r="A504" s="1">
        <v>503</v>
      </c>
      <c r="B504" s="7">
        <v>44393</v>
      </c>
      <c r="C504">
        <v>102</v>
      </c>
      <c r="D504">
        <v>8451</v>
      </c>
      <c r="E504">
        <v>1997</v>
      </c>
      <c r="F504">
        <v>1865</v>
      </c>
      <c r="G504" s="5">
        <f ca="1">IFERROR(__xludf.DUMMYFUNCTION("""COMPUTED_VALUE"""),54000)</f>
        <v>54000</v>
      </c>
      <c r="H504" s="5">
        <f ca="1">IFERROR(__xludf.DUMMYFUNCTION("""COMPUTED_VALUE"""),12415)</f>
        <v>12415</v>
      </c>
      <c r="I504">
        <v>-43</v>
      </c>
      <c r="J504">
        <v>-9</v>
      </c>
      <c r="K504">
        <v>-55</v>
      </c>
      <c r="L504">
        <v>-60</v>
      </c>
      <c r="M504">
        <v>-49</v>
      </c>
      <c r="N504">
        <v>23</v>
      </c>
      <c r="O504">
        <v>136733</v>
      </c>
      <c r="Q504">
        <v>121794</v>
      </c>
      <c r="R504">
        <v>627222</v>
      </c>
      <c r="S504">
        <v>540127</v>
      </c>
      <c r="T504">
        <v>5473787</v>
      </c>
      <c r="U504">
        <v>1314975</v>
      </c>
      <c r="V504">
        <v>6237742</v>
      </c>
      <c r="W504">
        <v>1976896</v>
      </c>
      <c r="X504">
        <v>167749</v>
      </c>
      <c r="Y504">
        <v>6588</v>
      </c>
      <c r="Z504">
        <v>5363627</v>
      </c>
      <c r="AA504">
        <v>1436764</v>
      </c>
      <c r="AB504">
        <v>129796</v>
      </c>
      <c r="AC504">
        <v>49892</v>
      </c>
      <c r="AD504">
        <v>38512</v>
      </c>
      <c r="AE504">
        <v>10168</v>
      </c>
      <c r="AF504">
        <v>28344</v>
      </c>
      <c r="AG504" s="2">
        <v>0.2640216037</v>
      </c>
      <c r="AH504" t="s">
        <v>34</v>
      </c>
      <c r="AI504" s="4">
        <v>9845</v>
      </c>
      <c r="AJ504" s="4">
        <v>604033</v>
      </c>
      <c r="AK504" s="4">
        <v>88295</v>
      </c>
      <c r="AL504" s="4">
        <v>24843</v>
      </c>
      <c r="AM504" s="4">
        <v>727016</v>
      </c>
      <c r="AN504" s="5">
        <f ca="1">IFERROR(__xludf.DUMMYFUNCTION("""COMPUTED_VALUE"""),3862)</f>
        <v>3862</v>
      </c>
    </row>
    <row r="505" spans="1:40" x14ac:dyDescent="0.35">
      <c r="A505" s="1">
        <v>504</v>
      </c>
      <c r="B505" s="7">
        <v>44394</v>
      </c>
      <c r="C505">
        <v>57</v>
      </c>
      <c r="D505">
        <v>11607</v>
      </c>
      <c r="E505">
        <v>-366</v>
      </c>
      <c r="F505">
        <v>-1130</v>
      </c>
      <c r="G505" s="5">
        <f ca="1">IFERROR(__xludf.DUMMYFUNCTION("""COMPUTED_VALUE"""),51952)</f>
        <v>51952</v>
      </c>
      <c r="H505" s="5">
        <f ca="1">IFERROR(__xludf.DUMMYFUNCTION("""COMPUTED_VALUE"""),10168)</f>
        <v>10168</v>
      </c>
      <c r="I505">
        <v>-48</v>
      </c>
      <c r="J505">
        <v>-8</v>
      </c>
      <c r="K505">
        <v>-64</v>
      </c>
      <c r="L505">
        <v>-55</v>
      </c>
      <c r="M505">
        <v>-34</v>
      </c>
      <c r="N505">
        <v>16</v>
      </c>
      <c r="O505">
        <v>136733</v>
      </c>
      <c r="Q505">
        <v>121794</v>
      </c>
      <c r="R505">
        <v>628944</v>
      </c>
      <c r="S505">
        <v>540338</v>
      </c>
      <c r="T505">
        <v>5633668</v>
      </c>
      <c r="U505">
        <v>1325708</v>
      </c>
      <c r="V505">
        <v>6399345</v>
      </c>
      <c r="W505">
        <v>1987840</v>
      </c>
      <c r="X505">
        <v>161603</v>
      </c>
      <c r="Y505">
        <v>10944</v>
      </c>
      <c r="Z505">
        <v>5488970</v>
      </c>
      <c r="AA505">
        <v>1447496</v>
      </c>
      <c r="AB505">
        <v>131880</v>
      </c>
      <c r="AC505">
        <v>57111</v>
      </c>
      <c r="AD505">
        <v>34278</v>
      </c>
      <c r="AE505">
        <v>9128</v>
      </c>
      <c r="AF505">
        <v>25150</v>
      </c>
      <c r="AG505" s="2">
        <v>0.26629324929999998</v>
      </c>
      <c r="AH505" t="s">
        <v>34</v>
      </c>
      <c r="AI505" s="4">
        <v>9902</v>
      </c>
      <c r="AJ505" s="4">
        <v>615640</v>
      </c>
      <c r="AK505" s="4">
        <v>87929</v>
      </c>
      <c r="AL505" s="4">
        <v>23713</v>
      </c>
      <c r="AM505" s="4">
        <v>737184</v>
      </c>
      <c r="AN505" s="5">
        <f ca="1">IFERROR(__xludf.DUMMYFUNCTION("""COMPUTED_VALUE"""),-1496)</f>
        <v>-1496</v>
      </c>
    </row>
    <row r="506" spans="1:40" x14ac:dyDescent="0.35">
      <c r="A506" s="1">
        <v>505</v>
      </c>
      <c r="B506" s="7">
        <v>44395</v>
      </c>
      <c r="C506">
        <v>201</v>
      </c>
      <c r="D506">
        <v>11841</v>
      </c>
      <c r="E506">
        <v>-1472</v>
      </c>
      <c r="F506">
        <v>-1442</v>
      </c>
      <c r="G506" s="5">
        <f ca="1">IFERROR(__xludf.DUMMYFUNCTION("""COMPUTED_VALUE"""),44721)</f>
        <v>44721</v>
      </c>
      <c r="H506" s="5">
        <f ca="1">IFERROR(__xludf.DUMMYFUNCTION("""COMPUTED_VALUE"""),9128)</f>
        <v>9128</v>
      </c>
      <c r="I506">
        <v>-50</v>
      </c>
      <c r="J506">
        <v>-14</v>
      </c>
      <c r="K506">
        <v>-71</v>
      </c>
      <c r="L506">
        <v>-57</v>
      </c>
      <c r="M506">
        <v>-26</v>
      </c>
      <c r="N506">
        <v>16</v>
      </c>
      <c r="O506">
        <v>136733</v>
      </c>
      <c r="Q506">
        <v>121794</v>
      </c>
      <c r="R506">
        <v>629950</v>
      </c>
      <c r="S506">
        <v>540406</v>
      </c>
      <c r="T506">
        <v>5718225</v>
      </c>
      <c r="U506">
        <v>1334017</v>
      </c>
      <c r="V506">
        <v>6484908</v>
      </c>
      <c r="W506">
        <v>1996217</v>
      </c>
      <c r="X506">
        <v>85563</v>
      </c>
      <c r="Y506">
        <v>8377</v>
      </c>
      <c r="Z506">
        <v>5560001</v>
      </c>
      <c r="AA506">
        <v>1455805</v>
      </c>
      <c r="AB506">
        <v>134764</v>
      </c>
      <c r="AC506">
        <v>61842</v>
      </c>
      <c r="AD506">
        <v>21828</v>
      </c>
      <c r="AE506">
        <v>5000</v>
      </c>
      <c r="AF506">
        <v>16828</v>
      </c>
      <c r="AG506" s="2">
        <v>0.22906358809999999</v>
      </c>
      <c r="AH506" t="s">
        <v>34</v>
      </c>
      <c r="AI506" s="4">
        <v>10103</v>
      </c>
      <c r="AJ506" s="4">
        <v>627481</v>
      </c>
      <c r="AK506" s="4">
        <v>86457</v>
      </c>
      <c r="AL506" s="4">
        <v>22271</v>
      </c>
      <c r="AM506" s="4">
        <v>746312</v>
      </c>
      <c r="AN506" s="5">
        <f ca="1">IFERROR(__xludf.DUMMYFUNCTION("""COMPUTED_VALUE"""),-2914)</f>
        <v>-2914</v>
      </c>
    </row>
    <row r="507" spans="1:40" x14ac:dyDescent="0.35">
      <c r="A507" s="1">
        <v>506</v>
      </c>
      <c r="B507" s="7">
        <v>44396</v>
      </c>
      <c r="C507">
        <v>242</v>
      </c>
      <c r="D507">
        <v>12690</v>
      </c>
      <c r="E507">
        <v>-5182</v>
      </c>
      <c r="F507">
        <v>-2750</v>
      </c>
      <c r="G507" s="5">
        <f ca="1">IFERROR(__xludf.DUMMYFUNCTION("""COMPUTED_VALUE"""),34257)</f>
        <v>34257</v>
      </c>
      <c r="H507" s="5">
        <f ca="1">IFERROR(__xludf.DUMMYFUNCTION("""COMPUTED_VALUE"""),5000)</f>
        <v>5000</v>
      </c>
      <c r="I507">
        <v>-40</v>
      </c>
      <c r="J507">
        <v>-2</v>
      </c>
      <c r="K507">
        <v>-53</v>
      </c>
      <c r="L507">
        <v>-57</v>
      </c>
      <c r="M507">
        <v>-52</v>
      </c>
      <c r="N507">
        <v>20</v>
      </c>
      <c r="O507">
        <v>136733</v>
      </c>
      <c r="Q507">
        <v>121794</v>
      </c>
      <c r="R507">
        <v>629950</v>
      </c>
      <c r="S507">
        <v>540406</v>
      </c>
      <c r="T507">
        <v>5771763</v>
      </c>
      <c r="U507">
        <v>1339813</v>
      </c>
      <c r="V507">
        <v>6538446</v>
      </c>
      <c r="W507">
        <v>2002013</v>
      </c>
      <c r="X507">
        <v>53538</v>
      </c>
      <c r="Y507">
        <v>5796</v>
      </c>
      <c r="Z507">
        <v>5605037</v>
      </c>
      <c r="AA507">
        <v>1461601</v>
      </c>
      <c r="AB507">
        <v>136567</v>
      </c>
      <c r="AC507">
        <v>65489</v>
      </c>
      <c r="AD507">
        <v>30678</v>
      </c>
      <c r="AE507">
        <v>6213</v>
      </c>
      <c r="AF507">
        <v>24465</v>
      </c>
      <c r="AG507" s="2">
        <v>0.20252298060000001</v>
      </c>
      <c r="AH507" t="s">
        <v>34</v>
      </c>
      <c r="AI507" s="4">
        <v>10345</v>
      </c>
      <c r="AJ507" s="4">
        <v>640171</v>
      </c>
      <c r="AK507" s="4">
        <v>81275</v>
      </c>
      <c r="AL507" s="4">
        <v>19521</v>
      </c>
      <c r="AM507" s="4">
        <v>751312</v>
      </c>
      <c r="AN507" s="5">
        <f ca="1">IFERROR(__xludf.DUMMYFUNCTION("""COMPUTED_VALUE"""),-7932)</f>
        <v>-7932</v>
      </c>
    </row>
    <row r="508" spans="1:40" x14ac:dyDescent="0.35">
      <c r="A508" s="1">
        <v>507</v>
      </c>
      <c r="B508" s="7">
        <v>44397</v>
      </c>
      <c r="C508">
        <v>265</v>
      </c>
      <c r="D508">
        <v>12071</v>
      </c>
      <c r="E508">
        <v>-5499</v>
      </c>
      <c r="F508">
        <v>-624</v>
      </c>
      <c r="G508" s="5">
        <f ca="1">IFERROR(__xludf.DUMMYFUNCTION("""COMPUTED_VALUE"""),38325)</f>
        <v>38325</v>
      </c>
      <c r="H508" s="5">
        <f ca="1">IFERROR(__xludf.DUMMYFUNCTION("""COMPUTED_VALUE"""),6213)</f>
        <v>6213</v>
      </c>
      <c r="I508">
        <v>-55</v>
      </c>
      <c r="J508">
        <v>-24</v>
      </c>
      <c r="K508">
        <v>-65</v>
      </c>
      <c r="L508">
        <v>-72</v>
      </c>
      <c r="M508">
        <v>-79</v>
      </c>
      <c r="N508">
        <v>28</v>
      </c>
      <c r="O508">
        <v>136733</v>
      </c>
      <c r="Q508">
        <v>121794</v>
      </c>
      <c r="R508">
        <v>629950</v>
      </c>
      <c r="S508">
        <v>540406</v>
      </c>
      <c r="T508">
        <v>5879802</v>
      </c>
      <c r="U508">
        <v>1359286</v>
      </c>
      <c r="V508">
        <v>6646485</v>
      </c>
      <c r="W508">
        <v>2021486</v>
      </c>
      <c r="X508">
        <v>108039</v>
      </c>
      <c r="Y508">
        <v>19473</v>
      </c>
      <c r="Z508">
        <v>5686856</v>
      </c>
      <c r="AA508">
        <v>1481072</v>
      </c>
      <c r="AB508">
        <v>138195</v>
      </c>
      <c r="AC508">
        <v>70404</v>
      </c>
      <c r="AD508">
        <v>26083</v>
      </c>
      <c r="AE508">
        <v>5904</v>
      </c>
      <c r="AF508">
        <v>20179</v>
      </c>
      <c r="AG508" s="2">
        <v>0.2263543304</v>
      </c>
      <c r="AH508" t="s">
        <v>34</v>
      </c>
      <c r="AI508" s="4">
        <v>10610</v>
      </c>
      <c r="AJ508" s="4">
        <v>652242</v>
      </c>
      <c r="AK508" s="4">
        <v>75776</v>
      </c>
      <c r="AL508" s="4">
        <v>18897</v>
      </c>
      <c r="AM508" s="4">
        <v>757525</v>
      </c>
      <c r="AN508" s="5">
        <f ca="1">IFERROR(__xludf.DUMMYFUNCTION("""COMPUTED_VALUE"""),-6123)</f>
        <v>-6123</v>
      </c>
    </row>
    <row r="509" spans="1:40" x14ac:dyDescent="0.35">
      <c r="A509" s="1">
        <v>508</v>
      </c>
      <c r="B509" s="7">
        <v>44398</v>
      </c>
      <c r="C509">
        <v>82</v>
      </c>
      <c r="D509">
        <v>10558</v>
      </c>
      <c r="E509">
        <v>-3661</v>
      </c>
      <c r="F509">
        <v>-1075</v>
      </c>
      <c r="G509" s="5">
        <f ca="1">IFERROR(__xludf.DUMMYFUNCTION("""COMPUTED_VALUE"""),33772)</f>
        <v>33772</v>
      </c>
      <c r="H509" s="5">
        <f ca="1">IFERROR(__xludf.DUMMYFUNCTION("""COMPUTED_VALUE"""),5904)</f>
        <v>5904</v>
      </c>
      <c r="I509">
        <v>-44</v>
      </c>
      <c r="J509">
        <v>-9</v>
      </c>
      <c r="K509">
        <v>-59</v>
      </c>
      <c r="L509">
        <v>-58</v>
      </c>
      <c r="M509">
        <v>-49</v>
      </c>
      <c r="N509">
        <v>19</v>
      </c>
      <c r="O509">
        <v>136733</v>
      </c>
      <c r="Q509">
        <v>121794</v>
      </c>
      <c r="R509">
        <v>629950</v>
      </c>
      <c r="S509">
        <v>540406</v>
      </c>
      <c r="T509">
        <v>5885328</v>
      </c>
      <c r="U509">
        <v>1359580</v>
      </c>
      <c r="V509">
        <v>6652011</v>
      </c>
      <c r="W509">
        <v>2021780</v>
      </c>
      <c r="X509">
        <v>5526</v>
      </c>
      <c r="Y509">
        <v>294</v>
      </c>
      <c r="Z509">
        <v>5691911</v>
      </c>
      <c r="AA509">
        <v>1481366</v>
      </c>
      <c r="AB509">
        <v>138469</v>
      </c>
      <c r="AC509">
        <v>70416</v>
      </c>
      <c r="AD509">
        <v>31541</v>
      </c>
      <c r="AE509">
        <v>7058</v>
      </c>
      <c r="AF509">
        <v>24483</v>
      </c>
      <c r="AG509" s="2">
        <v>0.22377223299999999</v>
      </c>
      <c r="AH509" t="s">
        <v>35</v>
      </c>
      <c r="AI509" s="4">
        <v>10692</v>
      </c>
      <c r="AJ509" s="4">
        <v>662800</v>
      </c>
      <c r="AK509" s="4">
        <v>72115</v>
      </c>
      <c r="AL509" s="4">
        <v>17822</v>
      </c>
      <c r="AM509" s="4">
        <v>763429</v>
      </c>
      <c r="AN509" s="5">
        <f ca="1">IFERROR(__xludf.DUMMYFUNCTION("""COMPUTED_VALUE"""),-4736)</f>
        <v>-4736</v>
      </c>
    </row>
    <row r="510" spans="1:40" x14ac:dyDescent="0.35">
      <c r="A510" s="1">
        <v>509</v>
      </c>
      <c r="B510" s="7">
        <v>44399</v>
      </c>
      <c r="C510">
        <v>173</v>
      </c>
      <c r="D510">
        <v>10624</v>
      </c>
      <c r="E510">
        <v>-3141</v>
      </c>
      <c r="F510">
        <v>-598</v>
      </c>
      <c r="G510" s="5">
        <f ca="1">IFERROR(__xludf.DUMMYFUNCTION("""COMPUTED_VALUE"""),49509)</f>
        <v>49509</v>
      </c>
      <c r="H510" s="5">
        <f ca="1">IFERROR(__xludf.DUMMYFUNCTION("""COMPUTED_VALUE"""),7058)</f>
        <v>7058</v>
      </c>
      <c r="I510">
        <v>-43</v>
      </c>
      <c r="J510">
        <v>-10</v>
      </c>
      <c r="K510">
        <v>-56</v>
      </c>
      <c r="L510">
        <v>-59</v>
      </c>
      <c r="M510">
        <v>-48</v>
      </c>
      <c r="N510">
        <v>19</v>
      </c>
      <c r="O510">
        <v>136733</v>
      </c>
      <c r="Q510">
        <v>121794</v>
      </c>
      <c r="R510">
        <v>629950</v>
      </c>
      <c r="S510">
        <v>540406</v>
      </c>
      <c r="T510">
        <v>5986605</v>
      </c>
      <c r="U510">
        <v>1405433</v>
      </c>
      <c r="V510">
        <v>6753288</v>
      </c>
      <c r="W510">
        <v>2067633</v>
      </c>
      <c r="X510">
        <v>101277</v>
      </c>
      <c r="Y510">
        <v>45853</v>
      </c>
      <c r="Z510">
        <v>5766206</v>
      </c>
      <c r="AA510">
        <v>1527216</v>
      </c>
      <c r="AB510">
        <v>139632</v>
      </c>
      <c r="AC510">
        <v>77080</v>
      </c>
      <c r="AD510">
        <v>35589</v>
      </c>
      <c r="AE510">
        <v>8033</v>
      </c>
      <c r="AF510">
        <v>27556</v>
      </c>
      <c r="AG510" s="2">
        <v>0.2257158111</v>
      </c>
      <c r="AH510" t="s">
        <v>35</v>
      </c>
      <c r="AI510" s="4">
        <v>10865</v>
      </c>
      <c r="AJ510" s="4">
        <v>673424</v>
      </c>
      <c r="AK510" s="4">
        <v>68974</v>
      </c>
      <c r="AL510" s="4">
        <v>17224</v>
      </c>
      <c r="AM510" s="4">
        <v>770487</v>
      </c>
      <c r="AN510" s="5">
        <f ca="1">IFERROR(__xludf.DUMMYFUNCTION("""COMPUTED_VALUE"""),-3739)</f>
        <v>-3739</v>
      </c>
    </row>
    <row r="511" spans="1:40" x14ac:dyDescent="0.35">
      <c r="A511" s="1">
        <v>510</v>
      </c>
      <c r="B511" s="7">
        <v>44400</v>
      </c>
      <c r="C511">
        <v>156</v>
      </c>
      <c r="D511">
        <v>14440</v>
      </c>
      <c r="E511">
        <v>-6185</v>
      </c>
      <c r="F511">
        <v>-378</v>
      </c>
      <c r="G511" s="5">
        <f ca="1">IFERROR(__xludf.DUMMYFUNCTION("""COMPUTED_VALUE"""),49071)</f>
        <v>49071</v>
      </c>
      <c r="H511" s="5">
        <f ca="1">IFERROR(__xludf.DUMMYFUNCTION("""COMPUTED_VALUE"""),8033)</f>
        <v>8033</v>
      </c>
      <c r="I511">
        <v>-43</v>
      </c>
      <c r="J511">
        <v>-10</v>
      </c>
      <c r="K511">
        <v>-56</v>
      </c>
      <c r="L511">
        <v>-59</v>
      </c>
      <c r="M511">
        <v>-47</v>
      </c>
      <c r="N511">
        <v>22</v>
      </c>
      <c r="O511">
        <v>136733</v>
      </c>
      <c r="Q511">
        <v>121794</v>
      </c>
      <c r="R511">
        <v>629950</v>
      </c>
      <c r="S511">
        <v>540406</v>
      </c>
      <c r="T511">
        <v>6103614</v>
      </c>
      <c r="U511">
        <v>1461849</v>
      </c>
      <c r="V511">
        <v>6870297</v>
      </c>
      <c r="W511">
        <v>2124049</v>
      </c>
      <c r="X511">
        <v>117009</v>
      </c>
      <c r="Y511">
        <v>56416</v>
      </c>
      <c r="Z511">
        <v>5849471</v>
      </c>
      <c r="AA511">
        <v>1583629</v>
      </c>
      <c r="AB511">
        <v>140666</v>
      </c>
      <c r="AC511">
        <v>81067</v>
      </c>
      <c r="AD511">
        <v>32547</v>
      </c>
      <c r="AE511">
        <v>8360</v>
      </c>
      <c r="AF511">
        <v>24187</v>
      </c>
      <c r="AG511" s="2">
        <v>0.2568593112</v>
      </c>
      <c r="AH511" t="s">
        <v>35</v>
      </c>
      <c r="AI511" s="4">
        <v>11021</v>
      </c>
      <c r="AJ511" s="4">
        <v>687864</v>
      </c>
      <c r="AK511" s="4">
        <v>62789</v>
      </c>
      <c r="AL511" s="4">
        <v>16846</v>
      </c>
      <c r="AM511" s="4">
        <v>778520</v>
      </c>
      <c r="AN511" s="5">
        <f ca="1">IFERROR(__xludf.DUMMYFUNCTION("""COMPUTED_VALUE"""),-6563)</f>
        <v>-6563</v>
      </c>
    </row>
    <row r="512" spans="1:40" x14ac:dyDescent="0.35">
      <c r="A512" s="1">
        <v>511</v>
      </c>
      <c r="B512" s="7">
        <v>44401</v>
      </c>
      <c r="C512">
        <v>160</v>
      </c>
      <c r="D512">
        <v>14613</v>
      </c>
      <c r="E512">
        <v>-5843</v>
      </c>
      <c r="F512">
        <v>-570</v>
      </c>
      <c r="G512" s="5">
        <f ca="1">IFERROR(__xludf.DUMMYFUNCTION("""COMPUTED_VALUE"""),45416)</f>
        <v>45416</v>
      </c>
      <c r="H512" s="5">
        <f ca="1">IFERROR(__xludf.DUMMYFUNCTION("""COMPUTED_VALUE"""),8360)</f>
        <v>8360</v>
      </c>
      <c r="I512">
        <v>-47</v>
      </c>
      <c r="J512">
        <v>-9</v>
      </c>
      <c r="K512">
        <v>-63</v>
      </c>
      <c r="L512">
        <v>-54</v>
      </c>
      <c r="M512">
        <v>-32</v>
      </c>
      <c r="N512">
        <v>15</v>
      </c>
      <c r="O512">
        <v>141604</v>
      </c>
      <c r="Q512">
        <v>123670</v>
      </c>
      <c r="R512">
        <v>629950</v>
      </c>
      <c r="S512">
        <v>540406</v>
      </c>
      <c r="T512">
        <v>6210875</v>
      </c>
      <c r="U512">
        <v>1527331</v>
      </c>
      <c r="V512">
        <v>6982429</v>
      </c>
      <c r="W512">
        <v>2191407</v>
      </c>
      <c r="X512">
        <v>112132</v>
      </c>
      <c r="Y512">
        <v>67358</v>
      </c>
      <c r="Z512">
        <v>5930867</v>
      </c>
      <c r="AA512">
        <v>1650983</v>
      </c>
      <c r="AB512">
        <v>142283</v>
      </c>
      <c r="AC512">
        <v>85304</v>
      </c>
      <c r="AD512">
        <v>27435</v>
      </c>
      <c r="AE512">
        <v>5393</v>
      </c>
      <c r="AF512">
        <v>22042</v>
      </c>
      <c r="AG512" s="2">
        <v>0.19657371970000001</v>
      </c>
      <c r="AH512" t="s">
        <v>35</v>
      </c>
      <c r="AI512" s="4">
        <v>11181</v>
      </c>
      <c r="AJ512" s="4">
        <v>702477</v>
      </c>
      <c r="AK512" s="4">
        <v>56946</v>
      </c>
      <c r="AL512" s="4">
        <v>16276</v>
      </c>
      <c r="AM512" s="4">
        <v>786880</v>
      </c>
      <c r="AN512" s="5">
        <f ca="1">IFERROR(__xludf.DUMMYFUNCTION("""COMPUTED_VALUE"""),-6413)</f>
        <v>-6413</v>
      </c>
    </row>
    <row r="513" spans="1:40" x14ac:dyDescent="0.35">
      <c r="A513" s="1">
        <v>512</v>
      </c>
      <c r="B513" s="7">
        <v>44402</v>
      </c>
      <c r="C513">
        <v>152</v>
      </c>
      <c r="D513">
        <v>14361</v>
      </c>
      <c r="E513">
        <v>-8012</v>
      </c>
      <c r="F513">
        <v>-1108</v>
      </c>
      <c r="G513" s="5">
        <f ca="1">IFERROR(__xludf.DUMMYFUNCTION("""COMPUTED_VALUE"""),38679)</f>
        <v>38679</v>
      </c>
      <c r="H513" s="5">
        <f ca="1">IFERROR(__xludf.DUMMYFUNCTION("""COMPUTED_VALUE"""),5393)</f>
        <v>5393</v>
      </c>
      <c r="I513">
        <v>-46</v>
      </c>
      <c r="J513">
        <v>-9</v>
      </c>
      <c r="K513">
        <v>-69</v>
      </c>
      <c r="L513">
        <v>-54</v>
      </c>
      <c r="M513">
        <v>-23</v>
      </c>
      <c r="N513">
        <v>14</v>
      </c>
      <c r="O513">
        <v>141704</v>
      </c>
      <c r="Q513">
        <v>123789</v>
      </c>
      <c r="R513">
        <v>629950</v>
      </c>
      <c r="S513">
        <v>540406</v>
      </c>
      <c r="T513">
        <v>6278994</v>
      </c>
      <c r="U513">
        <v>1557671</v>
      </c>
      <c r="V513">
        <v>7050648</v>
      </c>
      <c r="W513">
        <v>2221866</v>
      </c>
      <c r="X513">
        <v>68219</v>
      </c>
      <c r="Y513">
        <v>30459</v>
      </c>
      <c r="Z513">
        <v>5985057</v>
      </c>
      <c r="AA513">
        <v>1681442</v>
      </c>
      <c r="AB513">
        <v>146157</v>
      </c>
      <c r="AC513">
        <v>87924</v>
      </c>
      <c r="AD513">
        <v>24602</v>
      </c>
      <c r="AE513">
        <v>2662</v>
      </c>
      <c r="AF513">
        <v>21940</v>
      </c>
      <c r="AG513" s="2">
        <v>0.10820258520000001</v>
      </c>
      <c r="AH513" t="s">
        <v>35</v>
      </c>
      <c r="AI513" s="4">
        <v>11333</v>
      </c>
      <c r="AJ513" s="4">
        <v>716838</v>
      </c>
      <c r="AK513" s="4">
        <v>48934</v>
      </c>
      <c r="AL513" s="4">
        <v>15168</v>
      </c>
      <c r="AM513" s="4">
        <v>792273</v>
      </c>
      <c r="AN513" s="5">
        <f ca="1">IFERROR(__xludf.DUMMYFUNCTION("""COMPUTED_VALUE"""),-9120)</f>
        <v>-9120</v>
      </c>
    </row>
    <row r="514" spans="1:40" x14ac:dyDescent="0.35">
      <c r="A514" s="1">
        <v>513</v>
      </c>
      <c r="B514" s="7">
        <v>44403</v>
      </c>
      <c r="C514">
        <v>103</v>
      </c>
      <c r="D514">
        <v>14666</v>
      </c>
      <c r="E514">
        <v>-10663</v>
      </c>
      <c r="F514">
        <v>-1444</v>
      </c>
      <c r="G514" s="5">
        <f ca="1">IFERROR(__xludf.DUMMYFUNCTION("""COMPUTED_VALUE"""),28228)</f>
        <v>28228</v>
      </c>
      <c r="H514" s="5">
        <f ca="1">IFERROR(__xludf.DUMMYFUNCTION("""COMPUTED_VALUE"""),2662)</f>
        <v>2662</v>
      </c>
      <c r="I514">
        <v>-38</v>
      </c>
      <c r="J514">
        <v>-5</v>
      </c>
      <c r="K514">
        <v>-54</v>
      </c>
      <c r="L514">
        <v>-55</v>
      </c>
      <c r="M514">
        <v>-44</v>
      </c>
      <c r="N514">
        <v>18</v>
      </c>
      <c r="O514">
        <v>141739</v>
      </c>
      <c r="Q514">
        <v>123811</v>
      </c>
      <c r="R514">
        <v>629950</v>
      </c>
      <c r="S514">
        <v>540406</v>
      </c>
      <c r="T514">
        <v>6326313</v>
      </c>
      <c r="U514">
        <v>1574659</v>
      </c>
      <c r="V514">
        <v>7098002</v>
      </c>
      <c r="W514">
        <v>2238876</v>
      </c>
      <c r="X514">
        <v>47354</v>
      </c>
      <c r="Y514">
        <v>17010</v>
      </c>
      <c r="Z514">
        <v>6022346</v>
      </c>
      <c r="AA514">
        <v>1698448</v>
      </c>
      <c r="AB514">
        <v>148498</v>
      </c>
      <c r="AC514">
        <v>88641</v>
      </c>
      <c r="AD514">
        <v>23979</v>
      </c>
      <c r="AE514">
        <v>3567</v>
      </c>
      <c r="AF514">
        <v>20412</v>
      </c>
      <c r="AG514" s="2">
        <v>0.14875516080000001</v>
      </c>
      <c r="AH514" t="s">
        <v>35</v>
      </c>
      <c r="AI514" s="4">
        <v>11436</v>
      </c>
      <c r="AJ514" s="4">
        <v>731504</v>
      </c>
      <c r="AK514" s="4">
        <v>38271</v>
      </c>
      <c r="AL514" s="4">
        <v>13724</v>
      </c>
      <c r="AM514" s="4">
        <v>794935</v>
      </c>
      <c r="AN514" s="5">
        <f ca="1">IFERROR(__xludf.DUMMYFUNCTION("""COMPUTED_VALUE"""),-12107)</f>
        <v>-12107</v>
      </c>
    </row>
    <row r="515" spans="1:40" x14ac:dyDescent="0.35">
      <c r="A515" s="1">
        <v>514</v>
      </c>
      <c r="B515" s="7">
        <v>44404</v>
      </c>
      <c r="C515">
        <v>170</v>
      </c>
      <c r="D515">
        <v>14583</v>
      </c>
      <c r="E515">
        <v>-11310</v>
      </c>
      <c r="F515">
        <v>124</v>
      </c>
      <c r="G515" s="5">
        <f ca="1">IFERROR(__xludf.DUMMYFUNCTION("""COMPUTED_VALUE"""),45203)</f>
        <v>45203</v>
      </c>
      <c r="H515" s="5">
        <f ca="1">IFERROR(__xludf.DUMMYFUNCTION("""COMPUTED_VALUE"""),3567)</f>
        <v>3567</v>
      </c>
      <c r="I515">
        <v>-40</v>
      </c>
      <c r="J515">
        <v>-7</v>
      </c>
      <c r="K515">
        <v>-56</v>
      </c>
      <c r="L515">
        <v>-56</v>
      </c>
      <c r="M515">
        <v>-46</v>
      </c>
      <c r="N515">
        <v>19</v>
      </c>
      <c r="O515">
        <v>141920</v>
      </c>
      <c r="Q515">
        <v>124084</v>
      </c>
      <c r="R515">
        <v>629950</v>
      </c>
      <c r="S515">
        <v>540406</v>
      </c>
      <c r="T515">
        <v>6437603</v>
      </c>
      <c r="U515">
        <v>1657041</v>
      </c>
      <c r="V515">
        <v>7209473</v>
      </c>
      <c r="W515">
        <v>2321531</v>
      </c>
      <c r="X515">
        <v>111471</v>
      </c>
      <c r="Y515">
        <v>82655</v>
      </c>
      <c r="Z515">
        <v>6101754</v>
      </c>
      <c r="AA515">
        <v>1781099</v>
      </c>
      <c r="AB515">
        <v>151142</v>
      </c>
      <c r="AC515">
        <v>90490</v>
      </c>
      <c r="AD515">
        <v>28249</v>
      </c>
      <c r="AE515">
        <v>5525</v>
      </c>
      <c r="AF515">
        <v>22724</v>
      </c>
      <c r="AG515" s="2">
        <v>0.1955821445</v>
      </c>
      <c r="AH515" t="s">
        <v>35</v>
      </c>
      <c r="AI515" s="4">
        <v>11606</v>
      </c>
      <c r="AJ515" s="4">
        <v>746087</v>
      </c>
      <c r="AK515" s="4">
        <v>26961</v>
      </c>
      <c r="AL515" s="4">
        <v>13848</v>
      </c>
      <c r="AM515" s="4">
        <v>798502</v>
      </c>
      <c r="AN515" s="5">
        <f ca="1">IFERROR(__xludf.DUMMYFUNCTION("""COMPUTED_VALUE"""),-11186)</f>
        <v>-11186</v>
      </c>
    </row>
    <row r="516" spans="1:40" x14ac:dyDescent="0.35">
      <c r="A516" s="1">
        <v>515</v>
      </c>
      <c r="B516" s="7">
        <v>44405</v>
      </c>
      <c r="C516">
        <v>82</v>
      </c>
      <c r="D516">
        <v>11035</v>
      </c>
      <c r="E516">
        <v>-4629</v>
      </c>
      <c r="F516">
        <v>-963</v>
      </c>
      <c r="G516" s="5">
        <f ca="1">IFERROR(__xludf.DUMMYFUNCTION("""COMPUTED_VALUE"""),47791)</f>
        <v>47791</v>
      </c>
      <c r="H516" s="5">
        <f ca="1">IFERROR(__xludf.DUMMYFUNCTION("""COMPUTED_VALUE"""),5525)</f>
        <v>5525</v>
      </c>
      <c r="I516">
        <v>-38</v>
      </c>
      <c r="J516">
        <v>-6</v>
      </c>
      <c r="K516">
        <v>-55</v>
      </c>
      <c r="L516">
        <v>-55</v>
      </c>
      <c r="M516">
        <v>-44</v>
      </c>
      <c r="N516">
        <v>18</v>
      </c>
      <c r="O516">
        <v>142112</v>
      </c>
      <c r="Q516">
        <v>124297</v>
      </c>
      <c r="R516">
        <v>629950</v>
      </c>
      <c r="S516">
        <v>540406</v>
      </c>
      <c r="T516">
        <v>6554143</v>
      </c>
      <c r="U516">
        <v>1745969</v>
      </c>
      <c r="V516">
        <v>7326205</v>
      </c>
      <c r="W516">
        <v>2410672</v>
      </c>
      <c r="X516">
        <v>116732</v>
      </c>
      <c r="Y516">
        <v>89141</v>
      </c>
      <c r="Z516">
        <v>6187868</v>
      </c>
      <c r="AA516">
        <v>1870170</v>
      </c>
      <c r="AB516">
        <v>154534</v>
      </c>
      <c r="AC516">
        <v>92461</v>
      </c>
      <c r="AD516">
        <v>25442</v>
      </c>
      <c r="AE516">
        <v>3845</v>
      </c>
      <c r="AF516">
        <v>21597</v>
      </c>
      <c r="AG516" s="2">
        <v>0.15112805600000001</v>
      </c>
      <c r="AH516" t="s">
        <v>35</v>
      </c>
      <c r="AI516" s="4">
        <v>11688</v>
      </c>
      <c r="AJ516" s="4">
        <v>757122</v>
      </c>
      <c r="AK516" s="4">
        <v>22332</v>
      </c>
      <c r="AL516" s="4">
        <v>12885</v>
      </c>
      <c r="AM516" s="4">
        <v>804027</v>
      </c>
      <c r="AN516" s="5">
        <f ca="1">IFERROR(__xludf.DUMMYFUNCTION("""COMPUTED_VALUE"""),-5592)</f>
        <v>-5592</v>
      </c>
    </row>
    <row r="517" spans="1:40" x14ac:dyDescent="0.35">
      <c r="A517" s="1">
        <v>516</v>
      </c>
      <c r="B517" s="7">
        <v>44406</v>
      </c>
      <c r="C517">
        <v>156</v>
      </c>
      <c r="D517">
        <v>11440</v>
      </c>
      <c r="E517">
        <v>-5656</v>
      </c>
      <c r="F517">
        <v>-2095</v>
      </c>
      <c r="G517" s="5">
        <f ca="1">IFERROR(__xludf.DUMMYFUNCTION("""COMPUTED_VALUE"""),43479)</f>
        <v>43479</v>
      </c>
      <c r="H517" s="5">
        <f ca="1">IFERROR(__xludf.DUMMYFUNCTION("""COMPUTED_VALUE"""),3845)</f>
        <v>3845</v>
      </c>
      <c r="I517">
        <v>-37</v>
      </c>
      <c r="J517">
        <v>-5</v>
      </c>
      <c r="K517">
        <v>-53</v>
      </c>
      <c r="L517">
        <v>-55</v>
      </c>
      <c r="M517">
        <v>-43</v>
      </c>
      <c r="N517">
        <v>18</v>
      </c>
      <c r="O517">
        <v>142317</v>
      </c>
      <c r="Q517">
        <v>124541</v>
      </c>
      <c r="R517">
        <v>629950</v>
      </c>
      <c r="S517">
        <v>540406</v>
      </c>
      <c r="T517">
        <v>6510402</v>
      </c>
      <c r="U517">
        <v>1761561</v>
      </c>
      <c r="V517">
        <v>7282669</v>
      </c>
      <c r="W517">
        <v>2426508</v>
      </c>
      <c r="X517">
        <v>116732</v>
      </c>
      <c r="Y517">
        <v>15836</v>
      </c>
      <c r="Z517">
        <v>6118730</v>
      </c>
      <c r="AA517">
        <v>1885908</v>
      </c>
      <c r="AB517">
        <v>157810</v>
      </c>
      <c r="AC517">
        <v>94965</v>
      </c>
      <c r="AD517">
        <v>23582</v>
      </c>
      <c r="AE517">
        <v>3454</v>
      </c>
      <c r="AF517">
        <v>20128</v>
      </c>
      <c r="AG517" s="2">
        <v>0.14646764479999999</v>
      </c>
      <c r="AH517" t="s">
        <v>35</v>
      </c>
      <c r="AI517" s="4">
        <v>11844</v>
      </c>
      <c r="AJ517" s="4">
        <v>768562</v>
      </c>
      <c r="AK517" s="4">
        <v>16676</v>
      </c>
      <c r="AL517" s="4">
        <v>10790</v>
      </c>
      <c r="AM517" s="4">
        <v>807872</v>
      </c>
      <c r="AN517" s="5">
        <f ca="1">IFERROR(__xludf.DUMMYFUNCTION("""COMPUTED_VALUE"""),-7751)</f>
        <v>-7751</v>
      </c>
    </row>
    <row r="518" spans="1:40" x14ac:dyDescent="0.35">
      <c r="A518" s="1">
        <v>517</v>
      </c>
      <c r="B518" s="7">
        <v>44407</v>
      </c>
      <c r="C518">
        <v>108</v>
      </c>
      <c r="D518">
        <v>11158</v>
      </c>
      <c r="E518">
        <v>-5412</v>
      </c>
      <c r="F518">
        <v>-2400</v>
      </c>
      <c r="G518" s="5">
        <f ca="1">IFERROR(__xludf.DUMMYFUNCTION("""COMPUTED_VALUE"""),41168)</f>
        <v>41168</v>
      </c>
      <c r="H518" s="5">
        <f ca="1">IFERROR(__xludf.DUMMYFUNCTION("""COMPUTED_VALUE"""),3454)</f>
        <v>3454</v>
      </c>
      <c r="I518">
        <v>-35</v>
      </c>
      <c r="J518">
        <v>0</v>
      </c>
      <c r="K518">
        <v>-49</v>
      </c>
      <c r="L518">
        <v>-54</v>
      </c>
      <c r="M518">
        <v>-42</v>
      </c>
      <c r="N518">
        <v>19</v>
      </c>
      <c r="O518">
        <v>142571</v>
      </c>
      <c r="Q518">
        <v>124864</v>
      </c>
      <c r="R518">
        <v>629950</v>
      </c>
      <c r="S518">
        <v>540406</v>
      </c>
      <c r="T518">
        <v>6627899</v>
      </c>
      <c r="U518">
        <v>1877760</v>
      </c>
      <c r="V518">
        <v>7400420</v>
      </c>
      <c r="W518">
        <v>2543030</v>
      </c>
      <c r="X518">
        <v>117751</v>
      </c>
      <c r="Y518">
        <v>116522</v>
      </c>
      <c r="Z518">
        <v>6212280</v>
      </c>
      <c r="AA518">
        <v>2001512</v>
      </c>
      <c r="AB518">
        <v>160115</v>
      </c>
      <c r="AC518">
        <v>96743</v>
      </c>
      <c r="AD518">
        <v>24573</v>
      </c>
      <c r="AE518">
        <v>3329</v>
      </c>
      <c r="AF518">
        <v>21244</v>
      </c>
      <c r="AG518" s="2">
        <v>0.13547389409999999</v>
      </c>
      <c r="AH518" t="s">
        <v>35</v>
      </c>
      <c r="AI518" s="4">
        <v>11952</v>
      </c>
      <c r="AJ518" s="4">
        <v>779720</v>
      </c>
      <c r="AK518" s="4">
        <v>11264</v>
      </c>
      <c r="AL518" s="4">
        <v>8390</v>
      </c>
      <c r="AM518" s="4">
        <v>811326</v>
      </c>
      <c r="AN518" s="5">
        <f ca="1">IFERROR(__xludf.DUMMYFUNCTION("""COMPUTED_VALUE"""),-7812)</f>
        <v>-7812</v>
      </c>
    </row>
    <row r="519" spans="1:40" x14ac:dyDescent="0.35">
      <c r="A519" s="1">
        <v>518</v>
      </c>
      <c r="B519" s="7">
        <v>44408</v>
      </c>
      <c r="C519">
        <v>183</v>
      </c>
      <c r="D519">
        <v>4948</v>
      </c>
      <c r="E519">
        <v>-1130</v>
      </c>
      <c r="F519">
        <v>-674</v>
      </c>
      <c r="G519" s="5">
        <f ca="1">IFERROR(__xludf.DUMMYFUNCTION("""COMPUTED_VALUE"""),37284)</f>
        <v>37284</v>
      </c>
      <c r="H519" s="5">
        <f ca="1">IFERROR(__xludf.DUMMYFUNCTION("""COMPUTED_VALUE"""),3327)</f>
        <v>3327</v>
      </c>
      <c r="I519">
        <v>-39</v>
      </c>
      <c r="J519">
        <v>1</v>
      </c>
      <c r="K519">
        <v>-59</v>
      </c>
      <c r="L519">
        <v>-49</v>
      </c>
      <c r="M519">
        <v>-26</v>
      </c>
      <c r="N519">
        <v>12</v>
      </c>
      <c r="O519">
        <v>142855</v>
      </c>
      <c r="Q519">
        <v>125273</v>
      </c>
      <c r="R519">
        <v>629950</v>
      </c>
      <c r="S519">
        <v>540406</v>
      </c>
      <c r="T519">
        <v>6734535</v>
      </c>
      <c r="U519">
        <v>2001620</v>
      </c>
      <c r="V519">
        <v>7507340</v>
      </c>
      <c r="W519">
        <v>2667299</v>
      </c>
      <c r="X519">
        <v>106920</v>
      </c>
      <c r="Y519">
        <v>124269</v>
      </c>
      <c r="Z519">
        <v>6299622</v>
      </c>
      <c r="AA519">
        <v>2122550</v>
      </c>
      <c r="AB519">
        <v>161715</v>
      </c>
      <c r="AC519">
        <v>98645</v>
      </c>
      <c r="AD519">
        <v>19619</v>
      </c>
      <c r="AE519">
        <v>2701</v>
      </c>
      <c r="AF519">
        <v>16918</v>
      </c>
      <c r="AG519" s="2">
        <v>0.1376726643</v>
      </c>
      <c r="AH519" t="s">
        <v>35</v>
      </c>
      <c r="AI519" s="4">
        <v>12135</v>
      </c>
      <c r="AJ519" s="4">
        <v>784668</v>
      </c>
      <c r="AK519" s="4">
        <v>10134</v>
      </c>
      <c r="AL519" s="4">
        <v>7716</v>
      </c>
      <c r="AM519" s="4">
        <v>814653</v>
      </c>
      <c r="AN519" s="5">
        <f ca="1">IFERROR(__xludf.DUMMYFUNCTION("""COMPUTED_VALUE"""),-1804)</f>
        <v>-1804</v>
      </c>
    </row>
    <row r="520" spans="1:40" x14ac:dyDescent="0.35">
      <c r="A520" s="1">
        <v>519</v>
      </c>
      <c r="B520" s="7">
        <v>44409</v>
      </c>
      <c r="C520">
        <v>74</v>
      </c>
      <c r="D520">
        <v>4593</v>
      </c>
      <c r="E520">
        <v>-735</v>
      </c>
      <c r="F520">
        <v>-1231</v>
      </c>
      <c r="G520" s="5">
        <f ca="1">IFERROR(__xludf.DUMMYFUNCTION("""COMPUTED_VALUE"""),30738)</f>
        <v>30738</v>
      </c>
      <c r="H520" s="5">
        <f ca="1">IFERROR(__xludf.DUMMYFUNCTION("""COMPUTED_VALUE"""),2701)</f>
        <v>2701</v>
      </c>
      <c r="I520">
        <v>-42</v>
      </c>
      <c r="J520">
        <v>-5</v>
      </c>
      <c r="K520">
        <v>-67</v>
      </c>
      <c r="L520">
        <v>-51</v>
      </c>
      <c r="M520">
        <v>-22</v>
      </c>
      <c r="N520">
        <v>12</v>
      </c>
      <c r="O520">
        <v>142972</v>
      </c>
      <c r="Q520">
        <v>125395</v>
      </c>
      <c r="R520">
        <v>629950</v>
      </c>
      <c r="S520">
        <v>540406</v>
      </c>
      <c r="T520">
        <v>6824921</v>
      </c>
      <c r="U520">
        <v>2050320</v>
      </c>
      <c r="V520">
        <v>7597843</v>
      </c>
      <c r="W520">
        <v>2716121</v>
      </c>
      <c r="X520">
        <v>90503</v>
      </c>
      <c r="Y520">
        <v>48822</v>
      </c>
      <c r="Z520">
        <v>6379083</v>
      </c>
      <c r="AA520">
        <v>2168611</v>
      </c>
      <c r="AB520">
        <v>164054</v>
      </c>
      <c r="AC520">
        <v>102128</v>
      </c>
      <c r="AD520">
        <v>11587</v>
      </c>
      <c r="AE520">
        <v>1410</v>
      </c>
      <c r="AF520">
        <v>10177</v>
      </c>
      <c r="AG520" s="2">
        <v>0.1216880987</v>
      </c>
      <c r="AH520" t="s">
        <v>35</v>
      </c>
      <c r="AI520" s="4">
        <v>12209</v>
      </c>
      <c r="AJ520" s="4">
        <v>789261</v>
      </c>
      <c r="AK520" s="4">
        <v>9399</v>
      </c>
      <c r="AL520" s="4">
        <v>6485</v>
      </c>
      <c r="AM520" s="4">
        <v>817354</v>
      </c>
      <c r="AN520" s="5">
        <f ca="1">IFERROR(__xludf.DUMMYFUNCTION("""COMPUTED_VALUE"""),-1966)</f>
        <v>-1966</v>
      </c>
    </row>
    <row r="521" spans="1:40" x14ac:dyDescent="0.35">
      <c r="A521" s="1">
        <v>520</v>
      </c>
      <c r="B521" s="7">
        <v>44410</v>
      </c>
      <c r="C521">
        <v>154</v>
      </c>
      <c r="D521">
        <v>2161</v>
      </c>
      <c r="E521">
        <v>-197</v>
      </c>
      <c r="F521">
        <v>-708</v>
      </c>
      <c r="G521" s="5">
        <f ca="1">IFERROR(__xludf.DUMMYFUNCTION("""COMPUTED_VALUE"""),22404)</f>
        <v>22404</v>
      </c>
      <c r="H521" s="5">
        <f ca="1">IFERROR(__xludf.DUMMYFUNCTION("""COMPUTED_VALUE"""),1410)</f>
        <v>1410</v>
      </c>
      <c r="I521">
        <v>-32</v>
      </c>
      <c r="J521">
        <v>2</v>
      </c>
      <c r="K521">
        <v>-51</v>
      </c>
      <c r="L521">
        <v>-51</v>
      </c>
      <c r="M521">
        <v>-41</v>
      </c>
      <c r="N521">
        <v>16</v>
      </c>
      <c r="O521">
        <v>143056</v>
      </c>
      <c r="Q521">
        <v>125439</v>
      </c>
      <c r="R521">
        <v>738421</v>
      </c>
      <c r="S521">
        <v>629025</v>
      </c>
      <c r="T521">
        <v>6786017</v>
      </c>
      <c r="U521">
        <v>1990252</v>
      </c>
      <c r="V521">
        <v>7667494</v>
      </c>
      <c r="W521">
        <v>2744716</v>
      </c>
      <c r="X521">
        <v>69651</v>
      </c>
      <c r="Y521">
        <v>28595</v>
      </c>
      <c r="Z521">
        <v>6334681</v>
      </c>
      <c r="AA521">
        <v>2107155</v>
      </c>
      <c r="AB521">
        <v>164532</v>
      </c>
      <c r="AC521">
        <v>104333</v>
      </c>
      <c r="AD521">
        <v>15952</v>
      </c>
      <c r="AE521">
        <v>1601</v>
      </c>
      <c r="AF521">
        <v>14351</v>
      </c>
      <c r="AG521" s="2">
        <v>0.1003635908</v>
      </c>
      <c r="AH521" t="s">
        <v>35</v>
      </c>
      <c r="AI521" s="4">
        <v>12363</v>
      </c>
      <c r="AJ521" s="4">
        <v>791422</v>
      </c>
      <c r="AK521" s="4">
        <v>9202</v>
      </c>
      <c r="AL521" s="4">
        <v>5777</v>
      </c>
      <c r="AM521" s="4">
        <v>818764</v>
      </c>
      <c r="AN521" s="5">
        <f ca="1">IFERROR(__xludf.DUMMYFUNCTION("""COMPUTED_VALUE"""),-905)</f>
        <v>-905</v>
      </c>
    </row>
    <row r="522" spans="1:40" x14ac:dyDescent="0.35">
      <c r="A522" s="1">
        <v>521</v>
      </c>
      <c r="B522" s="7">
        <v>44411</v>
      </c>
      <c r="C522">
        <v>70</v>
      </c>
      <c r="D522">
        <v>2506</v>
      </c>
      <c r="E522">
        <v>-497</v>
      </c>
      <c r="F522">
        <v>-478</v>
      </c>
      <c r="G522" s="5">
        <f ca="1">IFERROR(__xludf.DUMMYFUNCTION("""COMPUTED_VALUE"""),33900)</f>
        <v>33900</v>
      </c>
      <c r="H522" s="5">
        <f ca="1">IFERROR(__xludf.DUMMYFUNCTION("""COMPUTED_VALUE"""),1601)</f>
        <v>1601</v>
      </c>
      <c r="I522">
        <v>-34</v>
      </c>
      <c r="J522">
        <v>-1</v>
      </c>
      <c r="K522">
        <v>-53</v>
      </c>
      <c r="L522">
        <v>-51</v>
      </c>
      <c r="M522">
        <v>-42</v>
      </c>
      <c r="N522">
        <v>16</v>
      </c>
      <c r="O522">
        <v>143333</v>
      </c>
      <c r="Q522">
        <v>125814</v>
      </c>
      <c r="R522">
        <v>738421</v>
      </c>
      <c r="S522">
        <v>629025</v>
      </c>
      <c r="T522">
        <v>6918588</v>
      </c>
      <c r="U522">
        <v>2110197</v>
      </c>
      <c r="V522">
        <v>7800342</v>
      </c>
      <c r="W522">
        <v>2865036</v>
      </c>
      <c r="X522">
        <v>132848</v>
      </c>
      <c r="Y522">
        <v>120320</v>
      </c>
      <c r="Z522">
        <v>6447040</v>
      </c>
      <c r="AA522">
        <v>2219014</v>
      </c>
      <c r="AB522">
        <v>164975</v>
      </c>
      <c r="AC522">
        <v>106434</v>
      </c>
      <c r="AD522">
        <v>21595</v>
      </c>
      <c r="AE522">
        <v>2982</v>
      </c>
      <c r="AF522">
        <v>18613</v>
      </c>
      <c r="AG522" s="2">
        <v>0.13808752029999999</v>
      </c>
      <c r="AH522" t="s">
        <v>35</v>
      </c>
      <c r="AI522" s="4">
        <v>12433</v>
      </c>
      <c r="AJ522" s="4">
        <v>793928</v>
      </c>
      <c r="AK522" s="4">
        <v>8705</v>
      </c>
      <c r="AL522" s="4">
        <v>5299</v>
      </c>
      <c r="AM522" s="4">
        <v>820365</v>
      </c>
      <c r="AN522" s="5">
        <f ca="1">IFERROR(__xludf.DUMMYFUNCTION("""COMPUTED_VALUE"""),-975)</f>
        <v>-975</v>
      </c>
    </row>
    <row r="523" spans="1:40" x14ac:dyDescent="0.35">
      <c r="A523" s="1">
        <v>522</v>
      </c>
      <c r="B523" s="7">
        <v>44412</v>
      </c>
      <c r="C523">
        <v>81</v>
      </c>
      <c r="D523">
        <v>2453</v>
      </c>
      <c r="E523">
        <v>830</v>
      </c>
      <c r="F523">
        <v>-383</v>
      </c>
      <c r="G523" s="5">
        <f ca="1">IFERROR(__xludf.DUMMYFUNCTION("""COMPUTED_VALUE"""),35867)</f>
        <v>35867</v>
      </c>
      <c r="H523" s="5">
        <f ca="1">IFERROR(__xludf.DUMMYFUNCTION("""COMPUTED_VALUE"""),2981)</f>
        <v>2981</v>
      </c>
      <c r="I523">
        <v>-34</v>
      </c>
      <c r="J523">
        <v>-2</v>
      </c>
      <c r="K523">
        <v>-52</v>
      </c>
      <c r="L523">
        <v>-51</v>
      </c>
      <c r="M523">
        <v>-41</v>
      </c>
      <c r="N523">
        <v>16</v>
      </c>
      <c r="O523">
        <v>143589</v>
      </c>
      <c r="Q523">
        <v>126105</v>
      </c>
      <c r="R523">
        <v>741612</v>
      </c>
      <c r="S523">
        <v>634130</v>
      </c>
      <c r="T523">
        <v>7033531</v>
      </c>
      <c r="U523">
        <v>2224009</v>
      </c>
      <c r="V523">
        <v>7918732</v>
      </c>
      <c r="W523">
        <v>2984244</v>
      </c>
      <c r="X523">
        <v>118390</v>
      </c>
      <c r="Y523">
        <v>119208</v>
      </c>
      <c r="Z523">
        <v>6543520</v>
      </c>
      <c r="AA523">
        <v>2322087</v>
      </c>
      <c r="AB523">
        <v>166057</v>
      </c>
      <c r="AC523">
        <v>108799</v>
      </c>
      <c r="AD523">
        <v>21154</v>
      </c>
      <c r="AE523">
        <v>2311</v>
      </c>
      <c r="AF523">
        <v>18843</v>
      </c>
      <c r="AG523" s="2">
        <v>0.1092464782</v>
      </c>
      <c r="AH523" t="s">
        <v>35</v>
      </c>
      <c r="AI523" s="4">
        <v>12514</v>
      </c>
      <c r="AJ523" s="4">
        <v>796381</v>
      </c>
      <c r="AK523" s="4">
        <v>9535</v>
      </c>
      <c r="AL523" s="4">
        <v>4916</v>
      </c>
      <c r="AM523" s="4">
        <v>823346</v>
      </c>
      <c r="AN523" s="5">
        <f ca="1">IFERROR(__xludf.DUMMYFUNCTION("""COMPUTED_VALUE"""),447)</f>
        <v>447</v>
      </c>
    </row>
    <row r="524" spans="1:40" x14ac:dyDescent="0.35">
      <c r="A524" s="1">
        <v>523</v>
      </c>
      <c r="B524" s="7">
        <v>44413</v>
      </c>
      <c r="C524">
        <v>115</v>
      </c>
      <c r="D524">
        <v>2770</v>
      </c>
      <c r="E524">
        <v>-77</v>
      </c>
      <c r="F524">
        <v>-497</v>
      </c>
      <c r="G524" s="5">
        <f ca="1">IFERROR(__xludf.DUMMYFUNCTION("""COMPUTED_VALUE"""),35764)</f>
        <v>35764</v>
      </c>
      <c r="H524" s="5">
        <f ca="1">IFERROR(__xludf.DUMMYFUNCTION("""COMPUTED_VALUE"""),2311)</f>
        <v>2311</v>
      </c>
      <c r="I524">
        <v>-37</v>
      </c>
      <c r="J524">
        <v>-6</v>
      </c>
      <c r="K524">
        <v>-55</v>
      </c>
      <c r="L524">
        <v>-51</v>
      </c>
      <c r="M524">
        <v>-41</v>
      </c>
      <c r="N524">
        <v>17</v>
      </c>
      <c r="O524">
        <v>143883</v>
      </c>
      <c r="Q524">
        <v>126483</v>
      </c>
      <c r="R524">
        <v>744893</v>
      </c>
      <c r="S524">
        <v>635953</v>
      </c>
      <c r="T524">
        <v>7143488</v>
      </c>
      <c r="U524">
        <v>2320699</v>
      </c>
      <c r="V524">
        <v>8032264</v>
      </c>
      <c r="W524">
        <v>3083135</v>
      </c>
      <c r="X524">
        <v>113532</v>
      </c>
      <c r="Y524">
        <v>98891</v>
      </c>
      <c r="Z524">
        <v>6535072</v>
      </c>
      <c r="AA524">
        <v>2394291</v>
      </c>
      <c r="AB524">
        <v>166758</v>
      </c>
      <c r="AC524">
        <v>111294</v>
      </c>
      <c r="AD524">
        <v>20760</v>
      </c>
      <c r="AE524">
        <v>2185</v>
      </c>
      <c r="AF524">
        <v>18575</v>
      </c>
      <c r="AG524" s="2">
        <v>0.1052504817</v>
      </c>
      <c r="AH524" t="s">
        <v>35</v>
      </c>
      <c r="AI524" s="4">
        <v>12629</v>
      </c>
      <c r="AJ524" s="4">
        <v>799151</v>
      </c>
      <c r="AK524" s="4">
        <v>9458</v>
      </c>
      <c r="AL524" s="4">
        <v>4419</v>
      </c>
      <c r="AM524" s="4">
        <v>825657</v>
      </c>
      <c r="AN524" s="5">
        <f ca="1">IFERROR(__xludf.DUMMYFUNCTION("""COMPUTED_VALUE"""),-574)</f>
        <v>-574</v>
      </c>
    </row>
    <row r="525" spans="1:40" x14ac:dyDescent="0.35">
      <c r="A525" s="1">
        <v>524</v>
      </c>
      <c r="B525" s="7">
        <v>44414</v>
      </c>
      <c r="C525">
        <v>53</v>
      </c>
      <c r="D525">
        <v>3222</v>
      </c>
      <c r="E525">
        <v>-645</v>
      </c>
      <c r="F525">
        <v>-445</v>
      </c>
      <c r="G525" s="5">
        <f ca="1">IFERROR(__xludf.DUMMYFUNCTION("""COMPUTED_VALUE"""),39532)</f>
        <v>39532</v>
      </c>
      <c r="H525" s="5">
        <f ca="1">IFERROR(__xludf.DUMMYFUNCTION("""COMPUTED_VALUE"""),2185)</f>
        <v>2185</v>
      </c>
      <c r="I525">
        <v>-31</v>
      </c>
      <c r="J525">
        <v>2</v>
      </c>
      <c r="K525">
        <v>-45</v>
      </c>
      <c r="L525">
        <v>-51</v>
      </c>
      <c r="M525">
        <v>-39</v>
      </c>
      <c r="N525">
        <v>17</v>
      </c>
      <c r="O525">
        <v>143973</v>
      </c>
      <c r="Q525">
        <v>126651</v>
      </c>
      <c r="R525">
        <v>745532</v>
      </c>
      <c r="S525">
        <v>636501</v>
      </c>
      <c r="T525">
        <v>7212559</v>
      </c>
      <c r="U525">
        <v>2347229</v>
      </c>
      <c r="V525">
        <v>8102064</v>
      </c>
      <c r="W525">
        <v>3110381</v>
      </c>
      <c r="X525">
        <v>69800</v>
      </c>
      <c r="Y525">
        <v>27246</v>
      </c>
      <c r="Z525">
        <v>6599473</v>
      </c>
      <c r="AA525">
        <v>2416793</v>
      </c>
      <c r="AB525">
        <v>167199</v>
      </c>
      <c r="AC525">
        <v>112207</v>
      </c>
      <c r="AD525">
        <v>20398</v>
      </c>
      <c r="AE525">
        <v>2008</v>
      </c>
      <c r="AF525">
        <v>18390</v>
      </c>
      <c r="AG525" s="2">
        <v>9.8441023629999999E-2</v>
      </c>
      <c r="AH525" t="s">
        <v>35</v>
      </c>
      <c r="AI525" s="4">
        <v>12682</v>
      </c>
      <c r="AJ525" s="4">
        <v>802373</v>
      </c>
      <c r="AK525" s="4">
        <v>8813</v>
      </c>
      <c r="AL525" s="4">
        <v>3974</v>
      </c>
      <c r="AM525" s="4">
        <v>827842</v>
      </c>
      <c r="AN525" s="5">
        <f ca="1">IFERROR(__xludf.DUMMYFUNCTION("""COMPUTED_VALUE"""),-1090)</f>
        <v>-1090</v>
      </c>
    </row>
    <row r="526" spans="1:40" x14ac:dyDescent="0.35">
      <c r="A526" s="1">
        <v>525</v>
      </c>
      <c r="B526" s="7">
        <v>44415</v>
      </c>
      <c r="C526">
        <v>68</v>
      </c>
      <c r="D526">
        <v>4551</v>
      </c>
      <c r="E526">
        <v>-1856</v>
      </c>
      <c r="F526">
        <v>-755</v>
      </c>
      <c r="G526" s="5">
        <f ca="1">IFERROR(__xludf.DUMMYFUNCTION("""COMPUTED_VALUE"""),31753)</f>
        <v>31753</v>
      </c>
      <c r="H526" s="5">
        <f ca="1">IFERROR(__xludf.DUMMYFUNCTION("""COMPUTED_VALUE"""),2008)</f>
        <v>2008</v>
      </c>
      <c r="I526">
        <v>-36</v>
      </c>
      <c r="J526">
        <v>2</v>
      </c>
      <c r="K526">
        <v>-56</v>
      </c>
      <c r="L526">
        <v>-46</v>
      </c>
      <c r="M526">
        <v>-25</v>
      </c>
      <c r="N526">
        <v>11</v>
      </c>
      <c r="O526">
        <v>144251</v>
      </c>
      <c r="Q526">
        <v>127046</v>
      </c>
      <c r="R526">
        <v>747355</v>
      </c>
      <c r="S526">
        <v>637868</v>
      </c>
      <c r="T526">
        <v>7294189</v>
      </c>
      <c r="U526">
        <v>2419482</v>
      </c>
      <c r="V526">
        <v>8185795</v>
      </c>
      <c r="W526">
        <v>3184396</v>
      </c>
      <c r="X526">
        <v>83731</v>
      </c>
      <c r="Y526">
        <v>74015</v>
      </c>
      <c r="Z526">
        <v>6673037</v>
      </c>
      <c r="AA526">
        <v>2475741</v>
      </c>
      <c r="AB526">
        <v>167891</v>
      </c>
      <c r="AC526">
        <v>113667</v>
      </c>
      <c r="AD526">
        <v>17018</v>
      </c>
      <c r="AE526">
        <v>1649</v>
      </c>
      <c r="AF526">
        <v>15369</v>
      </c>
      <c r="AG526" s="2">
        <v>9.689740275E-2</v>
      </c>
      <c r="AH526" t="s">
        <v>35</v>
      </c>
      <c r="AI526" s="4">
        <v>12750</v>
      </c>
      <c r="AJ526" s="4">
        <v>806924</v>
      </c>
      <c r="AK526" s="4">
        <v>6957</v>
      </c>
      <c r="AL526" s="4">
        <v>3219</v>
      </c>
      <c r="AM526" s="4">
        <v>829850</v>
      </c>
      <c r="AN526" s="5">
        <f ca="1">IFERROR(__xludf.DUMMYFUNCTION("""COMPUTED_VALUE"""),-2611)</f>
        <v>-2611</v>
      </c>
    </row>
    <row r="527" spans="1:40" x14ac:dyDescent="0.35">
      <c r="A527" s="1">
        <v>526</v>
      </c>
      <c r="B527" s="7">
        <v>44416</v>
      </c>
      <c r="C527">
        <v>20</v>
      </c>
      <c r="D527">
        <v>1163</v>
      </c>
      <c r="E527">
        <v>610</v>
      </c>
      <c r="F527">
        <v>-144</v>
      </c>
      <c r="G527" s="5">
        <f ca="1">IFERROR(__xludf.DUMMYFUNCTION("""COMPUTED_VALUE"""),26415)</f>
        <v>26415</v>
      </c>
      <c r="H527" s="5">
        <f ca="1">IFERROR(__xludf.DUMMYFUNCTION("""COMPUTED_VALUE"""),1649)</f>
        <v>1649</v>
      </c>
      <c r="I527">
        <v>-39</v>
      </c>
      <c r="J527">
        <v>-5</v>
      </c>
      <c r="K527">
        <v>-63</v>
      </c>
      <c r="L527">
        <v>-49</v>
      </c>
      <c r="M527">
        <v>-19</v>
      </c>
      <c r="N527">
        <v>10</v>
      </c>
      <c r="O527">
        <v>144251</v>
      </c>
      <c r="Q527">
        <v>127046</v>
      </c>
      <c r="R527">
        <v>754010</v>
      </c>
      <c r="S527">
        <v>641606</v>
      </c>
      <c r="T527">
        <v>7472929</v>
      </c>
      <c r="U527">
        <v>2647312</v>
      </c>
      <c r="V527">
        <v>8371190</v>
      </c>
      <c r="W527">
        <v>3415964</v>
      </c>
      <c r="X527">
        <v>185395</v>
      </c>
      <c r="Y527">
        <v>231568</v>
      </c>
      <c r="Z527">
        <v>6851777</v>
      </c>
      <c r="AA527">
        <v>2703571</v>
      </c>
      <c r="AB527">
        <v>167928</v>
      </c>
      <c r="AC527">
        <v>113728</v>
      </c>
      <c r="AD527">
        <v>8155</v>
      </c>
      <c r="AE527">
        <v>727</v>
      </c>
      <c r="AF527">
        <v>7428</v>
      </c>
      <c r="AG527" s="2">
        <v>8.9147762110000001E-2</v>
      </c>
      <c r="AH527" t="s">
        <v>35</v>
      </c>
      <c r="AI527" s="4">
        <v>12770</v>
      </c>
      <c r="AJ527" s="4">
        <v>808087</v>
      </c>
      <c r="AK527" s="4">
        <v>7567</v>
      </c>
      <c r="AL527" s="4">
        <v>3075</v>
      </c>
      <c r="AM527" s="4">
        <v>831499</v>
      </c>
      <c r="AN527" s="5">
        <f ca="1">IFERROR(__xludf.DUMMYFUNCTION("""COMPUTED_VALUE"""),466)</f>
        <v>466</v>
      </c>
    </row>
    <row r="528" spans="1:40" x14ac:dyDescent="0.35">
      <c r="A528" s="1">
        <v>527</v>
      </c>
      <c r="B528" s="7">
        <v>44417</v>
      </c>
      <c r="C528">
        <v>13</v>
      </c>
      <c r="D528">
        <v>1000</v>
      </c>
      <c r="E528">
        <v>-137</v>
      </c>
      <c r="F528">
        <v>-149</v>
      </c>
      <c r="G528" s="5">
        <f ca="1">IFERROR(__xludf.DUMMYFUNCTION("""COMPUTED_VALUE"""),20709)</f>
        <v>20709</v>
      </c>
      <c r="H528" s="5">
        <f ca="1">IFERROR(__xludf.DUMMYFUNCTION("""COMPUTED_VALUE"""),727)</f>
        <v>727</v>
      </c>
      <c r="I528">
        <v>-32</v>
      </c>
      <c r="J528">
        <v>-2</v>
      </c>
      <c r="K528">
        <v>-50</v>
      </c>
      <c r="L528">
        <v>-50</v>
      </c>
      <c r="M528">
        <v>-40</v>
      </c>
      <c r="N528">
        <v>15</v>
      </c>
      <c r="O528">
        <v>144251</v>
      </c>
      <c r="Q528">
        <v>127046</v>
      </c>
      <c r="R528">
        <v>758203</v>
      </c>
      <c r="S528">
        <v>643520</v>
      </c>
      <c r="T528">
        <v>7605181</v>
      </c>
      <c r="U528">
        <v>2762080</v>
      </c>
      <c r="V528">
        <v>8507635</v>
      </c>
      <c r="W528">
        <v>3532646</v>
      </c>
      <c r="X528">
        <v>136445</v>
      </c>
      <c r="Y528">
        <v>116682</v>
      </c>
      <c r="Z528">
        <v>6984029</v>
      </c>
      <c r="AA528">
        <v>2818339</v>
      </c>
      <c r="AB528">
        <v>172781</v>
      </c>
      <c r="AC528">
        <v>123034</v>
      </c>
      <c r="AD528">
        <v>15094</v>
      </c>
      <c r="AE528">
        <v>1425</v>
      </c>
      <c r="AF528">
        <v>13669</v>
      </c>
      <c r="AG528" s="2">
        <v>9.4408374190000005E-2</v>
      </c>
      <c r="AH528" t="s">
        <v>35</v>
      </c>
      <c r="AI528" s="4">
        <v>12783</v>
      </c>
      <c r="AJ528" s="4">
        <v>809087</v>
      </c>
      <c r="AK528" s="4">
        <v>7430</v>
      </c>
      <c r="AL528" s="4">
        <v>2926</v>
      </c>
      <c r="AM528" s="4">
        <v>832226</v>
      </c>
      <c r="AN528" s="5">
        <f ca="1">IFERROR(__xludf.DUMMYFUNCTION("""COMPUTED_VALUE"""),-286)</f>
        <v>-286</v>
      </c>
    </row>
    <row r="529" spans="1:40" x14ac:dyDescent="0.35">
      <c r="A529" s="1">
        <v>528</v>
      </c>
      <c r="B529" s="7">
        <v>44418</v>
      </c>
      <c r="C529">
        <v>41</v>
      </c>
      <c r="D529">
        <v>1221</v>
      </c>
      <c r="E529">
        <v>65</v>
      </c>
      <c r="F529">
        <v>98</v>
      </c>
      <c r="G529" s="5">
        <f ca="1">IFERROR(__xludf.DUMMYFUNCTION("""COMPUTED_VALUE"""),32081)</f>
        <v>32081</v>
      </c>
      <c r="H529" s="5">
        <f ca="1">IFERROR(__xludf.DUMMYFUNCTION("""COMPUTED_VALUE"""),1425)</f>
        <v>1425</v>
      </c>
      <c r="I529">
        <v>-35</v>
      </c>
      <c r="J529">
        <v>-6</v>
      </c>
      <c r="K529">
        <v>-55</v>
      </c>
      <c r="L529">
        <v>-51</v>
      </c>
      <c r="M529">
        <v>-42</v>
      </c>
      <c r="N529">
        <v>16</v>
      </c>
      <c r="O529">
        <v>144251</v>
      </c>
      <c r="Q529">
        <v>127046</v>
      </c>
      <c r="R529">
        <v>761941</v>
      </c>
      <c r="S529">
        <v>646255</v>
      </c>
      <c r="T529">
        <v>7723897</v>
      </c>
      <c r="U529">
        <v>2897904</v>
      </c>
      <c r="V529">
        <v>8630089</v>
      </c>
      <c r="W529">
        <v>3671205</v>
      </c>
      <c r="X529">
        <v>122454</v>
      </c>
      <c r="Y529">
        <v>138559</v>
      </c>
      <c r="Z529">
        <v>7142726</v>
      </c>
      <c r="AA529">
        <v>2918538</v>
      </c>
      <c r="AB529">
        <v>173992</v>
      </c>
      <c r="AC529">
        <v>125173</v>
      </c>
      <c r="AD529">
        <v>21813</v>
      </c>
      <c r="AE529">
        <v>1958</v>
      </c>
      <c r="AF529">
        <v>19855</v>
      </c>
      <c r="AG529" s="2">
        <v>8.9762985379999993E-2</v>
      </c>
      <c r="AH529" t="s">
        <v>35</v>
      </c>
      <c r="AI529" s="4">
        <v>12824</v>
      </c>
      <c r="AJ529" s="4">
        <v>810308</v>
      </c>
      <c r="AK529" s="4">
        <v>7495</v>
      </c>
      <c r="AL529" s="4">
        <v>3024</v>
      </c>
      <c r="AM529" s="4">
        <v>833651</v>
      </c>
      <c r="AN529" s="5">
        <f ca="1">IFERROR(__xludf.DUMMYFUNCTION("""COMPUTED_VALUE"""),163)</f>
        <v>163</v>
      </c>
    </row>
    <row r="530" spans="1:40" x14ac:dyDescent="0.35">
      <c r="A530" s="1">
        <v>529</v>
      </c>
      <c r="B530" s="7">
        <v>44419</v>
      </c>
      <c r="C530">
        <v>42</v>
      </c>
      <c r="D530">
        <v>1334</v>
      </c>
      <c r="E530">
        <v>378</v>
      </c>
      <c r="F530">
        <v>204</v>
      </c>
      <c r="G530" s="5">
        <f ca="1">IFERROR(__xludf.DUMMYFUNCTION("""COMPUTED_VALUE"""),30625)</f>
        <v>30625</v>
      </c>
      <c r="H530" s="5">
        <f ca="1">IFERROR(__xludf.DUMMYFUNCTION("""COMPUTED_VALUE"""),1958)</f>
        <v>1958</v>
      </c>
      <c r="I530">
        <v>-34</v>
      </c>
      <c r="J530">
        <v>-5</v>
      </c>
      <c r="K530">
        <v>-51</v>
      </c>
      <c r="L530">
        <v>-60</v>
      </c>
      <c r="M530">
        <v>-67</v>
      </c>
      <c r="N530">
        <v>22</v>
      </c>
      <c r="O530">
        <v>144251</v>
      </c>
      <c r="Q530">
        <v>127046</v>
      </c>
      <c r="R530">
        <v>764676</v>
      </c>
      <c r="S530">
        <v>648078</v>
      </c>
      <c r="T530">
        <v>7813719</v>
      </c>
      <c r="U530">
        <v>3009229</v>
      </c>
      <c r="V530">
        <v>8722646</v>
      </c>
      <c r="W530">
        <v>3784353</v>
      </c>
      <c r="X530">
        <v>92557</v>
      </c>
      <c r="Y530">
        <v>113148</v>
      </c>
      <c r="Z530">
        <v>7225616</v>
      </c>
      <c r="AA530">
        <v>3005119</v>
      </c>
      <c r="AB530">
        <v>175494</v>
      </c>
      <c r="AC530">
        <v>127140</v>
      </c>
      <c r="AD530">
        <v>14615</v>
      </c>
      <c r="AE530">
        <v>1078</v>
      </c>
      <c r="AF530">
        <v>13537</v>
      </c>
      <c r="AG530" s="2">
        <v>7.3759835790000006E-2</v>
      </c>
      <c r="AH530" t="s">
        <v>35</v>
      </c>
      <c r="AI530" s="4">
        <v>12866</v>
      </c>
      <c r="AJ530" s="4">
        <v>811642</v>
      </c>
      <c r="AK530" s="4">
        <v>7873</v>
      </c>
      <c r="AL530" s="4">
        <v>3228</v>
      </c>
      <c r="AM530" s="4">
        <v>835609</v>
      </c>
      <c r="AN530" s="5">
        <f ca="1">IFERROR(__xludf.DUMMYFUNCTION("""COMPUTED_VALUE"""),582)</f>
        <v>582</v>
      </c>
    </row>
    <row r="531" spans="1:40" x14ac:dyDescent="0.35">
      <c r="A531" s="1">
        <v>530</v>
      </c>
      <c r="B531" s="7">
        <v>44420</v>
      </c>
      <c r="C531">
        <v>42</v>
      </c>
      <c r="D531">
        <v>2256</v>
      </c>
      <c r="E531">
        <v>-865</v>
      </c>
      <c r="F531">
        <v>-355</v>
      </c>
      <c r="G531" s="5">
        <f ca="1">IFERROR(__xludf.DUMMYFUNCTION("""COMPUTED_VALUE"""),24709)</f>
        <v>24709</v>
      </c>
      <c r="H531" s="5">
        <f ca="1">IFERROR(__xludf.DUMMYFUNCTION("""COMPUTED_VALUE"""),1078)</f>
        <v>1078</v>
      </c>
      <c r="I531">
        <v>-30</v>
      </c>
      <c r="J531">
        <v>-3</v>
      </c>
      <c r="K531">
        <v>-50</v>
      </c>
      <c r="L531">
        <v>-48</v>
      </c>
      <c r="M531">
        <v>-37</v>
      </c>
      <c r="N531">
        <v>14</v>
      </c>
      <c r="O531">
        <v>144251</v>
      </c>
      <c r="Q531">
        <v>127046</v>
      </c>
      <c r="R531">
        <v>765861</v>
      </c>
      <c r="S531">
        <v>648716</v>
      </c>
      <c r="T531">
        <v>7861445</v>
      </c>
      <c r="U531">
        <v>3045017</v>
      </c>
      <c r="V531">
        <v>8771557</v>
      </c>
      <c r="W531">
        <v>3820779</v>
      </c>
      <c r="X531">
        <v>48911</v>
      </c>
      <c r="Y531">
        <v>36426</v>
      </c>
      <c r="Z531">
        <v>7270906</v>
      </c>
      <c r="AA531">
        <v>3035920</v>
      </c>
      <c r="AB531">
        <v>177898</v>
      </c>
      <c r="AC531">
        <v>128245</v>
      </c>
      <c r="AD531">
        <v>15419</v>
      </c>
      <c r="AE531">
        <v>1210</v>
      </c>
      <c r="AF531">
        <v>14209</v>
      </c>
      <c r="AG531" s="2">
        <v>7.8474609249999994E-2</v>
      </c>
      <c r="AH531" t="s">
        <v>35</v>
      </c>
      <c r="AI531" s="4">
        <v>12908</v>
      </c>
      <c r="AJ531" s="4">
        <v>813898</v>
      </c>
      <c r="AK531" s="4">
        <v>7008</v>
      </c>
      <c r="AL531" s="4">
        <v>2873</v>
      </c>
      <c r="AM531" s="4">
        <v>836687</v>
      </c>
      <c r="AN531" s="5">
        <f ca="1">IFERROR(__xludf.DUMMYFUNCTION("""COMPUTED_VALUE"""),-1220)</f>
        <v>-1220</v>
      </c>
    </row>
    <row r="532" spans="1:40" x14ac:dyDescent="0.35">
      <c r="A532" s="1">
        <v>531</v>
      </c>
      <c r="B532" s="7">
        <v>44421</v>
      </c>
      <c r="C532">
        <v>68</v>
      </c>
      <c r="D532">
        <v>1570</v>
      </c>
      <c r="E532">
        <v>-284</v>
      </c>
      <c r="F532">
        <v>-144</v>
      </c>
      <c r="G532" s="5">
        <f ca="1">IFERROR(__xludf.DUMMYFUNCTION("""COMPUTED_VALUE"""),30788)</f>
        <v>30788</v>
      </c>
      <c r="H532" s="5">
        <f ca="1">IFERROR(__xludf.DUMMYFUNCTION("""COMPUTED_VALUE"""),1210)</f>
        <v>1210</v>
      </c>
      <c r="I532">
        <v>-29</v>
      </c>
      <c r="J532">
        <v>-1</v>
      </c>
      <c r="K532">
        <v>-45</v>
      </c>
      <c r="L532">
        <v>-48</v>
      </c>
      <c r="M532">
        <v>-36</v>
      </c>
      <c r="N532">
        <v>16</v>
      </c>
      <c r="O532">
        <v>144512</v>
      </c>
      <c r="Q532">
        <v>129007</v>
      </c>
      <c r="R532">
        <v>768414</v>
      </c>
      <c r="S532">
        <v>651907</v>
      </c>
      <c r="T532">
        <v>7948338</v>
      </c>
      <c r="U532">
        <v>3227035</v>
      </c>
      <c r="V532">
        <v>8861264</v>
      </c>
      <c r="W532">
        <v>4007949</v>
      </c>
      <c r="X532">
        <v>89707</v>
      </c>
      <c r="Y532">
        <v>187170</v>
      </c>
      <c r="Z532">
        <v>7350823</v>
      </c>
      <c r="AA532">
        <v>3178051</v>
      </c>
      <c r="AB532">
        <v>179429</v>
      </c>
      <c r="AC532">
        <v>129672</v>
      </c>
      <c r="AD532">
        <v>16144</v>
      </c>
      <c r="AE532">
        <v>1363</v>
      </c>
      <c r="AF532">
        <v>14781</v>
      </c>
      <c r="AG532" s="2">
        <v>8.4427651140000004E-2</v>
      </c>
      <c r="AH532" t="s">
        <v>35</v>
      </c>
      <c r="AI532" s="4">
        <v>12976</v>
      </c>
      <c r="AJ532" s="4">
        <v>815468</v>
      </c>
      <c r="AK532" s="4">
        <v>6724</v>
      </c>
      <c r="AL532" s="4">
        <v>2729</v>
      </c>
      <c r="AM532" s="4">
        <v>837897</v>
      </c>
      <c r="AN532" s="5">
        <f ca="1">IFERROR(__xludf.DUMMYFUNCTION("""COMPUTED_VALUE"""),-428)</f>
        <v>-428</v>
      </c>
    </row>
    <row r="533" spans="1:40" x14ac:dyDescent="0.35">
      <c r="A533" s="1">
        <v>532</v>
      </c>
      <c r="B533" s="7">
        <v>44422</v>
      </c>
      <c r="C533">
        <v>29</v>
      </c>
      <c r="D533">
        <v>1219</v>
      </c>
      <c r="E533">
        <v>24</v>
      </c>
      <c r="F533">
        <v>91</v>
      </c>
      <c r="G533" s="5">
        <f ca="1">IFERROR(__xludf.DUMMYFUNCTION("""COMPUTED_VALUE"""),28598)</f>
        <v>28598</v>
      </c>
      <c r="H533" s="5">
        <f ca="1">IFERROR(__xludf.DUMMYFUNCTION("""COMPUTED_VALUE"""),1363)</f>
        <v>1363</v>
      </c>
      <c r="I533">
        <v>-33</v>
      </c>
      <c r="J533">
        <v>0</v>
      </c>
      <c r="K533">
        <v>-54</v>
      </c>
      <c r="L533">
        <v>-43</v>
      </c>
      <c r="M533">
        <v>-20</v>
      </c>
      <c r="N533">
        <v>10</v>
      </c>
      <c r="O533">
        <v>144815</v>
      </c>
      <c r="Q533">
        <v>129662</v>
      </c>
      <c r="R533">
        <v>770875</v>
      </c>
      <c r="S533">
        <v>654642</v>
      </c>
      <c r="T533">
        <v>8036003</v>
      </c>
      <c r="U533">
        <v>3397014</v>
      </c>
      <c r="V533">
        <v>8951693</v>
      </c>
      <c r="W533">
        <v>4181318</v>
      </c>
      <c r="X533">
        <v>90429</v>
      </c>
      <c r="Y533">
        <v>173369</v>
      </c>
      <c r="Z533">
        <v>7431863</v>
      </c>
      <c r="AA533">
        <v>3307968</v>
      </c>
      <c r="AB533">
        <v>181045</v>
      </c>
      <c r="AC533">
        <v>131886</v>
      </c>
      <c r="AD533">
        <v>14374</v>
      </c>
      <c r="AE533">
        <v>1182</v>
      </c>
      <c r="AF533">
        <v>13192</v>
      </c>
      <c r="AG533" s="2">
        <v>8.2231807429999998E-2</v>
      </c>
      <c r="AH533" t="s">
        <v>35</v>
      </c>
      <c r="AI533" s="4">
        <v>13005</v>
      </c>
      <c r="AJ533" s="4">
        <v>816687</v>
      </c>
      <c r="AK533" s="4">
        <v>6748</v>
      </c>
      <c r="AL533" s="4">
        <v>2820</v>
      </c>
      <c r="AM533" s="4">
        <v>839260</v>
      </c>
      <c r="AN533" s="5">
        <f ca="1">IFERROR(__xludf.DUMMYFUNCTION("""COMPUTED_VALUE"""),115)</f>
        <v>115</v>
      </c>
    </row>
    <row r="534" spans="1:40" x14ac:dyDescent="0.35">
      <c r="A534" s="1">
        <v>533</v>
      </c>
      <c r="B534" s="7">
        <v>44423</v>
      </c>
      <c r="C534">
        <v>17</v>
      </c>
      <c r="D534">
        <v>1077</v>
      </c>
      <c r="E534">
        <v>7</v>
      </c>
      <c r="F534">
        <v>81</v>
      </c>
      <c r="G534" s="5">
        <f ca="1">IFERROR(__xludf.DUMMYFUNCTION("""COMPUTED_VALUE"""),20813)</f>
        <v>20813</v>
      </c>
      <c r="H534" s="5">
        <f ca="1">IFERROR(__xludf.DUMMYFUNCTION("""COMPUTED_VALUE"""),1182)</f>
        <v>1182</v>
      </c>
      <c r="I534">
        <v>-36</v>
      </c>
      <c r="J534">
        <v>-6</v>
      </c>
      <c r="K534">
        <v>-60</v>
      </c>
      <c r="L534">
        <v>-46</v>
      </c>
      <c r="M534">
        <v>-16</v>
      </c>
      <c r="N534">
        <v>10</v>
      </c>
      <c r="O534">
        <v>144930</v>
      </c>
      <c r="Q534">
        <v>129959</v>
      </c>
      <c r="R534">
        <v>771878</v>
      </c>
      <c r="S534">
        <v>655827</v>
      </c>
      <c r="T534">
        <v>8100243</v>
      </c>
      <c r="U534">
        <v>3474465</v>
      </c>
      <c r="V534">
        <v>9017051</v>
      </c>
      <c r="W534">
        <v>4260251</v>
      </c>
      <c r="X534">
        <v>65358</v>
      </c>
      <c r="Y534">
        <v>78933</v>
      </c>
      <c r="Z534">
        <v>7494173</v>
      </c>
      <c r="AA534">
        <v>3370268</v>
      </c>
      <c r="AB534">
        <v>183436</v>
      </c>
      <c r="AC534">
        <v>135191</v>
      </c>
      <c r="AD534">
        <v>6076</v>
      </c>
      <c r="AE534">
        <v>513</v>
      </c>
      <c r="AF534">
        <v>5563</v>
      </c>
      <c r="AG534" s="2">
        <v>8.4430546410000001E-2</v>
      </c>
      <c r="AH534" t="s">
        <v>35</v>
      </c>
      <c r="AI534" s="4">
        <v>13022</v>
      </c>
      <c r="AJ534" s="4">
        <v>817764</v>
      </c>
      <c r="AK534" s="4">
        <v>6755</v>
      </c>
      <c r="AL534" s="4">
        <v>2901</v>
      </c>
      <c r="AM534" s="4">
        <v>840442</v>
      </c>
      <c r="AN534" s="5">
        <f ca="1">IFERROR(__xludf.DUMMYFUNCTION("""COMPUTED_VALUE"""),88)</f>
        <v>88</v>
      </c>
    </row>
    <row r="535" spans="1:40" x14ac:dyDescent="0.35">
      <c r="A535" s="1">
        <v>534</v>
      </c>
      <c r="B535" s="7">
        <v>44424</v>
      </c>
      <c r="C535">
        <v>28</v>
      </c>
      <c r="D535">
        <v>936</v>
      </c>
      <c r="E535">
        <v>-465</v>
      </c>
      <c r="F535">
        <v>14</v>
      </c>
      <c r="G535" s="5">
        <f ca="1">IFERROR(__xludf.DUMMYFUNCTION("""COMPUTED_VALUE"""),17384)</f>
        <v>17384</v>
      </c>
      <c r="H535" s="5">
        <f ca="1">IFERROR(__xludf.DUMMYFUNCTION("""COMPUTED_VALUE"""),513)</f>
        <v>513</v>
      </c>
      <c r="I535">
        <v>-27</v>
      </c>
      <c r="J535">
        <v>0</v>
      </c>
      <c r="K535">
        <v>-47</v>
      </c>
      <c r="L535">
        <v>-47</v>
      </c>
      <c r="M535">
        <v>-39</v>
      </c>
      <c r="N535">
        <v>14</v>
      </c>
      <c r="O535">
        <v>145012</v>
      </c>
      <c r="Q535">
        <v>130106</v>
      </c>
      <c r="R535">
        <v>772972</v>
      </c>
      <c r="S535">
        <v>656556</v>
      </c>
      <c r="T535">
        <v>8151366</v>
      </c>
      <c r="U535">
        <v>3523733</v>
      </c>
      <c r="V535">
        <v>9069350</v>
      </c>
      <c r="W535">
        <v>4310395</v>
      </c>
      <c r="X535">
        <v>52299</v>
      </c>
      <c r="Y535">
        <v>50144</v>
      </c>
      <c r="Z535">
        <v>7543837</v>
      </c>
      <c r="AA535">
        <v>3409626</v>
      </c>
      <c r="AB535">
        <v>184980</v>
      </c>
      <c r="AC535">
        <v>138004</v>
      </c>
      <c r="AD535">
        <v>11663</v>
      </c>
      <c r="AE535">
        <v>655</v>
      </c>
      <c r="AF535">
        <v>11008</v>
      </c>
      <c r="AG535" s="2">
        <v>5.6160507589999999E-2</v>
      </c>
      <c r="AH535" t="s">
        <v>35</v>
      </c>
      <c r="AI535" s="4">
        <v>13050</v>
      </c>
      <c r="AJ535" s="4">
        <v>818700</v>
      </c>
      <c r="AK535" s="4">
        <v>6290</v>
      </c>
      <c r="AL535" s="4">
        <v>2915</v>
      </c>
      <c r="AM535" s="4">
        <v>840955</v>
      </c>
      <c r="AN535" s="5">
        <f ca="1">IFERROR(__xludf.DUMMYFUNCTION("""COMPUTED_VALUE"""),-451)</f>
        <v>-451</v>
      </c>
    </row>
    <row r="536" spans="1:40" x14ac:dyDescent="0.35">
      <c r="A536" s="1">
        <v>535</v>
      </c>
      <c r="B536" s="7">
        <v>44425</v>
      </c>
      <c r="C536">
        <v>24</v>
      </c>
      <c r="D536">
        <v>920</v>
      </c>
      <c r="E536">
        <v>-335</v>
      </c>
      <c r="F536">
        <v>46</v>
      </c>
      <c r="G536" s="5">
        <f ca="1">IFERROR(__xludf.DUMMYFUNCTION("""COMPUTED_VALUE"""),20741)</f>
        <v>20741</v>
      </c>
      <c r="H536" s="5">
        <f ca="1">IFERROR(__xludf.DUMMYFUNCTION("""COMPUTED_VALUE"""),655)</f>
        <v>655</v>
      </c>
      <c r="I536">
        <v>-37</v>
      </c>
      <c r="J536">
        <v>-13</v>
      </c>
      <c r="K536">
        <v>-48</v>
      </c>
      <c r="L536">
        <v>-61</v>
      </c>
      <c r="M536">
        <v>-73</v>
      </c>
      <c r="N536">
        <v>22</v>
      </c>
      <c r="O536">
        <v>145377</v>
      </c>
      <c r="Q536">
        <v>130598</v>
      </c>
      <c r="R536">
        <v>774339</v>
      </c>
      <c r="S536">
        <v>658653</v>
      </c>
      <c r="T536">
        <v>8231512</v>
      </c>
      <c r="U536">
        <v>3645545</v>
      </c>
      <c r="V536">
        <v>9151228</v>
      </c>
      <c r="W536">
        <v>4434796</v>
      </c>
      <c r="X536">
        <v>81878</v>
      </c>
      <c r="Y536">
        <v>124401</v>
      </c>
      <c r="Z536">
        <v>7620385</v>
      </c>
      <c r="AA536">
        <v>3503040</v>
      </c>
      <c r="AB536">
        <v>186102</v>
      </c>
      <c r="AC536">
        <v>139354</v>
      </c>
      <c r="AD536">
        <v>12623</v>
      </c>
      <c r="AE536">
        <v>1029</v>
      </c>
      <c r="AF536">
        <v>11594</v>
      </c>
      <c r="AG536" s="2">
        <v>8.151786422E-2</v>
      </c>
      <c r="AH536" t="s">
        <v>35</v>
      </c>
      <c r="AI536" s="4">
        <v>13074</v>
      </c>
      <c r="AJ536" s="4">
        <v>819620</v>
      </c>
      <c r="AK536" s="4">
        <v>5955</v>
      </c>
      <c r="AL536" s="4">
        <v>2961</v>
      </c>
      <c r="AM536" s="4">
        <v>841610</v>
      </c>
      <c r="AN536" s="5">
        <f ca="1">IFERROR(__xludf.DUMMYFUNCTION("""COMPUTED_VALUE"""),-289)</f>
        <v>-289</v>
      </c>
    </row>
    <row r="537" spans="1:40" x14ac:dyDescent="0.35">
      <c r="A537" s="1">
        <v>536</v>
      </c>
      <c r="B537" s="7">
        <v>44426</v>
      </c>
      <c r="C537">
        <v>13</v>
      </c>
      <c r="D537">
        <v>897</v>
      </c>
      <c r="E537">
        <v>51</v>
      </c>
      <c r="F537">
        <v>68</v>
      </c>
      <c r="G537" s="5">
        <f ca="1">IFERROR(__xludf.DUMMYFUNCTION("""COMPUTED_VALUE"""),15768)</f>
        <v>15768</v>
      </c>
      <c r="H537" s="5">
        <f ca="1">IFERROR(__xludf.DUMMYFUNCTION("""COMPUTED_VALUE"""),1029)</f>
        <v>1029</v>
      </c>
      <c r="I537">
        <v>-32</v>
      </c>
      <c r="J537">
        <v>-6</v>
      </c>
      <c r="K537">
        <v>-51</v>
      </c>
      <c r="L537">
        <v>-47</v>
      </c>
      <c r="M537">
        <v>-36</v>
      </c>
      <c r="N537">
        <v>14</v>
      </c>
      <c r="O537">
        <v>145437</v>
      </c>
      <c r="Q537">
        <v>130664</v>
      </c>
      <c r="R537">
        <v>774795</v>
      </c>
      <c r="S537">
        <v>658927</v>
      </c>
      <c r="T537">
        <v>8270704</v>
      </c>
      <c r="U537">
        <v>3659507</v>
      </c>
      <c r="V537">
        <v>9190936</v>
      </c>
      <c r="W537">
        <v>4449098</v>
      </c>
      <c r="X537">
        <v>39708</v>
      </c>
      <c r="Y537">
        <v>14302</v>
      </c>
      <c r="Z537">
        <v>7658754</v>
      </c>
      <c r="AA537">
        <v>3514253</v>
      </c>
      <c r="AB537">
        <v>186205</v>
      </c>
      <c r="AC537">
        <v>139763</v>
      </c>
      <c r="AD537">
        <v>11136</v>
      </c>
      <c r="AE537">
        <v>731</v>
      </c>
      <c r="AF537">
        <v>10405</v>
      </c>
      <c r="AG537" s="2">
        <v>6.5642959769999995E-2</v>
      </c>
      <c r="AH537" t="s">
        <v>35</v>
      </c>
      <c r="AI537" s="4">
        <v>13087</v>
      </c>
      <c r="AJ537" s="4">
        <v>820517</v>
      </c>
      <c r="AK537" s="4">
        <v>6006</v>
      </c>
      <c r="AL537" s="4">
        <v>3029</v>
      </c>
      <c r="AM537" s="4">
        <v>842639</v>
      </c>
      <c r="AN537" s="5">
        <f ca="1">IFERROR(__xludf.DUMMYFUNCTION("""COMPUTED_VALUE"""),119)</f>
        <v>119</v>
      </c>
    </row>
    <row r="538" spans="1:40" x14ac:dyDescent="0.35">
      <c r="A538" s="1">
        <v>537</v>
      </c>
      <c r="B538" s="7">
        <v>44427</v>
      </c>
      <c r="C538">
        <v>34</v>
      </c>
      <c r="D538">
        <v>934</v>
      </c>
      <c r="E538">
        <v>-212</v>
      </c>
      <c r="F538">
        <v>-25</v>
      </c>
      <c r="G538" s="5">
        <f ca="1">IFERROR(__xludf.DUMMYFUNCTION("""COMPUTED_VALUE"""),22053)</f>
        <v>22053</v>
      </c>
      <c r="H538" s="5">
        <f ca="1">IFERROR(__xludf.DUMMYFUNCTION("""COMPUTED_VALUE"""),731)</f>
        <v>731</v>
      </c>
      <c r="I538">
        <v>-31</v>
      </c>
      <c r="J538">
        <v>-6</v>
      </c>
      <c r="K538">
        <v>-49</v>
      </c>
      <c r="L538">
        <v>-49</v>
      </c>
      <c r="M538">
        <v>-36</v>
      </c>
      <c r="N538">
        <v>14</v>
      </c>
      <c r="O538">
        <v>145760</v>
      </c>
      <c r="Q538">
        <v>131099</v>
      </c>
      <c r="R538">
        <v>776527</v>
      </c>
      <c r="S538">
        <v>660659</v>
      </c>
      <c r="T538">
        <v>8318021</v>
      </c>
      <c r="U538">
        <v>3769857</v>
      </c>
      <c r="V538">
        <v>9240308</v>
      </c>
      <c r="W538">
        <v>4561615</v>
      </c>
      <c r="X538">
        <v>49372</v>
      </c>
      <c r="Y538">
        <v>112517</v>
      </c>
      <c r="Z538">
        <v>7701823</v>
      </c>
      <c r="AA538">
        <v>3599711</v>
      </c>
      <c r="AB538">
        <v>187348</v>
      </c>
      <c r="AC538">
        <v>140791</v>
      </c>
      <c r="AD538">
        <v>11742</v>
      </c>
      <c r="AE538">
        <v>969</v>
      </c>
      <c r="AF538">
        <v>10773</v>
      </c>
      <c r="AG538" s="2">
        <v>8.2524271839999996E-2</v>
      </c>
      <c r="AH538" t="s">
        <v>35</v>
      </c>
      <c r="AI538" s="4">
        <v>13121</v>
      </c>
      <c r="AJ538" s="4">
        <v>821451</v>
      </c>
      <c r="AK538" s="4">
        <v>5794</v>
      </c>
      <c r="AL538" s="4">
        <v>3004</v>
      </c>
      <c r="AM538" s="4">
        <v>843370</v>
      </c>
      <c r="AN538" s="5">
        <f ca="1">IFERROR(__xludf.DUMMYFUNCTION("""COMPUTED_VALUE"""),-237)</f>
        <v>-237</v>
      </c>
    </row>
    <row r="539" spans="1:40" x14ac:dyDescent="0.35">
      <c r="A539" s="1">
        <v>538</v>
      </c>
      <c r="B539" s="7">
        <v>44428</v>
      </c>
      <c r="C539">
        <v>11</v>
      </c>
      <c r="D539">
        <v>948</v>
      </c>
      <c r="E539">
        <v>-73</v>
      </c>
      <c r="F539">
        <v>83</v>
      </c>
      <c r="G539" s="5">
        <f ca="1">IFERROR(__xludf.DUMMYFUNCTION("""COMPUTED_VALUE"""),20004)</f>
        <v>20004</v>
      </c>
      <c r="H539" s="5">
        <f ca="1">IFERROR(__xludf.DUMMYFUNCTION("""COMPUTED_VALUE"""),969)</f>
        <v>969</v>
      </c>
      <c r="I539">
        <v>-28</v>
      </c>
      <c r="J539">
        <v>-2</v>
      </c>
      <c r="K539">
        <v>-44</v>
      </c>
      <c r="L539">
        <v>-48</v>
      </c>
      <c r="M539">
        <v>-34</v>
      </c>
      <c r="N539">
        <v>15</v>
      </c>
      <c r="O539">
        <v>146009</v>
      </c>
      <c r="Q539">
        <v>131541</v>
      </c>
      <c r="R539">
        <v>778077</v>
      </c>
      <c r="S539">
        <v>662573</v>
      </c>
      <c r="T539">
        <v>8360969</v>
      </c>
      <c r="U539">
        <v>3885330</v>
      </c>
      <c r="V539">
        <v>9285055</v>
      </c>
      <c r="W539">
        <v>4679444</v>
      </c>
      <c r="X539">
        <v>44747</v>
      </c>
      <c r="Y539">
        <v>117829</v>
      </c>
      <c r="Z539">
        <v>7741075</v>
      </c>
      <c r="AA539">
        <v>3685898</v>
      </c>
      <c r="AB539">
        <v>188109</v>
      </c>
      <c r="AC539">
        <v>142047</v>
      </c>
      <c r="AD539">
        <v>13518</v>
      </c>
      <c r="AE539">
        <v>891</v>
      </c>
      <c r="AF539">
        <v>12627</v>
      </c>
      <c r="AG539" s="2">
        <v>6.5912117179999993E-2</v>
      </c>
      <c r="AH539" t="s">
        <v>35</v>
      </c>
      <c r="AI539" s="4">
        <v>13132</v>
      </c>
      <c r="AJ539" s="4">
        <v>822399</v>
      </c>
      <c r="AK539" s="4">
        <v>5721</v>
      </c>
      <c r="AL539" s="4">
        <v>3087</v>
      </c>
      <c r="AM539" s="4">
        <v>844339</v>
      </c>
      <c r="AN539" s="5">
        <f ca="1">IFERROR(__xludf.DUMMYFUNCTION("""COMPUTED_VALUE"""),10)</f>
        <v>10</v>
      </c>
    </row>
    <row r="540" spans="1:40" x14ac:dyDescent="0.35">
      <c r="A540" s="1">
        <v>539</v>
      </c>
      <c r="B540" s="7">
        <v>44429</v>
      </c>
      <c r="C540">
        <v>20</v>
      </c>
      <c r="D540">
        <v>915</v>
      </c>
      <c r="E540">
        <v>-156</v>
      </c>
      <c r="F540">
        <v>112</v>
      </c>
      <c r="G540" s="5">
        <f ca="1">IFERROR(__xludf.DUMMYFUNCTION("""COMPUTED_VALUE"""),16744)</f>
        <v>16744</v>
      </c>
      <c r="H540" s="5">
        <f ca="1">IFERROR(__xludf.DUMMYFUNCTION("""COMPUTED_VALUE"""),891)</f>
        <v>891</v>
      </c>
      <c r="I540">
        <v>-31</v>
      </c>
      <c r="J540">
        <v>-1</v>
      </c>
      <c r="K540">
        <v>-52</v>
      </c>
      <c r="L540">
        <v>-43</v>
      </c>
      <c r="M540">
        <v>-19</v>
      </c>
      <c r="N540">
        <v>10</v>
      </c>
      <c r="O540">
        <v>146276</v>
      </c>
      <c r="Q540">
        <v>131945</v>
      </c>
      <c r="R540">
        <v>779171</v>
      </c>
      <c r="S540">
        <v>663758</v>
      </c>
      <c r="T540">
        <v>8393744</v>
      </c>
      <c r="U540">
        <v>3967204</v>
      </c>
      <c r="V540">
        <v>9319191</v>
      </c>
      <c r="W540">
        <v>4762907</v>
      </c>
      <c r="X540">
        <v>34136</v>
      </c>
      <c r="Y540">
        <v>83463</v>
      </c>
      <c r="Z540">
        <v>7771668</v>
      </c>
      <c r="AA540">
        <v>3747306</v>
      </c>
      <c r="AB540">
        <v>188334</v>
      </c>
      <c r="AC540">
        <v>142517</v>
      </c>
      <c r="AD540">
        <v>11555</v>
      </c>
      <c r="AE540">
        <v>701</v>
      </c>
      <c r="AF540">
        <v>10854</v>
      </c>
      <c r="AG540" s="2">
        <v>6.0666378190000002E-2</v>
      </c>
      <c r="AH540" t="s">
        <v>35</v>
      </c>
      <c r="AI540" s="4">
        <v>13152</v>
      </c>
      <c r="AJ540" s="4">
        <v>823314</v>
      </c>
      <c r="AK540" s="4">
        <v>5565</v>
      </c>
      <c r="AL540" s="4">
        <v>3199</v>
      </c>
      <c r="AM540" s="4">
        <v>845230</v>
      </c>
      <c r="AN540" s="5">
        <f ca="1">IFERROR(__xludf.DUMMYFUNCTION("""COMPUTED_VALUE"""),-44)</f>
        <v>-44</v>
      </c>
    </row>
    <row r="541" spans="1:40" x14ac:dyDescent="0.35">
      <c r="G541" s="5"/>
      <c r="H541" s="5"/>
      <c r="AN541" s="5"/>
    </row>
    <row r="542" spans="1:40" x14ac:dyDescent="0.35">
      <c r="G542" s="5"/>
      <c r="H542" s="5"/>
      <c r="AN542" s="5"/>
    </row>
    <row r="543" spans="1:40" x14ac:dyDescent="0.35">
      <c r="G543" s="5"/>
      <c r="H543" s="5"/>
      <c r="AN54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2021-08-31T14:22:10Z</dcterms:created>
  <dcterms:modified xsi:type="dcterms:W3CDTF">2021-09-03T14:34:20Z</dcterms:modified>
</cp:coreProperties>
</file>