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90" windowWidth="20115" windowHeight="7230" activeTab="1"/>
  </bookViews>
  <sheets>
    <sheet name="Summary" sheetId="7" r:id="rId1"/>
    <sheet name="DoE" sheetId="3" r:id="rId2"/>
    <sheet name="DoH" sheetId="8" r:id="rId3"/>
    <sheet name="DSD" sheetId="1" r:id="rId4"/>
    <sheet name="DCSR" sheetId="5" r:id="rId5"/>
    <sheet name="DCSSL" sheetId="6" r:id="rId6"/>
  </sheets>
  <externalReferences>
    <externalReference r:id="rId7"/>
  </externalReferences>
  <definedNames>
    <definedName name="_xlnm._FilterDatabase" localSheetId="4" hidden="1">DCSR!$A$5:$Q$29</definedName>
    <definedName name="_xlnm._FilterDatabase" localSheetId="1" hidden="1">DoE!$A$26:$AA$563</definedName>
    <definedName name="_xlnm._FilterDatabase" localSheetId="2" hidden="1">DoH!$A$5:$S$62</definedName>
    <definedName name="_xlnm._FilterDatabase" localSheetId="3" hidden="1">DSD!$A$5:$V$37</definedName>
    <definedName name="_xlnm.Print_Area" localSheetId="5">DCSSL!$A$1:$O$9</definedName>
    <definedName name="_xlnm.Print_Area" localSheetId="1">DoE!$A$20:$AA$563</definedName>
    <definedName name="_xlnm.Print_Area" localSheetId="2">DoH!$A$1:$R$63</definedName>
    <definedName name="_xlnm.Print_Titles" localSheetId="1">DoE!$20:$25</definedName>
    <definedName name="_xlnm.Print_Titles" localSheetId="2">DoH!$1:$5</definedName>
  </definedNames>
  <calcPr calcId="125725" concurrentCalc="0"/>
</workbook>
</file>

<file path=xl/calcChain.xml><?xml version="1.0" encoding="utf-8"?>
<calcChain xmlns="http://schemas.openxmlformats.org/spreadsheetml/2006/main">
  <c r="B560" i="3"/>
  <c r="H29" i="5"/>
  <c r="H28"/>
  <c r="H27"/>
  <c r="H22"/>
  <c r="H21"/>
  <c r="K13"/>
  <c r="H13"/>
  <c r="K12"/>
  <c r="H12"/>
  <c r="K10"/>
  <c r="H10"/>
  <c r="J11"/>
  <c r="K9"/>
  <c r="H9"/>
  <c r="L23" i="1"/>
  <c r="L22"/>
  <c r="L18"/>
  <c r="L17"/>
  <c r="K13"/>
  <c r="L11"/>
  <c r="I11"/>
  <c r="L9"/>
  <c r="I9"/>
  <c r="L7"/>
  <c r="I7"/>
  <c r="K47" i="8"/>
  <c r="H47"/>
  <c r="K46"/>
  <c r="H46"/>
  <c r="K45"/>
  <c r="H45"/>
  <c r="K44"/>
  <c r="H44"/>
  <c r="K41"/>
  <c r="H41"/>
  <c r="K38"/>
  <c r="H38"/>
  <c r="K37"/>
  <c r="H37"/>
  <c r="K36"/>
  <c r="H36"/>
  <c r="K35"/>
  <c r="H35"/>
  <c r="K34"/>
  <c r="K32"/>
  <c r="H32"/>
  <c r="H26"/>
  <c r="K28"/>
  <c r="H28"/>
  <c r="K27"/>
  <c r="H27"/>
  <c r="K26"/>
  <c r="K25"/>
  <c r="H25"/>
  <c r="J24"/>
  <c r="K18"/>
  <c r="H18"/>
  <c r="K17"/>
  <c r="H17"/>
  <c r="K16"/>
  <c r="H16"/>
  <c r="H15"/>
  <c r="K14"/>
  <c r="H14"/>
  <c r="K13"/>
  <c r="H13"/>
  <c r="K12"/>
  <c r="H12"/>
  <c r="H10"/>
  <c r="H8"/>
  <c r="O563" i="3"/>
  <c r="L563"/>
  <c r="L545"/>
  <c r="O446"/>
  <c r="O445"/>
  <c r="O444"/>
  <c r="H55" i="8"/>
  <c r="H54"/>
  <c r="H53"/>
  <c r="H52"/>
  <c r="H51"/>
  <c r="H34"/>
  <c r="H7"/>
  <c r="H6"/>
  <c r="J61"/>
  <c r="J60"/>
  <c r="J59"/>
  <c r="J58"/>
  <c r="J57"/>
  <c r="J56"/>
  <c r="J55"/>
  <c r="J54"/>
  <c r="J53"/>
  <c r="J52"/>
  <c r="J51"/>
  <c r="J50"/>
  <c r="J49"/>
  <c r="J48"/>
  <c r="J42"/>
  <c r="J40"/>
  <c r="J39"/>
  <c r="J33"/>
  <c r="J31"/>
  <c r="J30"/>
  <c r="J29"/>
  <c r="J11"/>
  <c r="J9"/>
  <c r="J6"/>
  <c r="R63"/>
  <c r="Q63"/>
  <c r="P63"/>
  <c r="R4"/>
  <c r="Q4"/>
  <c r="L559" i="3"/>
  <c r="L252"/>
  <c r="O103"/>
  <c r="L103"/>
  <c r="O105"/>
  <c r="O319"/>
  <c r="L439"/>
  <c r="O101"/>
  <c r="H20" i="5"/>
  <c r="H19"/>
  <c r="H18"/>
  <c r="K20"/>
  <c r="K19"/>
  <c r="K18"/>
  <c r="G26"/>
  <c r="G25"/>
  <c r="K22"/>
  <c r="K21"/>
  <c r="K17"/>
  <c r="K16"/>
  <c r="K15"/>
  <c r="K14"/>
  <c r="H17"/>
  <c r="H16"/>
  <c r="H15"/>
  <c r="H14"/>
  <c r="I22" i="1"/>
  <c r="I21"/>
  <c r="I20"/>
  <c r="I19"/>
  <c r="I18"/>
  <c r="I17"/>
  <c r="O320" i="3"/>
  <c r="O321"/>
  <c r="O402"/>
  <c r="K26" i="1"/>
  <c r="K25"/>
  <c r="K24"/>
  <c r="K16"/>
  <c r="K15"/>
  <c r="K14"/>
  <c r="K10"/>
  <c r="K8"/>
  <c r="J8" i="5"/>
  <c r="J7"/>
  <c r="J6"/>
  <c r="O406" i="3"/>
  <c r="L401"/>
  <c r="L400"/>
  <c r="L399"/>
  <c r="L398"/>
  <c r="L397"/>
  <c r="L396"/>
  <c r="L395"/>
  <c r="L394"/>
  <c r="L393"/>
  <c r="L392"/>
  <c r="L391"/>
  <c r="L390"/>
  <c r="L389"/>
  <c r="L388"/>
  <c r="L387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2"/>
  <c r="L140"/>
  <c r="L139"/>
  <c r="L138"/>
  <c r="L137"/>
  <c r="L136"/>
  <c r="L135"/>
  <c r="L134"/>
  <c r="L133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3"/>
  <c r="L112"/>
  <c r="L111"/>
  <c r="L110"/>
  <c r="L109"/>
  <c r="L108"/>
  <c r="L107"/>
  <c r="L106"/>
  <c r="L105"/>
  <c r="L104"/>
  <c r="L102"/>
  <c r="L100"/>
  <c r="L99"/>
  <c r="L98"/>
  <c r="L95"/>
  <c r="L94"/>
  <c r="L93"/>
  <c r="L92"/>
  <c r="L90"/>
  <c r="L89"/>
  <c r="L88"/>
  <c r="L87"/>
  <c r="L86"/>
  <c r="L85"/>
  <c r="L84"/>
  <c r="L83"/>
  <c r="L82"/>
  <c r="L81"/>
  <c r="L80"/>
  <c r="L68"/>
  <c r="O560"/>
  <c r="O559"/>
  <c r="O558"/>
  <c r="O557"/>
  <c r="O556"/>
  <c r="O555"/>
  <c r="O554"/>
  <c r="O553"/>
  <c r="O552"/>
  <c r="O551"/>
  <c r="O550"/>
  <c r="O549"/>
  <c r="O548"/>
  <c r="O547"/>
  <c r="O546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3"/>
  <c r="O439"/>
  <c r="O429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L558"/>
  <c r="L557"/>
  <c r="L556"/>
  <c r="L555"/>
  <c r="L554"/>
  <c r="L553"/>
  <c r="L552"/>
  <c r="L551"/>
  <c r="L550"/>
  <c r="L549"/>
  <c r="L548"/>
  <c r="L547"/>
  <c r="L546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42"/>
  <c r="L441"/>
  <c r="L440"/>
  <c r="L438"/>
  <c r="L437"/>
  <c r="L436"/>
  <c r="L435"/>
  <c r="L434"/>
  <c r="L433"/>
  <c r="L428"/>
  <c r="L427"/>
  <c r="L415"/>
  <c r="L62"/>
  <c r="L61"/>
  <c r="L60"/>
  <c r="L59"/>
  <c r="L58"/>
  <c r="L57"/>
  <c r="L56"/>
  <c r="L55"/>
  <c r="L52"/>
  <c r="L51"/>
  <c r="L50"/>
  <c r="L46"/>
  <c r="L45"/>
  <c r="L43"/>
  <c r="L42"/>
  <c r="L41"/>
  <c r="L40"/>
  <c r="L38"/>
  <c r="L37"/>
  <c r="L35"/>
  <c r="L34"/>
  <c r="L33"/>
  <c r="L32"/>
  <c r="L31"/>
  <c r="L30"/>
  <c r="O442"/>
  <c r="O441"/>
  <c r="O440"/>
  <c r="O438"/>
  <c r="O437"/>
  <c r="O436"/>
  <c r="O435"/>
  <c r="O434"/>
  <c r="O433"/>
  <c r="O428"/>
  <c r="O427"/>
  <c r="O401"/>
  <c r="O400"/>
  <c r="O399"/>
  <c r="O398"/>
  <c r="O397"/>
  <c r="O396"/>
  <c r="O395"/>
  <c r="O394"/>
  <c r="O393"/>
  <c r="O392"/>
  <c r="O391"/>
  <c r="O390"/>
  <c r="O389"/>
  <c r="O388"/>
  <c r="O387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2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4"/>
  <c r="O102"/>
  <c r="O100"/>
  <c r="O99"/>
  <c r="O98"/>
  <c r="O95"/>
  <c r="O94"/>
  <c r="O93"/>
  <c r="O92"/>
  <c r="O90"/>
  <c r="O89"/>
  <c r="O88"/>
  <c r="O87"/>
  <c r="O86"/>
  <c r="O85"/>
  <c r="O84"/>
  <c r="O83"/>
  <c r="O82"/>
  <c r="O81"/>
  <c r="O80"/>
  <c r="O68"/>
  <c r="O62"/>
  <c r="O61"/>
  <c r="O60"/>
  <c r="O59"/>
  <c r="O58"/>
  <c r="O57"/>
  <c r="O56"/>
  <c r="O55"/>
  <c r="O52"/>
  <c r="O51"/>
  <c r="O50"/>
  <c r="O46"/>
  <c r="O45"/>
  <c r="O43"/>
  <c r="O42"/>
  <c r="O41"/>
  <c r="O40"/>
  <c r="O38"/>
  <c r="O37"/>
  <c r="O35"/>
  <c r="O34"/>
  <c r="O33"/>
  <c r="O32"/>
  <c r="O31"/>
  <c r="O30"/>
  <c r="D8" i="7"/>
  <c r="U38" i="1"/>
  <c r="U4"/>
  <c r="T38"/>
  <c r="T4"/>
  <c r="S38"/>
  <c r="S4"/>
  <c r="M9" i="6"/>
  <c r="M4"/>
  <c r="L9"/>
  <c r="K9"/>
  <c r="Q30" i="5"/>
  <c r="Q4"/>
  <c r="P30"/>
  <c r="P4"/>
  <c r="O30"/>
  <c r="P432" i="3"/>
  <c r="P431"/>
  <c r="P430"/>
  <c r="D432"/>
  <c r="D431"/>
  <c r="D79"/>
  <c r="AA35"/>
  <c r="AA57"/>
  <c r="AA81"/>
  <c r="AA83"/>
  <c r="U85"/>
  <c r="U90"/>
  <c r="AA90"/>
  <c r="AA98"/>
  <c r="AA106"/>
  <c r="U111"/>
  <c r="U112"/>
  <c r="U113"/>
  <c r="U121"/>
  <c r="U125"/>
  <c r="AA125"/>
  <c r="AA129"/>
  <c r="AA131"/>
  <c r="AA133"/>
  <c r="U134"/>
  <c r="AH134"/>
  <c r="AA135"/>
  <c r="U137"/>
  <c r="AA137"/>
  <c r="U144"/>
  <c r="AA148"/>
  <c r="U159"/>
  <c r="U160"/>
  <c r="AH160"/>
  <c r="U162"/>
  <c r="U163"/>
  <c r="U164"/>
  <c r="U165"/>
  <c r="U166"/>
  <c r="U169"/>
  <c r="U173"/>
  <c r="U177"/>
  <c r="U183"/>
  <c r="AA183"/>
  <c r="U184"/>
  <c r="U188"/>
  <c r="U190"/>
  <c r="AA190"/>
  <c r="U192"/>
  <c r="AA192"/>
  <c r="U194"/>
  <c r="AA194"/>
  <c r="U195"/>
  <c r="AA195"/>
  <c r="U199"/>
  <c r="AA199"/>
  <c r="U200"/>
  <c r="U204"/>
  <c r="U207"/>
  <c r="U209"/>
  <c r="U210"/>
  <c r="U211"/>
  <c r="AA211"/>
  <c r="AA215"/>
  <c r="U216"/>
  <c r="AA216"/>
  <c r="AA220"/>
  <c r="U250"/>
  <c r="U251"/>
  <c r="AA251"/>
  <c r="U252"/>
  <c r="U255"/>
  <c r="U256"/>
  <c r="U257"/>
  <c r="U258"/>
  <c r="U259"/>
  <c r="U260"/>
  <c r="AA260"/>
  <c r="U261"/>
  <c r="U262"/>
  <c r="U267"/>
  <c r="Z276"/>
  <c r="AA276"/>
  <c r="U283"/>
  <c r="U286"/>
  <c r="U290"/>
  <c r="U292"/>
  <c r="U295"/>
  <c r="U300"/>
  <c r="AA300"/>
  <c r="U301"/>
  <c r="U304"/>
  <c r="U306"/>
  <c r="U307"/>
  <c r="U308"/>
  <c r="U309"/>
  <c r="U310"/>
  <c r="U313"/>
  <c r="AA313"/>
  <c r="U315"/>
  <c r="AA315"/>
  <c r="U316"/>
  <c r="U318"/>
  <c r="AA318"/>
  <c r="U323"/>
  <c r="AA323"/>
  <c r="U325"/>
  <c r="U326"/>
  <c r="U327"/>
  <c r="U332"/>
  <c r="U339"/>
  <c r="U341"/>
  <c r="U342"/>
  <c r="AH342"/>
  <c r="U343"/>
  <c r="U345"/>
  <c r="U347"/>
  <c r="U348"/>
  <c r="U349"/>
  <c r="U365"/>
  <c r="U368"/>
  <c r="U372"/>
  <c r="U374"/>
  <c r="AA374"/>
  <c r="U469"/>
  <c r="U470"/>
  <c r="U472"/>
  <c r="U474"/>
  <c r="U475"/>
  <c r="U477"/>
  <c r="U478"/>
  <c r="U479"/>
  <c r="U480"/>
  <c r="U484"/>
  <c r="U486"/>
  <c r="U487"/>
  <c r="U488"/>
  <c r="U492"/>
  <c r="U495"/>
  <c r="U496"/>
  <c r="AA496"/>
  <c r="U497"/>
  <c r="U500"/>
  <c r="U502"/>
  <c r="U503"/>
  <c r="U506"/>
  <c r="U511"/>
  <c r="U512"/>
  <c r="AH512"/>
  <c r="U513"/>
  <c r="U515"/>
  <c r="U516"/>
  <c r="AA516"/>
  <c r="U518"/>
  <c r="AA518"/>
  <c r="U519"/>
  <c r="AA519"/>
  <c r="U522"/>
  <c r="AA522"/>
  <c r="U523"/>
  <c r="AA523"/>
  <c r="U525"/>
  <c r="U528"/>
  <c r="U530"/>
  <c r="AA530"/>
  <c r="U531"/>
  <c r="AA531"/>
  <c r="U533"/>
  <c r="AA533"/>
  <c r="U534"/>
  <c r="AA534"/>
  <c r="U535"/>
  <c r="U537"/>
  <c r="AA537"/>
  <c r="U538"/>
  <c r="AA538"/>
  <c r="U539"/>
  <c r="AA539"/>
  <c r="U540"/>
  <c r="AA540"/>
  <c r="U541"/>
  <c r="AA541"/>
  <c r="U543"/>
  <c r="U549"/>
  <c r="U32"/>
  <c r="U55"/>
  <c r="U95"/>
  <c r="U100"/>
  <c r="U102"/>
  <c r="Z102"/>
  <c r="U122"/>
  <c r="U123"/>
  <c r="U124"/>
  <c r="U136"/>
  <c r="U147"/>
  <c r="U149"/>
  <c r="U150"/>
  <c r="U152"/>
  <c r="U153"/>
  <c r="U154"/>
  <c r="U155"/>
  <c r="U156"/>
  <c r="U161"/>
  <c r="U167"/>
  <c r="U168"/>
  <c r="U171"/>
  <c r="U174"/>
  <c r="U175"/>
  <c r="U176"/>
  <c r="U178"/>
  <c r="U179"/>
  <c r="U180"/>
  <c r="U181"/>
  <c r="U182"/>
  <c r="U187"/>
  <c r="U197"/>
  <c r="U208"/>
  <c r="U217"/>
  <c r="U218"/>
  <c r="U249"/>
  <c r="U253"/>
  <c r="U254"/>
  <c r="U266"/>
  <c r="U268"/>
  <c r="U269"/>
  <c r="U270"/>
  <c r="U271"/>
  <c r="U277"/>
  <c r="U280"/>
  <c r="U281"/>
  <c r="U282"/>
  <c r="U284"/>
  <c r="U287"/>
  <c r="U289"/>
  <c r="U291"/>
  <c r="U296"/>
  <c r="U297"/>
  <c r="U298"/>
  <c r="U302"/>
  <c r="U303"/>
  <c r="U305"/>
  <c r="U312"/>
  <c r="U314"/>
  <c r="U331"/>
  <c r="U337"/>
  <c r="U338"/>
  <c r="U340"/>
  <c r="U344"/>
  <c r="U354"/>
  <c r="U346"/>
  <c r="U350"/>
  <c r="U351"/>
  <c r="U369"/>
  <c r="U464"/>
  <c r="U465"/>
  <c r="U466"/>
  <c r="U468"/>
  <c r="U471"/>
  <c r="U473"/>
  <c r="U476"/>
  <c r="U481"/>
  <c r="U482"/>
  <c r="U483"/>
  <c r="U485"/>
  <c r="U489"/>
  <c r="U490"/>
  <c r="U491"/>
  <c r="U493"/>
  <c r="U494"/>
  <c r="U498"/>
  <c r="U499"/>
  <c r="U501"/>
  <c r="U504"/>
  <c r="U505"/>
  <c r="U507"/>
  <c r="U508"/>
  <c r="U509"/>
  <c r="U510"/>
  <c r="U514"/>
  <c r="U517"/>
  <c r="U520"/>
  <c r="U521"/>
  <c r="U524"/>
  <c r="U526"/>
  <c r="U527"/>
  <c r="U529"/>
  <c r="U532"/>
  <c r="U536"/>
  <c r="U542"/>
  <c r="U544"/>
  <c r="U548"/>
  <c r="U550"/>
  <c r="U551"/>
  <c r="U324"/>
  <c r="U203"/>
  <c r="U336"/>
  <c r="U373"/>
  <c r="U157"/>
  <c r="AA157"/>
  <c r="AA159"/>
  <c r="AA163"/>
  <c r="AA166"/>
  <c r="AA169"/>
  <c r="AA173"/>
  <c r="AA177"/>
  <c r="AA188"/>
  <c r="U193"/>
  <c r="AA193"/>
  <c r="U198"/>
  <c r="U202"/>
  <c r="AA202"/>
  <c r="AA204"/>
  <c r="AA207"/>
  <c r="AA210"/>
  <c r="AA250"/>
  <c r="AA255"/>
  <c r="AA256"/>
  <c r="AA257"/>
  <c r="AA258"/>
  <c r="AA259"/>
  <c r="AA262"/>
  <c r="AA267"/>
  <c r="AA270"/>
  <c r="AA271"/>
  <c r="U278"/>
  <c r="AA278"/>
  <c r="U279"/>
  <c r="AA279"/>
  <c r="AA290"/>
  <c r="U294"/>
  <c r="AA294"/>
  <c r="AA301"/>
  <c r="AA303"/>
  <c r="AA304"/>
  <c r="AA306"/>
  <c r="AA307"/>
  <c r="AA309"/>
  <c r="U311"/>
  <c r="AA311"/>
  <c r="U322"/>
  <c r="AA322"/>
  <c r="AA325"/>
  <c r="AA327"/>
  <c r="AA332"/>
  <c r="U335"/>
  <c r="AA335"/>
  <c r="AA339"/>
  <c r="AA343"/>
  <c r="AA344"/>
  <c r="AA345"/>
  <c r="AA347"/>
  <c r="AA348"/>
  <c r="AA349"/>
  <c r="AA351"/>
  <c r="AA365"/>
  <c r="U367"/>
  <c r="AA367"/>
  <c r="AA368"/>
  <c r="U370"/>
  <c r="AA370"/>
  <c r="AA372"/>
  <c r="U400"/>
  <c r="AA469"/>
  <c r="AA470"/>
  <c r="AA472"/>
  <c r="AA474"/>
  <c r="AA475"/>
  <c r="AA478"/>
  <c r="AA479"/>
  <c r="AA481"/>
  <c r="AA484"/>
  <c r="AA486"/>
  <c r="AA488"/>
  <c r="AA492"/>
  <c r="AA495"/>
  <c r="AA497"/>
  <c r="AA500"/>
  <c r="AA502"/>
  <c r="AA503"/>
  <c r="AA506"/>
  <c r="AA511"/>
  <c r="AA513"/>
  <c r="AA514"/>
  <c r="AA525"/>
  <c r="AA528"/>
  <c r="AA535"/>
  <c r="AA536"/>
  <c r="AA542"/>
  <c r="AA543"/>
  <c r="AA549"/>
  <c r="Z32"/>
  <c r="AA32"/>
  <c r="U33"/>
  <c r="Z33"/>
  <c r="AA33"/>
  <c r="U34"/>
  <c r="Z34"/>
  <c r="AA34"/>
  <c r="AA42"/>
  <c r="AA85"/>
  <c r="AA111"/>
  <c r="AA112"/>
  <c r="AA113"/>
  <c r="AA115"/>
  <c r="Z116"/>
  <c r="AA116"/>
  <c r="AA121"/>
  <c r="Z122"/>
  <c r="AA122"/>
  <c r="Z123"/>
  <c r="AA123"/>
  <c r="Z124"/>
  <c r="AA124"/>
  <c r="AA128"/>
  <c r="AA130"/>
  <c r="AA142"/>
  <c r="AA144"/>
  <c r="AA145"/>
  <c r="Z152"/>
  <c r="AA152"/>
  <c r="Z153"/>
  <c r="AA153"/>
  <c r="Z154"/>
  <c r="AA154"/>
  <c r="Z155"/>
  <c r="AA155"/>
  <c r="Z156"/>
  <c r="AA156"/>
  <c r="U158"/>
  <c r="Z158"/>
  <c r="AA158"/>
  <c r="Z167"/>
  <c r="AA167"/>
  <c r="Z174"/>
  <c r="AA174"/>
  <c r="Z175"/>
  <c r="AA175"/>
  <c r="Z178"/>
  <c r="AA178"/>
  <c r="Z179"/>
  <c r="AA179"/>
  <c r="U185"/>
  <c r="Z185"/>
  <c r="AA185"/>
  <c r="U191"/>
  <c r="Z191"/>
  <c r="AA191"/>
  <c r="Z200"/>
  <c r="AA200"/>
  <c r="U201"/>
  <c r="Z201"/>
  <c r="AA201"/>
  <c r="U206"/>
  <c r="AA206"/>
  <c r="Z219"/>
  <c r="AA219"/>
  <c r="Z221"/>
  <c r="AA221"/>
  <c r="Z249"/>
  <c r="AA249"/>
  <c r="Z253"/>
  <c r="AA253"/>
  <c r="Z254"/>
  <c r="AA254"/>
  <c r="U263"/>
  <c r="Z263"/>
  <c r="AA263"/>
  <c r="Z266"/>
  <c r="AA266"/>
  <c r="Z268"/>
  <c r="AA268"/>
  <c r="Z280"/>
  <c r="AA280"/>
  <c r="Z284"/>
  <c r="AA284"/>
  <c r="Z289"/>
  <c r="AA289"/>
  <c r="Z292"/>
  <c r="AA292"/>
  <c r="Z296"/>
  <c r="AA296"/>
  <c r="Z297"/>
  <c r="AA297"/>
  <c r="Z298"/>
  <c r="AA298"/>
  <c r="Z302"/>
  <c r="AA302"/>
  <c r="U328"/>
  <c r="AA328"/>
  <c r="U329"/>
  <c r="Z329"/>
  <c r="AA329"/>
  <c r="U334"/>
  <c r="Z334"/>
  <c r="AA334"/>
  <c r="Z337"/>
  <c r="AA337"/>
  <c r="Z338"/>
  <c r="AA338"/>
  <c r="U352"/>
  <c r="AA352"/>
  <c r="U366"/>
  <c r="Z366"/>
  <c r="AA366"/>
  <c r="U371"/>
  <c r="Z371"/>
  <c r="AA371"/>
  <c r="U392"/>
  <c r="AA392"/>
  <c r="U393"/>
  <c r="AA393"/>
  <c r="U397"/>
  <c r="AA397"/>
  <c r="Z464"/>
  <c r="AA464"/>
  <c r="Z465"/>
  <c r="AA465"/>
  <c r="U467"/>
  <c r="Z467"/>
  <c r="AA467"/>
  <c r="Z471"/>
  <c r="AA471"/>
  <c r="Z473"/>
  <c r="AA473"/>
  <c r="Z476"/>
  <c r="AA476"/>
  <c r="AA480"/>
  <c r="Z482"/>
  <c r="AA482"/>
  <c r="Z483"/>
  <c r="AA483"/>
  <c r="Z485"/>
  <c r="AA485"/>
  <c r="Z493"/>
  <c r="AA493"/>
  <c r="Z498"/>
  <c r="AA498"/>
  <c r="AA507"/>
  <c r="AA561"/>
  <c r="Z39"/>
  <c r="Y42"/>
  <c r="Z42"/>
  <c r="U44"/>
  <c r="Z44"/>
  <c r="Z48"/>
  <c r="Z50"/>
  <c r="Z51"/>
  <c r="Z55"/>
  <c r="Z60"/>
  <c r="Z61"/>
  <c r="U65"/>
  <c r="Z65"/>
  <c r="Z67"/>
  <c r="Y80"/>
  <c r="Z80"/>
  <c r="Y85"/>
  <c r="Z85"/>
  <c r="Z89"/>
  <c r="Y90"/>
  <c r="Z90"/>
  <c r="Z94"/>
  <c r="Z96"/>
  <c r="Z100"/>
  <c r="Z101"/>
  <c r="U104"/>
  <c r="Z104"/>
  <c r="Y111"/>
  <c r="Z111"/>
  <c r="Y112"/>
  <c r="Z112"/>
  <c r="Y113"/>
  <c r="Z113"/>
  <c r="Y115"/>
  <c r="Z115"/>
  <c r="U119"/>
  <c r="Y119"/>
  <c r="Z119"/>
  <c r="Y121"/>
  <c r="Z121"/>
  <c r="Y125"/>
  <c r="Z125"/>
  <c r="Z126"/>
  <c r="U127"/>
  <c r="Y127"/>
  <c r="Z127"/>
  <c r="Z128"/>
  <c r="Y129"/>
  <c r="Z129"/>
  <c r="Y130"/>
  <c r="Z130"/>
  <c r="Y131"/>
  <c r="Z131"/>
  <c r="Y133"/>
  <c r="Z133"/>
  <c r="Z135"/>
  <c r="Y136"/>
  <c r="Z136"/>
  <c r="Y137"/>
  <c r="Z137"/>
  <c r="U138"/>
  <c r="Y138"/>
  <c r="Z138"/>
  <c r="Y142"/>
  <c r="Z142"/>
  <c r="Y144"/>
  <c r="Z144"/>
  <c r="Y145"/>
  <c r="Z145"/>
  <c r="Z147"/>
  <c r="U151"/>
  <c r="Z151"/>
  <c r="Z181"/>
  <c r="Z182"/>
  <c r="Y183"/>
  <c r="Z183"/>
  <c r="U186"/>
  <c r="Z186"/>
  <c r="Y190"/>
  <c r="Z190"/>
  <c r="Y192"/>
  <c r="Z192"/>
  <c r="Y194"/>
  <c r="Z194"/>
  <c r="Y195"/>
  <c r="Z195"/>
  <c r="Y199"/>
  <c r="Z199"/>
  <c r="Y211"/>
  <c r="Z211"/>
  <c r="Z214"/>
  <c r="Y215"/>
  <c r="Z215"/>
  <c r="Y218"/>
  <c r="Z218"/>
  <c r="Y220"/>
  <c r="Z220"/>
  <c r="Z251"/>
  <c r="Y260"/>
  <c r="Z260"/>
  <c r="Y300"/>
  <c r="Z300"/>
  <c r="Y314"/>
  <c r="Z314"/>
  <c r="Y315"/>
  <c r="Z315"/>
  <c r="U317"/>
  <c r="Y317"/>
  <c r="Z317"/>
  <c r="Z352"/>
  <c r="U389"/>
  <c r="Z389"/>
  <c r="U395"/>
  <c r="Z395"/>
  <c r="Z403"/>
  <c r="Z404"/>
  <c r="W438"/>
  <c r="X438"/>
  <c r="Y438"/>
  <c r="Z438"/>
  <c r="Y480"/>
  <c r="Z480"/>
  <c r="Y496"/>
  <c r="Z496"/>
  <c r="Z507"/>
  <c r="Y523"/>
  <c r="Z523"/>
  <c r="Y527"/>
  <c r="Z527"/>
  <c r="Z561"/>
  <c r="Y36"/>
  <c r="X45"/>
  <c r="Y45"/>
  <c r="Y49"/>
  <c r="X50"/>
  <c r="Y50"/>
  <c r="X51"/>
  <c r="Y51"/>
  <c r="Y52"/>
  <c r="Y53"/>
  <c r="Y54"/>
  <c r="X55"/>
  <c r="Y55"/>
  <c r="Y59"/>
  <c r="Y64"/>
  <c r="U66"/>
  <c r="Y66"/>
  <c r="X81"/>
  <c r="Y81"/>
  <c r="Y82"/>
  <c r="Y83"/>
  <c r="X87"/>
  <c r="Y87"/>
  <c r="X89"/>
  <c r="Y89"/>
  <c r="X95"/>
  <c r="Y95"/>
  <c r="X98"/>
  <c r="Y98"/>
  <c r="Y100"/>
  <c r="X102"/>
  <c r="Y102"/>
  <c r="X106"/>
  <c r="Y106"/>
  <c r="X126"/>
  <c r="Y126"/>
  <c r="X139"/>
  <c r="Y139"/>
  <c r="X147"/>
  <c r="Y147"/>
  <c r="X151"/>
  <c r="Y151"/>
  <c r="X181"/>
  <c r="Y181"/>
  <c r="Y182"/>
  <c r="U189"/>
  <c r="Y189"/>
  <c r="U205"/>
  <c r="Y205"/>
  <c r="Y212"/>
  <c r="Y214"/>
  <c r="X216"/>
  <c r="Y216"/>
  <c r="X251"/>
  <c r="Y251"/>
  <c r="X313"/>
  <c r="Y313"/>
  <c r="Y318"/>
  <c r="Y323"/>
  <c r="U333"/>
  <c r="Y333"/>
  <c r="X374"/>
  <c r="Y374"/>
  <c r="U375"/>
  <c r="X375"/>
  <c r="Y375"/>
  <c r="U388"/>
  <c r="Y388"/>
  <c r="U390"/>
  <c r="Y390"/>
  <c r="U391"/>
  <c r="Y391"/>
  <c r="U394"/>
  <c r="Y394"/>
  <c r="U398"/>
  <c r="Y398"/>
  <c r="U401"/>
  <c r="Y401"/>
  <c r="U402"/>
  <c r="Y402"/>
  <c r="Y403"/>
  <c r="Y404"/>
  <c r="U429"/>
  <c r="Y429"/>
  <c r="X516"/>
  <c r="Y516"/>
  <c r="X518"/>
  <c r="Y518"/>
  <c r="X519"/>
  <c r="Y519"/>
  <c r="X522"/>
  <c r="Y522"/>
  <c r="X530"/>
  <c r="Y530"/>
  <c r="X531"/>
  <c r="Y531"/>
  <c r="X533"/>
  <c r="Y533"/>
  <c r="X534"/>
  <c r="Y534"/>
  <c r="X537"/>
  <c r="Y537"/>
  <c r="X538"/>
  <c r="Y538"/>
  <c r="X539"/>
  <c r="Y539"/>
  <c r="X540"/>
  <c r="Y540"/>
  <c r="X541"/>
  <c r="Y541"/>
  <c r="Y561"/>
  <c r="X56"/>
  <c r="U69"/>
  <c r="X69"/>
  <c r="U70"/>
  <c r="X70"/>
  <c r="U71"/>
  <c r="X71"/>
  <c r="U72"/>
  <c r="X72"/>
  <c r="U73"/>
  <c r="X73"/>
  <c r="U74"/>
  <c r="X74"/>
  <c r="U75"/>
  <c r="X75"/>
  <c r="U76"/>
  <c r="X76"/>
  <c r="U77"/>
  <c r="X77"/>
  <c r="U78"/>
  <c r="X78"/>
  <c r="U79"/>
  <c r="X79"/>
  <c r="X83"/>
  <c r="X86"/>
  <c r="X93"/>
  <c r="X94"/>
  <c r="U99"/>
  <c r="X99"/>
  <c r="X101"/>
  <c r="X104"/>
  <c r="U196"/>
  <c r="X196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64"/>
  <c r="X272"/>
  <c r="U364"/>
  <c r="X364"/>
  <c r="X386"/>
  <c r="X402"/>
  <c r="X403"/>
  <c r="X404"/>
  <c r="W410"/>
  <c r="U411"/>
  <c r="W411"/>
  <c r="X412"/>
  <c r="X413"/>
  <c r="X414"/>
  <c r="X415"/>
  <c r="X416"/>
  <c r="X417"/>
  <c r="X418"/>
  <c r="X419"/>
  <c r="X420"/>
  <c r="X421"/>
  <c r="X422"/>
  <c r="X423"/>
  <c r="X424"/>
  <c r="X425"/>
  <c r="X429"/>
  <c r="U430"/>
  <c r="X430"/>
  <c r="U431"/>
  <c r="X431"/>
  <c r="U432"/>
  <c r="X432"/>
  <c r="U433"/>
  <c r="X433"/>
  <c r="U434"/>
  <c r="X434"/>
  <c r="U435"/>
  <c r="X435"/>
  <c r="X443"/>
  <c r="X444"/>
  <c r="X445"/>
  <c r="X446"/>
  <c r="X447"/>
  <c r="X448"/>
  <c r="X449"/>
  <c r="X450"/>
  <c r="X451"/>
  <c r="X452"/>
  <c r="X561"/>
  <c r="W27"/>
  <c r="W48"/>
  <c r="U62"/>
  <c r="W62"/>
  <c r="W68"/>
  <c r="W104"/>
  <c r="W272"/>
  <c r="W364"/>
  <c r="W403"/>
  <c r="W404"/>
  <c r="U436"/>
  <c r="W436"/>
  <c r="U437"/>
  <c r="W437"/>
  <c r="W561"/>
  <c r="V561"/>
  <c r="U27"/>
  <c r="U170"/>
  <c r="U172"/>
  <c r="U265"/>
  <c r="U285"/>
  <c r="U288"/>
  <c r="U293"/>
  <c r="U299"/>
  <c r="U330"/>
  <c r="U353"/>
  <c r="U355"/>
  <c r="U356"/>
  <c r="U357"/>
  <c r="U358"/>
  <c r="U359"/>
  <c r="U360"/>
  <c r="U361"/>
  <c r="U362"/>
  <c r="U363"/>
  <c r="U376"/>
  <c r="U377"/>
  <c r="U378"/>
  <c r="U379"/>
  <c r="U380"/>
  <c r="U381"/>
  <c r="U382"/>
  <c r="U383"/>
  <c r="U384"/>
  <c r="U385"/>
  <c r="U387"/>
  <c r="U396"/>
  <c r="U399"/>
  <c r="U561"/>
  <c r="Z560"/>
  <c r="I560"/>
  <c r="H560"/>
  <c r="G560"/>
  <c r="F560"/>
  <c r="E560"/>
  <c r="U558"/>
  <c r="AA558"/>
  <c r="Y558"/>
  <c r="Z558"/>
  <c r="A538"/>
  <c r="A539"/>
  <c r="A540"/>
  <c r="A541"/>
  <c r="A542"/>
  <c r="A543"/>
  <c r="A544"/>
  <c r="A548"/>
  <c r="A549"/>
  <c r="A550"/>
  <c r="A551"/>
  <c r="A552"/>
  <c r="A553"/>
  <c r="A554"/>
  <c r="A555"/>
  <c r="A556"/>
  <c r="A557"/>
  <c r="A558"/>
  <c r="U557"/>
  <c r="AA557"/>
  <c r="Y557"/>
  <c r="Z557"/>
  <c r="U556"/>
  <c r="AA556"/>
  <c r="Y556"/>
  <c r="Z556"/>
  <c r="U555"/>
  <c r="AA555"/>
  <c r="Y555"/>
  <c r="Z555"/>
  <c r="U554"/>
  <c r="U553"/>
  <c r="AA553"/>
  <c r="Y553"/>
  <c r="Z553"/>
  <c r="U552"/>
  <c r="AA552"/>
  <c r="A534"/>
  <c r="A535"/>
  <c r="A536"/>
  <c r="A531"/>
  <c r="A532"/>
  <c r="A523"/>
  <c r="A524"/>
  <c r="A525"/>
  <c r="A526"/>
  <c r="A527"/>
  <c r="A528"/>
  <c r="A529"/>
  <c r="A519"/>
  <c r="A520"/>
  <c r="A521"/>
  <c r="A517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H498"/>
  <c r="A440"/>
  <c r="A441"/>
  <c r="A442"/>
  <c r="A433"/>
  <c r="A434"/>
  <c r="A435"/>
  <c r="A436"/>
  <c r="A437"/>
  <c r="H432"/>
  <c r="G432"/>
  <c r="F432"/>
  <c r="E432"/>
  <c r="C432"/>
  <c r="H431"/>
  <c r="G431"/>
  <c r="F431"/>
  <c r="E431"/>
  <c r="C431"/>
  <c r="H430"/>
  <c r="G430"/>
  <c r="F430"/>
  <c r="E430"/>
  <c r="C430"/>
  <c r="A400"/>
  <c r="A401"/>
  <c r="A397"/>
  <c r="A398"/>
  <c r="A387"/>
  <c r="A388"/>
  <c r="A389"/>
  <c r="A390"/>
  <c r="A391"/>
  <c r="A392"/>
  <c r="A393"/>
  <c r="A394"/>
  <c r="A395"/>
  <c r="A377"/>
  <c r="A378"/>
  <c r="A379"/>
  <c r="A380"/>
  <c r="A381"/>
  <c r="A382"/>
  <c r="A383"/>
  <c r="A384"/>
  <c r="A385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24"/>
  <c r="A325"/>
  <c r="A326"/>
  <c r="A327"/>
  <c r="A328"/>
  <c r="A329"/>
  <c r="A322"/>
  <c r="A314"/>
  <c r="A315"/>
  <c r="A316"/>
  <c r="A317"/>
  <c r="A300"/>
  <c r="A301"/>
  <c r="A302"/>
  <c r="A303"/>
  <c r="A304"/>
  <c r="A305"/>
  <c r="A306"/>
  <c r="A307"/>
  <c r="A308"/>
  <c r="A309"/>
  <c r="A310"/>
  <c r="A311"/>
  <c r="A312"/>
  <c r="A294"/>
  <c r="A295"/>
  <c r="A296"/>
  <c r="A297"/>
  <c r="A298"/>
  <c r="A289"/>
  <c r="A290"/>
  <c r="A291"/>
  <c r="A292"/>
  <c r="A286"/>
  <c r="A287"/>
  <c r="A273"/>
  <c r="A274"/>
  <c r="A276"/>
  <c r="A277"/>
  <c r="A278"/>
  <c r="A279"/>
  <c r="A280"/>
  <c r="A281"/>
  <c r="A282"/>
  <c r="A283"/>
  <c r="A284"/>
  <c r="A265"/>
  <c r="A266"/>
  <c r="A267"/>
  <c r="A268"/>
  <c r="A269"/>
  <c r="A270"/>
  <c r="A271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3"/>
  <c r="A254"/>
  <c r="A255"/>
  <c r="A256"/>
  <c r="A257"/>
  <c r="A258"/>
  <c r="A259"/>
  <c r="A260"/>
  <c r="A261"/>
  <c r="A262"/>
  <c r="A263"/>
  <c r="A217"/>
  <c r="A218"/>
  <c r="A219"/>
  <c r="A220"/>
  <c r="A221"/>
  <c r="A213"/>
  <c r="A214"/>
  <c r="A215"/>
  <c r="A197"/>
  <c r="A198"/>
  <c r="A199"/>
  <c r="A200"/>
  <c r="A201"/>
  <c r="A202"/>
  <c r="A203"/>
  <c r="A204"/>
  <c r="A205"/>
  <c r="A206"/>
  <c r="A207"/>
  <c r="A208"/>
  <c r="A209"/>
  <c r="A210"/>
  <c r="A211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H179"/>
  <c r="A142"/>
  <c r="A133"/>
  <c r="A134"/>
  <c r="A135"/>
  <c r="A136"/>
  <c r="A137"/>
  <c r="A138"/>
  <c r="A139"/>
  <c r="A140"/>
  <c r="AL135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06"/>
  <c r="A107"/>
  <c r="A108"/>
  <c r="A109"/>
  <c r="A110"/>
  <c r="A111"/>
  <c r="A112"/>
  <c r="A113"/>
  <c r="A102"/>
  <c r="A100"/>
  <c r="A96"/>
  <c r="A97"/>
  <c r="A98"/>
  <c r="V97"/>
  <c r="V96"/>
  <c r="A94"/>
  <c r="A95"/>
  <c r="A92"/>
  <c r="A86"/>
  <c r="A87"/>
  <c r="A88"/>
  <c r="A89"/>
  <c r="A90"/>
  <c r="A83"/>
  <c r="A84"/>
  <c r="A85"/>
  <c r="A80"/>
  <c r="A81"/>
  <c r="A82"/>
  <c r="AL81"/>
  <c r="I79"/>
  <c r="H79"/>
  <c r="G79"/>
  <c r="F79"/>
  <c r="E79"/>
  <c r="C79"/>
  <c r="V72"/>
  <c r="V71"/>
  <c r="V69"/>
  <c r="V66"/>
  <c r="A39"/>
  <c r="A40"/>
  <c r="A41"/>
  <c r="A42"/>
  <c r="A49"/>
  <c r="A53"/>
  <c r="A54"/>
  <c r="A56"/>
  <c r="A58"/>
  <c r="A59"/>
  <c r="A60"/>
  <c r="A61"/>
  <c r="A62"/>
  <c r="A64"/>
  <c r="A65"/>
  <c r="A66"/>
  <c r="V65"/>
  <c r="V63"/>
  <c r="A50"/>
  <c r="A57"/>
  <c r="A55"/>
  <c r="V54"/>
  <c r="V53"/>
  <c r="A51"/>
  <c r="A52"/>
  <c r="V49"/>
  <c r="A48"/>
  <c r="A47"/>
  <c r="AL46"/>
  <c r="A37"/>
  <c r="A44"/>
  <c r="A45"/>
  <c r="A46"/>
  <c r="A43"/>
  <c r="V39"/>
  <c r="A38"/>
  <c r="A30"/>
  <c r="A31"/>
  <c r="A32"/>
  <c r="A33"/>
  <c r="A34"/>
  <c r="A35"/>
  <c r="Z22"/>
  <c r="Y22"/>
  <c r="X22"/>
  <c r="U22"/>
  <c r="X21"/>
  <c r="W3"/>
  <c r="W4"/>
  <c r="W5"/>
  <c r="W6"/>
  <c r="W7"/>
  <c r="W8"/>
  <c r="W9"/>
  <c r="W10"/>
  <c r="W11"/>
  <c r="W12"/>
  <c r="W13"/>
  <c r="W14"/>
  <c r="W15"/>
  <c r="W16"/>
  <c r="W17"/>
  <c r="Z14"/>
  <c r="Y14"/>
  <c r="X14"/>
  <c r="Z13"/>
  <c r="Y13"/>
  <c r="X13"/>
  <c r="Z12"/>
  <c r="Y12"/>
  <c r="X12"/>
  <c r="Z11"/>
  <c r="Y11"/>
  <c r="X11"/>
  <c r="Z10"/>
  <c r="Y10"/>
  <c r="X10"/>
  <c r="Z9"/>
  <c r="Y9"/>
  <c r="X9"/>
  <c r="Z8"/>
  <c r="Y8"/>
  <c r="X8"/>
  <c r="Z7"/>
  <c r="Y7"/>
  <c r="X7"/>
  <c r="Z6"/>
  <c r="Y6"/>
  <c r="X6"/>
  <c r="Z5"/>
  <c r="Y5"/>
  <c r="X5"/>
  <c r="Z4"/>
  <c r="Y4"/>
  <c r="X4"/>
  <c r="Z3"/>
  <c r="Y3"/>
  <c r="X3"/>
  <c r="Z1"/>
  <c r="Y1"/>
  <c r="X1"/>
  <c r="W1"/>
  <c r="U1"/>
  <c r="R38" i="1"/>
  <c r="Q38"/>
  <c r="P38"/>
</calcChain>
</file>

<file path=xl/comments1.xml><?xml version="1.0" encoding="utf-8"?>
<comments xmlns="http://schemas.openxmlformats.org/spreadsheetml/2006/main">
  <authors>
    <author>sinugo</author>
    <author>ukono</author>
    <author>Mpeps</author>
    <author>Phumelele C. Zulu</author>
  </authors>
  <commentList>
    <comment ref="U52" authorId="0">
      <text>
        <r>
          <rPr>
            <b/>
            <sz val="9"/>
            <color indexed="81"/>
            <rFont val="Tahoma"/>
            <family val="2"/>
          </rPr>
          <t>sinugo:</t>
        </r>
        <r>
          <rPr>
            <sz val="9"/>
            <color indexed="81"/>
            <rFont val="Tahoma"/>
            <family val="2"/>
          </rPr>
          <t xml:space="preserve">
NO BUDGET.IDT TO CONFIRM</t>
        </r>
      </text>
    </comment>
    <comment ref="V53" authorId="0">
      <text>
        <r>
          <rPr>
            <b/>
            <sz val="9"/>
            <color indexed="81"/>
            <rFont val="Tahoma"/>
            <family val="2"/>
          </rPr>
          <t>sinugo:</t>
        </r>
        <r>
          <rPr>
            <sz val="9"/>
            <color indexed="81"/>
            <rFont val="Tahoma"/>
            <family val="2"/>
          </rPr>
          <t xml:space="preserve">
begind scheduel. Non payment. Its a new school IDT</t>
        </r>
      </text>
    </comment>
    <comment ref="V96" authorId="0">
      <text>
        <r>
          <rPr>
            <b/>
            <sz val="9"/>
            <color indexed="81"/>
            <rFont val="Tahoma"/>
            <family val="2"/>
          </rPr>
          <t>sinugo:</t>
        </r>
        <r>
          <rPr>
            <sz val="9"/>
            <color indexed="81"/>
            <rFont val="Tahoma"/>
            <family val="2"/>
          </rPr>
          <t xml:space="preserve">
ready for tender but reprioritize for 2014/15
need to chek 612, what for?
</t>
        </r>
      </text>
    </comment>
    <comment ref="V97" authorId="0">
      <text>
        <r>
          <rPr>
            <b/>
            <sz val="9"/>
            <color indexed="81"/>
            <rFont val="Tahoma"/>
            <family val="2"/>
          </rPr>
          <t>sinugo:</t>
        </r>
        <r>
          <rPr>
            <sz val="9"/>
            <color indexed="81"/>
            <rFont val="Tahoma"/>
            <family val="2"/>
          </rPr>
          <t xml:space="preserve">
planning</t>
        </r>
      </text>
    </comment>
    <comment ref="M103" authorId="1">
      <text>
        <r>
          <rPr>
            <b/>
            <sz val="9"/>
            <color indexed="81"/>
            <rFont val="Tahoma"/>
            <family val="2"/>
          </rPr>
          <t>ukono:</t>
        </r>
        <r>
          <rPr>
            <sz val="9"/>
            <color indexed="81"/>
            <rFont val="Tahoma"/>
            <family val="2"/>
          </rPr>
          <t xml:space="preserve">
Commencement of fencing</t>
        </r>
      </text>
    </comment>
    <comment ref="U103" authorId="0">
      <text>
        <r>
          <rPr>
            <b/>
            <sz val="9"/>
            <color indexed="81"/>
            <rFont val="Tahoma"/>
            <family val="2"/>
          </rPr>
          <t>sinugo:</t>
        </r>
        <r>
          <rPr>
            <sz val="9"/>
            <color indexed="81"/>
            <rFont val="Tahoma"/>
            <family val="2"/>
          </rPr>
          <t xml:space="preserve">
TO BE CONFIRMED</t>
        </r>
      </text>
    </comment>
    <comment ref="M105" authorId="1">
      <text>
        <r>
          <rPr>
            <b/>
            <sz val="9"/>
            <color indexed="81"/>
            <rFont val="Tahoma"/>
            <family val="2"/>
          </rPr>
          <t>ukono:</t>
        </r>
        <r>
          <rPr>
            <sz val="9"/>
            <color indexed="81"/>
            <rFont val="Tahoma"/>
            <family val="2"/>
          </rPr>
          <t xml:space="preserve">
Commencement of fencing</t>
        </r>
      </text>
    </comment>
    <comment ref="B226" authorId="2">
      <text>
        <r>
          <rPr>
            <b/>
            <sz val="9"/>
            <color indexed="81"/>
            <rFont val="Tahoma"/>
            <family val="2"/>
          </rPr>
          <t>Mpeps: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1" authorId="1">
      <text>
        <r>
          <rPr>
            <b/>
            <sz val="9"/>
            <color indexed="81"/>
            <rFont val="Tahoma"/>
            <family val="2"/>
          </rPr>
          <t>ukono:</t>
        </r>
        <r>
          <rPr>
            <sz val="9"/>
            <color indexed="81"/>
            <rFont val="Tahoma"/>
            <family val="2"/>
          </rPr>
          <t xml:space="preserve">
Construction to commencement</t>
        </r>
      </text>
    </comment>
    <comment ref="M406" authorId="3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RIU FAST TRACK</t>
        </r>
      </text>
    </comment>
    <comment ref="M407" authorId="3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RIU FAST TRACK</t>
        </r>
      </text>
    </comment>
    <comment ref="M408" authorId="3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RIU FAST TRACK</t>
        </r>
      </text>
    </comment>
    <comment ref="M409" authorId="3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RIU FAST TRACK</t>
        </r>
      </text>
    </comment>
    <comment ref="M410" authorId="3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RIU FAST TRACK</t>
        </r>
      </text>
    </comment>
    <comment ref="M411" authorId="3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RIU/TERM CONTRACTS FAST TRACK HOWEVER IF NORMAL TENDER APPLIES TIMEFRAMES MUST BE 3 MONTHS LONGER  (51-56)</t>
        </r>
      </text>
    </comment>
    <comment ref="M417" authorId="3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RUI FAST TRACK </t>
        </r>
      </text>
    </comment>
    <comment ref="K439" authorId="3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Procurement only through the tender bulletin</t>
        </r>
      </text>
    </comment>
    <comment ref="M443" authorId="3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RIU/TERM CONTRACTS FAST TRACK HOWEVER IF NORMAL TENDER APPLIES TIMEFRAMES MUST BE 3 MONTHS LONGER  (72-81)</t>
        </r>
      </text>
    </comment>
    <comment ref="K563" authorId="3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6 months planning (land acqusition, eia, zoning, geotech, survey, etc) plus 3 months procurement/tendering process</t>
        </r>
      </text>
    </comment>
  </commentList>
</comments>
</file>

<file path=xl/comments2.xml><?xml version="1.0" encoding="utf-8"?>
<comments xmlns="http://schemas.openxmlformats.org/spreadsheetml/2006/main">
  <authors>
    <author>Phumelele C. Zulu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design plus procurement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3 months procurement process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3 months procurement proces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3 months procurement proces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3 months procurement proces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3 months procurement proces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3 months procurement proces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3 months procurement proces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3 months procurement proces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3 months procurement proces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3 months procurement proces</t>
        </r>
      </text>
    </comment>
    <comment ref="I24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pls check start date on atiles project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3 months procurement proces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3 months procurement proces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3 months procurement proces</t>
        </r>
      </text>
    </comment>
    <comment ref="G28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3 months procurement proces</t>
        </r>
      </text>
    </comment>
    <comment ref="G32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3 months procurement proces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3 months procurement proces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3 months procurement proces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3 months procurement proces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3 months procurement proces</t>
        </r>
      </text>
    </comment>
    <comment ref="G47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3 months procurement proces</t>
        </r>
      </text>
    </comment>
  </commentList>
</comments>
</file>

<file path=xl/comments3.xml><?xml version="1.0" encoding="utf-8"?>
<comments xmlns="http://schemas.openxmlformats.org/spreadsheetml/2006/main">
  <authors>
    <author>Phumelele C. Zulu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3 months procurement proces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3 months procurement proces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minimum 3 months procurement proces</t>
        </r>
      </text>
    </comment>
  </commentList>
</comments>
</file>

<file path=xl/comments4.xml><?xml version="1.0" encoding="utf-8"?>
<comments xmlns="http://schemas.openxmlformats.org/spreadsheetml/2006/main">
  <authors>
    <author>Phumelele C. Zulu</author>
    <author>ukono</author>
  </authors>
  <commentList>
    <comment ref="O9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ALLOCATION INSUFFICIENT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Phumelele C. Zulu:PORTIN OF THE BUDGET TO BE TRANSFERED TO THUSIVILLE DUAL PURPOSE LIBRARY AS PLANNING IS AHEAD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Phumelele C. Zulu:</t>
        </r>
        <r>
          <rPr>
            <sz val="9"/>
            <color indexed="81"/>
            <rFont val="Tahoma"/>
            <family val="2"/>
          </rPr>
          <t xml:space="preserve">
REPLANNING AND TENDER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ukono:</t>
        </r>
        <r>
          <rPr>
            <sz val="9"/>
            <color indexed="81"/>
            <rFont val="Tahoma"/>
            <family val="2"/>
          </rPr>
          <t xml:space="preserve">
The original allocated amount of R 69 million was split between the Cultural hub and High Altitude Center</t>
        </r>
      </text>
    </comment>
  </commentList>
</comments>
</file>

<file path=xl/sharedStrings.xml><?xml version="1.0" encoding="utf-8"?>
<sst xmlns="http://schemas.openxmlformats.org/spreadsheetml/2006/main" count="7453" uniqueCount="1419">
  <si>
    <t>Date: Start</t>
  </si>
  <si>
    <t>Date: Finish</t>
  </si>
  <si>
    <t>Marite Branch office</t>
  </si>
  <si>
    <t>Bushbuckridge</t>
  </si>
  <si>
    <t>Office</t>
  </si>
  <si>
    <t>New block x 16 offices</t>
  </si>
  <si>
    <t>Equitable share</t>
  </si>
  <si>
    <t>Emalahleni</t>
  </si>
  <si>
    <t>Treatment Centre.</t>
  </si>
  <si>
    <t xml:space="preserve">10 x Domartories </t>
  </si>
  <si>
    <t>Delmas Sub-district office</t>
  </si>
  <si>
    <t>Delmas</t>
  </si>
  <si>
    <t>New block x 20 offices</t>
  </si>
  <si>
    <t>Ehlanzeni Secure care centre</t>
  </si>
  <si>
    <t>Mbombela</t>
  </si>
  <si>
    <t>Secure Care Centre</t>
  </si>
  <si>
    <t>60 x Domartories</t>
  </si>
  <si>
    <t>Dagakraal Branch Office</t>
  </si>
  <si>
    <t>Pixley Ka Seme</t>
  </si>
  <si>
    <t>New block x 10 offices</t>
  </si>
  <si>
    <t>Warburton Branch office</t>
  </si>
  <si>
    <t>Msukaligwa</t>
  </si>
  <si>
    <t>Embalenhle branch office</t>
  </si>
  <si>
    <t>Govan Mbeki</t>
  </si>
  <si>
    <t>Glenmore Branch office</t>
  </si>
  <si>
    <t>Albert Luthuli</t>
  </si>
  <si>
    <t>Jerusalem Branch office</t>
  </si>
  <si>
    <t>Lesiding Victim Support</t>
  </si>
  <si>
    <t>Thembisile</t>
  </si>
  <si>
    <t>Facility</t>
  </si>
  <si>
    <t>Hendrina Branch office</t>
  </si>
  <si>
    <t>Steve Tshwete</t>
  </si>
  <si>
    <t>Maviljane Branch office</t>
  </si>
  <si>
    <t>Belfast Branch office</t>
  </si>
  <si>
    <t>Thaba Chwewu Sub- District</t>
  </si>
  <si>
    <t>Thaba Chweu</t>
  </si>
  <si>
    <t>New block x 40 offices</t>
  </si>
  <si>
    <t>Chweni  Branch office</t>
  </si>
  <si>
    <t>Shiba Siding Branch office</t>
  </si>
  <si>
    <t>Umjindi</t>
  </si>
  <si>
    <t>Mpakeni Branch office</t>
  </si>
  <si>
    <t>Centre</t>
  </si>
  <si>
    <t>5x Residential apartment and 1x admin block</t>
  </si>
  <si>
    <t>Amsterdam Branch Office</t>
  </si>
  <si>
    <t>New block x 12 offices</t>
  </si>
  <si>
    <t>Badplaas Victim Empowerment centre</t>
  </si>
  <si>
    <t>Maintenance projects</t>
  </si>
  <si>
    <t xml:space="preserve">Shongwe Branch Office </t>
  </si>
  <si>
    <t>Offices</t>
  </si>
  <si>
    <t>01/04/2014</t>
  </si>
  <si>
    <t>31/03/2015</t>
  </si>
  <si>
    <t>Equitable Share</t>
  </si>
  <si>
    <t>Tonga Branch Office</t>
  </si>
  <si>
    <t>Tsuvulani sub-District Office</t>
  </si>
  <si>
    <t>Thekwane District Office</t>
  </si>
  <si>
    <t>Louivile Woman support centre</t>
  </si>
  <si>
    <t>Gert Sibande District Office</t>
  </si>
  <si>
    <t>Steve Tswete Sub-District Office</t>
  </si>
  <si>
    <t>30 X DSD signasge( 10 x per District</t>
  </si>
  <si>
    <t>Provincial Office Son-joy</t>
  </si>
  <si>
    <t>OHS issues</t>
  </si>
  <si>
    <t>In/out?</t>
  </si>
  <si>
    <t>Out</t>
  </si>
  <si>
    <t>In</t>
  </si>
  <si>
    <t>Complete</t>
  </si>
  <si>
    <t>Construction</t>
  </si>
  <si>
    <t>Retention</t>
  </si>
  <si>
    <t>Nr</t>
  </si>
  <si>
    <t>Name of Project</t>
  </si>
  <si>
    <t>Local Municipality</t>
  </si>
  <si>
    <t>Funding Source</t>
  </si>
  <si>
    <t>Budget Allocation
2014/15</t>
  </si>
  <si>
    <t>Project Cost
R'000</t>
  </si>
  <si>
    <t xml:space="preserve">Previous years expenditure
R'000
</t>
  </si>
  <si>
    <t>Budget Allocation
2015/16
R'000</t>
  </si>
  <si>
    <t>MTEF 
2016/17
R'000</t>
  </si>
  <si>
    <t>MTEF 
2017/18
R'000</t>
  </si>
  <si>
    <t>Economic Classification</t>
  </si>
  <si>
    <t>New and replacement</t>
  </si>
  <si>
    <t>Maintenance and repairs</t>
  </si>
  <si>
    <t>Identified</t>
  </si>
  <si>
    <t>f</t>
  </si>
  <si>
    <t>BUDGET FOR 2014/2015    (R000)</t>
  </si>
  <si>
    <t>N/A</t>
  </si>
  <si>
    <t>Ehlanzeni</t>
  </si>
  <si>
    <t>Hospital</t>
  </si>
  <si>
    <t>Upgrade &amp; Additions</t>
  </si>
  <si>
    <t>TBA</t>
  </si>
  <si>
    <t>Gert Sibande</t>
  </si>
  <si>
    <t>CHC</t>
  </si>
  <si>
    <t>Maintenance</t>
  </si>
  <si>
    <t>Nkangala</t>
  </si>
  <si>
    <t>Emakhazeni</t>
  </si>
  <si>
    <t>All</t>
  </si>
  <si>
    <t>Clinic</t>
  </si>
  <si>
    <t>Lekwa</t>
  </si>
  <si>
    <t>Nkomazi</t>
  </si>
  <si>
    <t>Mkhondo</t>
  </si>
  <si>
    <t xml:space="preserve">Ehlanzeni </t>
  </si>
  <si>
    <t>TOTAL</t>
  </si>
  <si>
    <t>Project Name and Description</t>
  </si>
  <si>
    <t>In/Out?</t>
  </si>
  <si>
    <t>District Municipality</t>
  </si>
  <si>
    <t>Infrastructure Type</t>
  </si>
  <si>
    <t>Date: End</t>
  </si>
  <si>
    <t xml:space="preserve">Rehabilitation,
Refurbishment,
Repairs </t>
  </si>
  <si>
    <t>MPUMALANGA PROVINCIAL GOVERNMENT</t>
  </si>
  <si>
    <t>Department of Public Works, Roads and Transport</t>
  </si>
  <si>
    <t>Social Development Infrastructure Projects 2015/16  Financial Year</t>
  </si>
  <si>
    <t>Health Infrastructure Projects 2015/16  Financial Year</t>
  </si>
  <si>
    <t>Thulamahashe Children home (Phase 1)</t>
  </si>
  <si>
    <t>Admin block, kitchen, laundry, gate house, fence and 6 accomodation unit</t>
  </si>
  <si>
    <t>Temporary Accomodation 
(Mobile Classrooms) ex Abacus</t>
  </si>
  <si>
    <t>Equitable Share (ES)</t>
  </si>
  <si>
    <t>Capital Assets</t>
  </si>
  <si>
    <t>New &amp; Replacement Schools</t>
  </si>
  <si>
    <t>Special Projects</t>
  </si>
  <si>
    <t>Movable Classrooms</t>
  </si>
  <si>
    <t>A</t>
  </si>
  <si>
    <t>Active - Contracted</t>
  </si>
  <si>
    <t>MDoE</t>
  </si>
  <si>
    <t>Eradication of Basic Services Backlog</t>
  </si>
  <si>
    <t>Education Infrastructure Grant (EIG)</t>
  </si>
  <si>
    <t>Upgrades &amp; Additions</t>
  </si>
  <si>
    <t>Water &amp; Sanitation</t>
  </si>
  <si>
    <t xml:space="preserve">Construction of Enviro-loo Toilets to 1041 Schools. </t>
  </si>
  <si>
    <t>Proposed</t>
  </si>
  <si>
    <t>Ezakheni Boarding Phase 2</t>
  </si>
  <si>
    <t>BS</t>
  </si>
  <si>
    <t>Wakkerstroom</t>
  </si>
  <si>
    <t>Boarding Schools</t>
  </si>
  <si>
    <t>CRDP: Construction of Grade R Centres and Phase 2 Scope</t>
  </si>
  <si>
    <t>DPWRT</t>
  </si>
  <si>
    <t>Fish Mahlalela</t>
  </si>
  <si>
    <t>P</t>
  </si>
  <si>
    <t>Nkomazi East</t>
  </si>
  <si>
    <t>New Schools</t>
  </si>
  <si>
    <t>CRDP - Planning and Design: Construction of a Grade R Centre, 16 Classrooms, Administration Block, Library, Computer Centre, School Hall, 24 Toilets ,Fence, Electricity, Water, Kitchen, Ramps and Rails, 3 sports grounds and car park.</t>
  </si>
  <si>
    <t>C</t>
  </si>
  <si>
    <t>Huttington</t>
  </si>
  <si>
    <t>S</t>
  </si>
  <si>
    <t>Bohlabela</t>
  </si>
  <si>
    <t>CRDP - Planning and Design: Construction of 15 classrooms, administration block, laboratory, library, computer centre, school hall. 22 toilets, fence, electricity, water, kitchen, ramps ans rails, 3 sports grounds, and car park.</t>
  </si>
  <si>
    <t>B</t>
  </si>
  <si>
    <t>Nduma</t>
  </si>
  <si>
    <t>Dwarsloop</t>
  </si>
  <si>
    <t>Planning and Design: Construction of a Grade R Centre, 10 Classrooms, Administration Block, Library, Computer Centre, School Hall, 14 Toilets ,Fence, Electricity, Water, Kitchen, Ramps and Rails, 2 sports grounds and car park.</t>
  </si>
  <si>
    <t xml:space="preserve">Lehlogonolo  </t>
  </si>
  <si>
    <t>Maviljan</t>
  </si>
  <si>
    <t>Planning and Design: Construction of a Grade R Centre, 12 Classrooms</t>
  </si>
  <si>
    <t>Moriting</t>
  </si>
  <si>
    <t>Casteel</t>
  </si>
  <si>
    <t>Planning and Design: Construction of a Grade R Centre</t>
  </si>
  <si>
    <t>JB Khoza</t>
  </si>
  <si>
    <t>CRDP - Construct 14 Classrooms, Administartion block, library, computer centre, school hall, 22 toilets, kitchen, ramps and rails, fence, electricity, water, 3 sports grounds and car park.</t>
  </si>
  <si>
    <t>Insikazi</t>
  </si>
  <si>
    <t>Construct 16 Classrooms, Administration block, Library, Computer Centre, School Hall, 24Toilets, Fence, Electricity,Water, Kitchen, Ramps and Rails</t>
  </si>
  <si>
    <t>Langeloop</t>
  </si>
  <si>
    <t>Khulangwane</t>
  </si>
  <si>
    <t>Planning and Design: Construct 28 Classrooms, Administration block, laboratory, library, computer centre, School Hall, 40 Toilets, Fence, Electricity, Water, Kitchen, ramps + rails, 3 Sports Grounds and Car Park.</t>
  </si>
  <si>
    <t>Planning and Design: Construct 24 Classrooms, Administration block, library, computer centre, School Hall, 36 Toilets, Fence, Electricity, Water, Kitchen, ramps + rails, 3 Sports Grounds and Car Park.</t>
  </si>
  <si>
    <t>Middelburg 2</t>
  </si>
  <si>
    <t>Substitution of unsafe structures</t>
  </si>
  <si>
    <t>Demolish 42 classrooms and construct 42 classrooms.</t>
  </si>
  <si>
    <t>MJ Lushaba</t>
  </si>
  <si>
    <t>Nkomazi West</t>
  </si>
  <si>
    <t>CRDP - Planning and Design: Construction of 20 classrooms, administration block, laboratory, library, computer center, school hall, 30 toilets, fence, electricity, water, kitchen, 3 sports grounds and car park.</t>
  </si>
  <si>
    <t>Mmoyila</t>
  </si>
  <si>
    <t>CRDP - Planning and Design: Construction of 28 classrooms, administration block, laboratory, library, computer centre, school hall. 42toilets, fence, electricity, water, kitchen, ramps / rails, 3sports grounds and car park.</t>
  </si>
  <si>
    <t>Msholozi</t>
  </si>
  <si>
    <t>CRDP - Planning and Design: Construction of Grade R centre, 20 Classrooms, Administration block, library, computer centre, School Hall, 30 Toilets, Fence, Electricity, Water, Kitchen, ramps +rails, 3 Sports Grounds and Car Park.</t>
  </si>
  <si>
    <t>Nyandeni</t>
  </si>
  <si>
    <t>Stanwest</t>
  </si>
  <si>
    <t>Upgrades and Additions</t>
  </si>
  <si>
    <t>Planning and Design: Renovations to 22 classrooms, administration block and toilets.  Construction of library, computer centre, fence, electricity, water, kitchen, ramps / rails, 3 sports grounds and car park.</t>
  </si>
  <si>
    <t>SP</t>
  </si>
  <si>
    <t>Highveld Ridge East</t>
  </si>
  <si>
    <t>Special Schools</t>
  </si>
  <si>
    <t>Construction of 8 classrooms, administration block, school hall, 4 workshops, media centre, fence, electricity and water supply.</t>
  </si>
  <si>
    <t>School for the Deaf</t>
  </si>
  <si>
    <t>-</t>
  </si>
  <si>
    <t>All buildings to be sound proof.  Construction of 30 classrooms with supporting facilities, ablution block with 15 toilets, administration block with a staff room for 40 educators, boardroom for 30 people, multi purpose hall with supporting facilities including fitness centre, laboratory, library,  e-learning centre, 6 workshops, 3 therapy rooms with offices, counselling room, office for professional nurse with dispensary,  4 sickrooms and 3 toilets inclusive of a toilet for persons with disability, audiology room, art theater, covered walkways, fence, electricity, water, dining hall, car park, garages, hostel cluster with supporting facilities, 2 guest rooms and flats, 6 sports grounds and swimming pool with 2 cloak rooms.</t>
  </si>
  <si>
    <t>Silulu</t>
  </si>
  <si>
    <t>crdp - Planning and Design: Construct 28 Classrooms, Administration block, laboratory, library, computer centre, School Hall, 40 Toilets, Fence, Electricity, Water, Kitchen, ramps + rails, 3 Sports Grounds and Car Park.</t>
  </si>
  <si>
    <t>Construct 24 Classrooms, Administration block, laboratory, library, computer centre, School Hall, 30 Toilets, Fence, Electricity, Water, Kitchen, ramps + rails, 3 Sports Grounds and Car Park.</t>
  </si>
  <si>
    <t>Piet Retief</t>
  </si>
  <si>
    <t>CRDP: Construction of 28 classrooms, administration block, laboratory, library, computer centre, School Hall, 40Toilets, Fence, Electricity, Watre, Kitchen, ramps / rails, 3 Sports Grounds &amp; Car Park.</t>
  </si>
  <si>
    <t>Vezikgono</t>
  </si>
  <si>
    <t>KwaMhlanga North East</t>
  </si>
  <si>
    <t>Thembisile Hani</t>
  </si>
  <si>
    <t>Planning and Design: Construct 24 Classroomss, Administration block, library, computer centre, School Hall, 36 Toilets, Fence, Elelctricity, Water, Kitchen, ramps +rails, 3 Sports Grounds and Car Park.</t>
  </si>
  <si>
    <t>White River</t>
  </si>
  <si>
    <t>Planning and Design: Construct 28 Classroomss, Administration block, laboratory, library, computer centre, School Hall, 40 Toilets, Fence, Elelctricity, Water, Kitchen, ramps +rails, 3 Sports Grounds and Car Park.</t>
  </si>
  <si>
    <t>Berbice (Phase 2)</t>
  </si>
  <si>
    <t>Planning and Design: Grade R Centre,  small administration block, computer centre, fence, electrical work, ramps and rails.</t>
  </si>
  <si>
    <t>Ermelo 1</t>
  </si>
  <si>
    <t>Construct 28 Classrooms, Administration block, laboratory, library, computer centre, School Hall, 40 Toilets, Fence, Electricity, Water, Kitchen, ramps + rails, 3 Sports Grounds and Car Park.</t>
  </si>
  <si>
    <t>Emalahleni 2</t>
  </si>
  <si>
    <t>Ramantsho</t>
  </si>
  <si>
    <t>Marapyane</t>
  </si>
  <si>
    <t>Dr JS Moroka</t>
  </si>
  <si>
    <t xml:space="preserve">CRDP - Special Projects: MEDT. Substitution of buildings: 5classroom, administration block, library, computer centre and kitchen. </t>
  </si>
  <si>
    <t>Education Facilities Management System [EFMS]</t>
  </si>
  <si>
    <t>Goods &amp; Services</t>
  </si>
  <si>
    <t>Infrastructure Management</t>
  </si>
  <si>
    <t>Ndebele College</t>
  </si>
  <si>
    <t>TT</t>
  </si>
  <si>
    <t>Maintenance &amp; Repairs</t>
  </si>
  <si>
    <t>Programme Management Unit</t>
  </si>
  <si>
    <t>DORA Compensation</t>
  </si>
  <si>
    <t>Current Paymens</t>
  </si>
  <si>
    <t>Infrastructure Equipment</t>
  </si>
  <si>
    <t>Infrastructure Functionality Management : Supply of furniture to completed facilities</t>
  </si>
  <si>
    <t>Highveld Comprehensive</t>
  </si>
  <si>
    <t>Tec</t>
  </si>
  <si>
    <t>MST - Technical Recapitalisation</t>
  </si>
  <si>
    <t>Technical Schools</t>
  </si>
  <si>
    <t>CRDP: Construction of  1 new workshop and refurbishment of 1 workshops.</t>
  </si>
  <si>
    <t>Acorns To Oaks Comprehensive (addition to current scope)</t>
  </si>
  <si>
    <t>Bohlabela [Ehlanzeni]</t>
  </si>
  <si>
    <t>Greenvalley</t>
  </si>
  <si>
    <t>CRDP: Construction of 18 Classrooms, Administration block, Laboratory, Media Centre, Computer Centre, School Hall, Electricity, Fence, Water, 5 Toilets Blocks</t>
  </si>
  <si>
    <t>Mkhuhlu</t>
  </si>
  <si>
    <t>CRDP: Phase 1 - Construction of 8 classrooms, administration block, fencing, guard house, ablution block, water &amp; electricity.
Phase 2 - Construction of 20 classroom, laboratory, library, computer centre, school hall, kitchen, ablution blocks and sports grounds.</t>
  </si>
  <si>
    <t>Thulamahashe</t>
  </si>
  <si>
    <t>CRDP: Construction of 12 classrooms, administration block, library, computer centre, kitchen, 3 sports grounds and car park on a new site.</t>
  </si>
  <si>
    <t>Arthurseat</t>
  </si>
  <si>
    <t>CRDP: Construction of 10 classrooms, administration block, 15 toilets, fence, library, Grade R Centre with 4 toilets and fence, 3 sports grounds and car park.</t>
  </si>
  <si>
    <t>Nokaneng</t>
  </si>
  <si>
    <t>CRDP: Construction of 10 classrooms, administration block,laboratory, library, fence, electricity, water, 16 toilets, kitchen, 3 sports grounds and car park on a new site.</t>
  </si>
  <si>
    <t>White Hazy</t>
  </si>
  <si>
    <t xml:space="preserve">Construction of 1 workshop and renovations and refurbishment to 3 other workshops. </t>
  </si>
  <si>
    <t>FET and MRTT (Backlog Maintenance)</t>
  </si>
  <si>
    <t>Cana Combined</t>
  </si>
  <si>
    <t>Grade R Centres</t>
  </si>
  <si>
    <t>CRDP: Construction of a Grade R Center with toilets and fence.</t>
  </si>
  <si>
    <t>MST - Dinaledi Grant</t>
  </si>
  <si>
    <t>Manyeleti</t>
  </si>
  <si>
    <t>Dinaledi Schools</t>
  </si>
  <si>
    <t>CRDP: Construction of a laboratory.</t>
  </si>
  <si>
    <t>Dr Pixley ka Isaka Seme</t>
  </si>
  <si>
    <t>Amsterdam</t>
  </si>
  <si>
    <t>Matikinya</t>
  </si>
  <si>
    <t>Kwaggafontein East</t>
  </si>
  <si>
    <t>Chief Fana Dlamini</t>
  </si>
  <si>
    <t>Nkululeko</t>
  </si>
  <si>
    <t>Planning and Design: Construction of 24 Classrooms, administration block, laboratory, library, computer centre, 30 toilets, School Hall, Elelctricity, Water, 3 Sports Grounds &amp; Car Park.</t>
  </si>
  <si>
    <t>Emjindini</t>
  </si>
  <si>
    <t>Barberton</t>
  </si>
  <si>
    <t>Planning and Design: Construction of 7 classrooms,  10 toilets, school hall, kitchen, ramps and rails, 3 sports grounds and car park.</t>
  </si>
  <si>
    <t>Eric Nxumalo</t>
  </si>
  <si>
    <t>Rehabilitation, Renovation &amp; Refurbishment</t>
  </si>
  <si>
    <t>CRDP: Planning and Design: Refurbishment of workshops to comply with safety standards.</t>
  </si>
  <si>
    <t>Active - Not Contracted</t>
  </si>
  <si>
    <t>Hlelimfundo</t>
  </si>
  <si>
    <t>Volksrust</t>
  </si>
  <si>
    <t xml:space="preserve">CRDP: Planning and Design of 6 classrooms, laboratory, library, computer centre, upgrade electricity, ramps and rails, kitchen, school hall, 3 sports grounds and car park. </t>
  </si>
  <si>
    <t>Ilanga [Bosfontein]</t>
  </si>
  <si>
    <t>CRDP - Planning and Design: Construction of 12 classrooms, administration block, laboratory, library, computer centre, school hall, 18 toilets, fence, electricity, water, kitchen, ramps and rails, 3 sports ground and car park.</t>
  </si>
  <si>
    <t>Lehlabile</t>
  </si>
  <si>
    <t>CRDP: Planning and Design: Construction of administration block, computer centre, kitchen, laboratory, 12 toilets, School Hall, upgrade electricity, 3 Sports Grounds and Car Park and renovations of 16 classrooms.</t>
  </si>
  <si>
    <t>Louwra</t>
  </si>
  <si>
    <t>Supply of electricity and renovation of a house in the school yard for conversion to an administration block or kitchen and storeroom and fence.</t>
  </si>
  <si>
    <t>Nalithuba</t>
  </si>
  <si>
    <t>Planning and Design: Construction of school hall, library, computer centre,  kitchen, laboratory, sports grounds and car park.</t>
  </si>
  <si>
    <t>Ndlamakhosi</t>
  </si>
  <si>
    <t>CRDP: Planning and Design - Construction of 2 classrooms, laboratory, library, computer centre, 4 toilets, electricity, ramps and rails,  3 sports grounds and car park. Substitution of 10 pit toilets.</t>
  </si>
  <si>
    <t>Seme</t>
  </si>
  <si>
    <t>CRDP - Planning and Design: Construction of a computer centre, kitchen, ramps and rails,  upgrade of electricity,  school hall and laboratory.</t>
  </si>
  <si>
    <t>Shayaza</t>
  </si>
  <si>
    <t>CRDP: Planning and Design: Addition of 10 classrooms, Library, Computer Centre, School Hall, 16 toilets, Fence, Kitchen, 3 Sports Grounds, Car Park and renovation of 18 Classrooms</t>
  </si>
  <si>
    <t>Shongwe Boarding School</t>
  </si>
  <si>
    <t>CRDP: Bulk services upgrade (Phase 1)
Construction of a Grade R Center with toilets and fence, addition of hostels and upgrading of existing hostels and toilets. (Phase 2)</t>
  </si>
  <si>
    <t>Hlalakahle</t>
  </si>
  <si>
    <t>Libangeni</t>
  </si>
  <si>
    <t>CRDP - Planning and Design: Construction of administration block, computer centre, School Hall, kitchen, laboratory, 12 toilets, 3 Sports Grounds and Car Park and renovation of 16 classrooms.</t>
  </si>
  <si>
    <t>Hoërskool Middelburg</t>
  </si>
  <si>
    <t>Middelburg 1</t>
  </si>
  <si>
    <t>Refurbishment and Renovations</t>
  </si>
  <si>
    <t>Completion of the renovations of the school.</t>
  </si>
  <si>
    <t>Term Contractor</t>
  </si>
  <si>
    <t>Mehlobomvu</t>
  </si>
  <si>
    <t>CRDP - Planning and Design: Renovation of 16 Classrooms.  Construction of additional 4 classrooms and administration block, laboratory, library, computer centre, school hall, kitchen, 3 sports grounds and car park.</t>
  </si>
  <si>
    <t>Mkhanyo</t>
  </si>
  <si>
    <t>KwaMhlanga South West</t>
  </si>
  <si>
    <t>CRDP - Planning and Design: Construction of a Grade R centre, 8 classrooms, library, computer centre, fence and kitchen.</t>
  </si>
  <si>
    <t>Cottondale</t>
  </si>
  <si>
    <t xml:space="preserve">CRDP - Planning and Design: Substitution of unsafe 28 Crms, administration block, laboratory, library, computer centre, School Hall, kitchen, 3 Sports Grounds and Car Park. </t>
  </si>
  <si>
    <t>CRDP: Demolish existing classrooms and construct 12 classrooms and 18 toilets, administration block, library, kitchen, school hall, computer centre, ramps and rails, 3 sports grounds and car park.</t>
  </si>
  <si>
    <t>Mugidi</t>
  </si>
  <si>
    <t>CRDP - Planning and Design: Demolition of 10 classrooms and the construction of 10 classrooms, administration block, library, kitchen, computer centre, ramps and rails, 3 sports grounds and car park.</t>
  </si>
  <si>
    <t>Thathakusa</t>
  </si>
  <si>
    <t>Planning, design and construction: 2 Classrooms</t>
  </si>
  <si>
    <t>Sibonelo</t>
  </si>
  <si>
    <t>Siyabuswa</t>
  </si>
  <si>
    <t>CRDP - Planning and Design: Replace 10 classrooms and renovations of 5 classrooms.  Construction of an administration block, library, computer centre, kitchen, ramps and rails, 3 sports grounds and car park.</t>
  </si>
  <si>
    <t>Mgwenya</t>
  </si>
  <si>
    <t>Phase 1 - Construction of a Grade R Centre with toilets and fence, kitchen and library (by Education)
Multi-purpose centre (COGTA)
Phase 2 - Administration block and upgrade of sports facilities.</t>
  </si>
  <si>
    <t>Thabana</t>
  </si>
  <si>
    <t>P*</t>
  </si>
  <si>
    <t>CRDP - Planning and Design: Renovation of 2 classrooms and the substitution of 3 classrooms and 10 toilets.  Addition of a scaled down administration block, kitchen, computer centre, ramps and rails, 2 sports grounds, car park and library.</t>
  </si>
  <si>
    <t>Ehlanzeni and other District Office</t>
  </si>
  <si>
    <t>CIR</t>
  </si>
  <si>
    <t>Refurbishment, maintenance and repairs to 4 district offices.</t>
  </si>
  <si>
    <t>Mtfophi (Daantjie)</t>
  </si>
  <si>
    <t>Planning and Design: Construction of a Grade R centre, 24classrooms, administration block, library, computer centre, scholl hall. 36toilets, fence, electricity, water, kitchen, ramps &amp; rails, 3 sports grounds &amp; car park.</t>
  </si>
  <si>
    <t>Yinhlelentfo</t>
  </si>
  <si>
    <t>Construction of a Grade R Centre, 16classroom, administration block, library, computer centre, School Hall, 24Toilets, Fence, Electricity, Watre, Kitchen, ramps / rails, 3 Sports Grounds &amp; Car Park.</t>
  </si>
  <si>
    <t>Balfour</t>
  </si>
  <si>
    <t>Dipaleseng</t>
  </si>
  <si>
    <t>CRDP - Planning and Design: Construction of 10 classrooms, administration block, library, kitchen, ramps and rails, 15 toilets and the renovations to 14 classrooms, computer centre,  14 toilets, sports grounds and car park.</t>
  </si>
  <si>
    <t>Bukhosibetfu</t>
  </si>
  <si>
    <t>Planning and Design: Renovations of 19 classrooms and the construction of 5 classrooms, library, computer centre,  kitchen, ramps and rails, 8 toilets, palisade fence and a skills centre for learners with disability.</t>
  </si>
  <si>
    <t>Chief Makunyula</t>
  </si>
  <si>
    <t>CRDP - Planning and Design: Construction 2 Grade R Centres with toilets and fence, 8 classrooms, administration block, library, laboratory, 24 toilets, computer centre, kitchen, ramps and rails, 15 toilets, 3 sports grounds, car park and the renovations to 16 classrooms.</t>
  </si>
  <si>
    <t>Dunbar</t>
  </si>
  <si>
    <t>Planning and Design: Construction of 14 classrooms, administration block, library, computer centre, kitchen, 22 toilets, ramps and rails, 3 sports grounds and car park.  Renovations to 9 existing classrooms and 12 toilets.</t>
  </si>
  <si>
    <t>Hlangu-Phala</t>
  </si>
  <si>
    <t>Construction of library, computer centre, upgrade electricity, ramps and rails, kitchen, school hall, 3 sports grounds and car park.  Renovations to 25 classrooms and administration block.</t>
  </si>
  <si>
    <t>Ikhwezi</t>
  </si>
  <si>
    <t>Bethal</t>
  </si>
  <si>
    <t>Planning and Design: Construction 1 Grade R center, 12 Classrooms,administration block, library, computer centre, ramps and rails, kitchen, 12 toilets, 3 sports ground, car parking</t>
  </si>
  <si>
    <t>Planning and Design: Construction of Grade R Centre,  28 Classrooms, Administration block, laboratory, library, computer centre, School Hall, 40 Toilets, Fence, Electricity, Water, Kitchen, ramps + rails, 3 Sports Grounds and Car Park.</t>
  </si>
  <si>
    <t>Kamaqhekeza</t>
  </si>
  <si>
    <t>CRDP - Planning and Design: Construction of 8 classrooms, library, computer centre, kitchen, school hall, upgrade electricity, ramps and rails, 20 toilets, 3 sports grounds and car park. Renovation to 16 classrooms and administration block</t>
  </si>
  <si>
    <t>Khula</t>
  </si>
  <si>
    <t>CRDP - Planning and Design: Construction of 7 classrooms, library, laboratory, school hall, computer centre, kitchen, ramps and rails, 20 toilets, 3 sports grounds, car park and the renovations to 21 classrooms and 10 toilets.</t>
  </si>
  <si>
    <t>Khuphukani</t>
  </si>
  <si>
    <t>Mpuluzi</t>
  </si>
  <si>
    <t>Planning and Design: Construction of a library, computer centre, kitchen, ramps and rails, 3 sports grounds and car park.  Renovations to 16 existing classrooms and administration block.</t>
  </si>
  <si>
    <t>Kwalodakada</t>
  </si>
  <si>
    <t>CRDP - Planning and Design: Construction 2 Grade R Centres with toilets and fence, 4 classrooms, administration block, library, computer centre, kitchen, upgrade electricity, ramps and rails, 15 toilets, 3 sports grounds, car park and the renovations to 12 classrooms and 14 toilets.</t>
  </si>
  <si>
    <t>Magogeni#</t>
  </si>
  <si>
    <t>CRDP - Planning and Design: Renovations of 20 classrooms, administration block, Home Economics Centre and substitution of 4 unsafe structures.</t>
  </si>
  <si>
    <t>o</t>
  </si>
  <si>
    <t>Makata</t>
  </si>
  <si>
    <t>CRDP: Planning and Design - Construction of an administration block, laboratory, library, school hall, 16 toilets, kitchen, ramps and rails, upgrade of electricity, 3 sports grounds and car park.  Renovations to 11 classrooms.</t>
  </si>
  <si>
    <t>Maloka</t>
  </si>
  <si>
    <t>Mmametlhake</t>
  </si>
  <si>
    <t>CRDP - Planning and Design: Construction of a Grade R Centre, administration block, library, computer centre, kitchen, 10 toilets, electricity, water, fence, 2 sports grounds, car park,  ramps and rails and the renovation of 6 classrooms.</t>
  </si>
  <si>
    <t>Malontone</t>
  </si>
  <si>
    <t xml:space="preserve">CRDP - Planning and Design: Construction of a Grade R Centre, 10 Classrooms , administration block, library, computer centre, kitchen, 28 toilets, electricity, water, fence, 3 sports grounds, car park,  ramps and rails. </t>
  </si>
  <si>
    <t>Mapala</t>
  </si>
  <si>
    <t>Planning and Design: Construction of 5 classrooms, administration block, laboratory, library, school hall, 20 toilets, kitchen, ramps and rails, 3 sports grounds and car park.  Renovations to 14 classrooms.</t>
  </si>
  <si>
    <t>Maqhekeza</t>
  </si>
  <si>
    <t>Planning and Design: Construction 10 Classrooms, Administration Block, library, computer centre, Multi Media Center, Music room, School hall, ramps and rails, fence, kitchen, water, 13 toilets, 2 sports grounds &amp; car parking</t>
  </si>
  <si>
    <t>Masizakhe</t>
  </si>
  <si>
    <t>Tweefontein South</t>
  </si>
  <si>
    <t xml:space="preserve"> Construction of Grade R Centre    library , kitchen ,  16 toilets  . Renovation and refurbishment of  16 existing classrooms  . </t>
  </si>
  <si>
    <t>Mathule</t>
  </si>
  <si>
    <t>Shatale</t>
  </si>
  <si>
    <t>CRDP: Planning and Design - Construction of 2 Grade R Centers with toilets and fence and 6 classrooms, administration block, library, computer centre, 10 toilets, kitchen, and car park.  Substitute current pit toilets with 20 Enviroloo toilets.</t>
  </si>
  <si>
    <t>Mbangwane</t>
  </si>
  <si>
    <t>Lubombo</t>
  </si>
  <si>
    <t xml:space="preserve">CRDP - Planning and Design: Construction of 2 Grade R Centres with toilets and fence, </t>
  </si>
  <si>
    <t>Mdladla</t>
  </si>
  <si>
    <t>CRDP - Planning and Design: Construction 2 Grade R Centres with toiltes and fence, 9 classrooms, library, computer centre, 36 toilets, kitchen, ramps and rails, 3 sports grounds, car park and the renovations to 15 classrooms.</t>
  </si>
  <si>
    <t>Mjokwane</t>
  </si>
  <si>
    <t>CRDP - Planning and Design: Construction of 3 classrooms, 30 toilets, kitchen, upgrade electricity and the renovations to 25 classrooms, laboratory, library, computer centre, upgrade electricity, ramps and rails, 20 toilets, 3 sports grounds and car park. Renovation to 21 classrooms, school hall and administration block</t>
  </si>
  <si>
    <t>Mlamlankunzi</t>
  </si>
  <si>
    <t>CRDP - Planning and Design: Construction of a kitchen, and the renovations to 23 classrooms, library, computer centre, ramps and rails, 45 toilets, 3 sports grounds and car park.</t>
  </si>
  <si>
    <t>Mothaileng Mashego</t>
  </si>
  <si>
    <t>CRDP: Planning and Design - Construction of 2 Grade R Centres, construction of 8 Classrooms, administration block, library, computer centre, kitchen, 12 Toilets, ramps and rails, 2 sports grounds and car park.</t>
  </si>
  <si>
    <t>Marite</t>
  </si>
  <si>
    <t>Panorama</t>
  </si>
  <si>
    <t>Sabie</t>
  </si>
  <si>
    <t>Thaba Chueu</t>
  </si>
  <si>
    <t>Planning and Design: Construction of 2 classrooms, ramps and rails, sports grounds and car park and renovations to an administration block, laboratory, library, computer centre, kitchen.</t>
  </si>
  <si>
    <t>Panyana</t>
  </si>
  <si>
    <t>CRDP- Planning and Design:  Construction of administration block, library, computer centre, kitchen, ramps and rails, 3 sports grounds and car park.</t>
  </si>
  <si>
    <t>Perdekop Agricultural</t>
  </si>
  <si>
    <t>Planning and Design: Renovation of 6 classrooms, administration block, library and the construction of a laboratory, ramps and rails, 2 sports grounds and car park.</t>
  </si>
  <si>
    <t>Pilgrims Rest</t>
  </si>
  <si>
    <t>CRDP - Planning and Design: Demolition of 8 classrooms, kitchen and the Construction of 5 classrooms, a kitchen,  computer centre.  Renovations to administration block.</t>
  </si>
  <si>
    <t>Sekusile</t>
  </si>
  <si>
    <t>Planning and Design: Construction Administration Block, library, computer centre, School hall, ramps and rails, fence, kitchen, water, 23 toilets, 2 sports grounds &amp; car parking</t>
  </si>
  <si>
    <t>Seruane</t>
  </si>
  <si>
    <t>CRDP - Planning and Design: Renovations of 14 classrooms and administration block and the construction of a laboratory, library, computer centre, school hall, kitchen and 3 sports grounds.</t>
  </si>
  <si>
    <t>Sibongile</t>
  </si>
  <si>
    <t>CRDP: Planning and Design: Renovations of 8 classrooms and alterations to cater for the Circuit Office.</t>
  </si>
  <si>
    <t>Siyeta</t>
  </si>
  <si>
    <t>Badplaas</t>
  </si>
  <si>
    <t>CRDP: Construction of a Grade R Center with toilets and fence, library, computer centre, 24 toilets, kitchen, ramps and rails, 3 sports grounds and car park.  Renovations to 16 classrooms and administration block.</t>
  </si>
  <si>
    <t>Carolina</t>
  </si>
  <si>
    <t>CRDP: Construction of 2 workshops and refurbishment of 2 workshops to comply with safety standards.</t>
  </si>
  <si>
    <t>Daniye</t>
  </si>
  <si>
    <t>Agincourt</t>
  </si>
  <si>
    <t>CRDP - Planning and Design: Renovation of 5 classrooms and the substitution of 5 classrooms and 18 toilets.  Addition of an administration block, kitchen, computer centre, ramps and rails, 3 sports grounds, car park and library.</t>
  </si>
  <si>
    <t>CRDP: Construct of 4 new Workshops.</t>
  </si>
  <si>
    <t xml:space="preserve">Ditholo Combined </t>
  </si>
  <si>
    <t xml:space="preserve">Combined </t>
  </si>
  <si>
    <t>CRDP - Planning and Design: Demolition of 14 classrooms and the construction of 14 classrooms, library, computer centre, kitchen, 22 toilets, school hall, 3 sports grounds and car park. Renovation to the existing administration block.</t>
  </si>
  <si>
    <t>Dyondzekani</t>
  </si>
  <si>
    <t>Ximhungwe</t>
  </si>
  <si>
    <t>CRDP - Planning and Design: Demolition of 13 classrooms and the construction of 18 classrooms, administration block, library, computer centre, kitchen, 28 toilets, school hall, 3 sports grounds and car park.</t>
  </si>
  <si>
    <t>Godide</t>
  </si>
  <si>
    <t>CRDP - Planning and Design: Demolition of 12 classrooms and the construction 10 classrooms, laboratory, library, computer centre, school hall, kitchen, ramps and rails,  Renovate existing administration block.</t>
  </si>
  <si>
    <t>Kufakwezwe</t>
  </si>
  <si>
    <t>S*</t>
  </si>
  <si>
    <t>Substitution of unsafe structures: 12 classrooms, administration, 1 toilets, fence, kitchen, ramps and rails, 2 sports grounds and 10 car parking</t>
  </si>
  <si>
    <t>Lungelo (Phase 2)</t>
  </si>
  <si>
    <t>Planning and Design: Replace 5 classrooms and the renovations to 4 classrooms and the construction of a Grade R Centre, library, computer centre, ramps and rails, 2 sports grounds and car park.</t>
  </si>
  <si>
    <t>Madiba</t>
  </si>
  <si>
    <t>Substitution of unsafe structures: 12 classrooms, library, laboratory, computer centre, multi-purpose centre, music room, home economics, school hall, 15 toilets, kitchen, ramps and rails, 2 sports grounds and 10 car parking</t>
  </si>
  <si>
    <t>Mhlahle</t>
  </si>
  <si>
    <t>Substitution of unsafe structures: 1 Grade R, 10 classrooms, library, laboratory, computer centre, multi-purpose centre, music room, home economics, school hall, 17 toilets, kitchen, ramps and rails, 2 sports grounds and 10 car parking</t>
  </si>
  <si>
    <t xml:space="preserve"> Apols chiloana</t>
  </si>
  <si>
    <t>Substitution of unsafe structures: 1 Grade R, 9 classrooms, electricity</t>
  </si>
  <si>
    <t>Rhandzekile</t>
  </si>
  <si>
    <t>Substitution of unsafe structures: 1 Grade R, 15 classrooms, library, laboratory, computer centre, multi-purpose centre, music room, home economics, school hall, kitchen, ramps and rails, 2 sports grounds and 10 car parking</t>
  </si>
  <si>
    <t xml:space="preserve">Hlangalezwe </t>
  </si>
  <si>
    <t>Lehukwe</t>
  </si>
  <si>
    <t>Substitution of unsafe structures: 14 classrooms, library, computer centre, multi-purpose centre, music room, home economics,  school hall, 8 toilets, fence, kitchen, ramps and rails, 1 sports grounds and car parking</t>
  </si>
  <si>
    <t xml:space="preserve">MO Mashego </t>
  </si>
  <si>
    <t>Substitution of unsafe structures: 15 classrooms, library, computer centre, multi-purpose centre, music room, home economics,  school hall, 14 toilets, fence, kitchen, ramps and rails, 1 sports grounds and car parking</t>
  </si>
  <si>
    <t xml:space="preserve">Casteel </t>
  </si>
  <si>
    <t>Substitution of unsafe structures: 8 classrooms, library, computer centre, multi-purpose centre, music room, home economics,  school hall, 8 toilets, fence, kitchen, ramps and rails, 1 sports grounds and car parking</t>
  </si>
  <si>
    <t>Kennen</t>
  </si>
  <si>
    <t>Substitution of unsafe structures: 1 Grade R, 19 classrooms, administration block, library, laboratory, computer centre, multi-media centre, multi-purpose centre, music room, home economics, workshop, school hall, 18 toilets, fence, electricty, water, kitchen, ramps and rails, 2 sports grounds and car parking</t>
  </si>
  <si>
    <t>Lydenburg</t>
  </si>
  <si>
    <t>Mashishing</t>
  </si>
  <si>
    <t xml:space="preserve">Substitution of unsafe structures 4 classrooms </t>
  </si>
  <si>
    <t>Spekboom</t>
  </si>
  <si>
    <t xml:space="preserve">Substitution of unsafe structures 3 classrooms </t>
  </si>
  <si>
    <t>Matlolane</t>
  </si>
  <si>
    <t>Substitution of unsafe structures: 6 classrooms, administration block, computer centre,  6 toilets, electricity, water, kitchen, car parking</t>
  </si>
  <si>
    <t>Relane</t>
  </si>
  <si>
    <t>Substitution of unsafe structures: 8 classrooms, administration block,  8 toilets, fence, kitchen</t>
  </si>
  <si>
    <t>Serisha</t>
  </si>
  <si>
    <t>Substitution of unsafe structures: 20 classrooms, administration block,  8 toilets, water, kitchen</t>
  </si>
  <si>
    <t>Sibambayana</t>
  </si>
  <si>
    <t>Substitution of unsafe structures: 1 Grade R, 8 classrooms, administration, 1 toilets, kitchen, ramps and rails, 2 sports grounds and 10 car parking</t>
  </si>
  <si>
    <t>Makgahlishe</t>
  </si>
  <si>
    <t>Substitution of unsafe structures: 1 Grade R, 17 classrooms, 4 toilets, fence, electricity</t>
  </si>
  <si>
    <t>Sebosegolo</t>
  </si>
  <si>
    <t>Substitution of unsafe structures: 1 Grade R, 3 classrooms, school hall, 1 toilets, fence, electricity</t>
  </si>
  <si>
    <t>Mahlale</t>
  </si>
  <si>
    <t>Substitution of unsafe structures 12 classrooms, administration block, computer centre, 8 toilets</t>
  </si>
  <si>
    <t>Munyamane</t>
  </si>
  <si>
    <t xml:space="preserve">Substitution of unsafe structures 12 classrooms, 4 toilets </t>
  </si>
  <si>
    <t>Londhindha</t>
  </si>
  <si>
    <t xml:space="preserve">Substitution of unsafe structures 10 classrooms </t>
  </si>
  <si>
    <t>Thwasani</t>
  </si>
  <si>
    <t>Matikwana</t>
  </si>
  <si>
    <t>Shakwaneng</t>
  </si>
  <si>
    <t xml:space="preserve">Substitution of unsafe structures 8 classrooms </t>
  </si>
  <si>
    <t>Matibidi</t>
  </si>
  <si>
    <t xml:space="preserve">Substitution of unsafe structures 6 classrooms </t>
  </si>
  <si>
    <t>Pilgrims City</t>
  </si>
  <si>
    <t xml:space="preserve">Substitution of unsafe structures 1 classrooms </t>
  </si>
  <si>
    <t>Malavutela</t>
  </si>
  <si>
    <t>Substitution of unsafe structures: 12 classrooms, library, laboratory, computer centre, multi-purpose centre, music room, home economics, workshop, school hall, fence, kitchen, ramps and rails, 1 sports grounds and car parking</t>
  </si>
  <si>
    <t>Marcia Mokoena</t>
  </si>
  <si>
    <t>Substitution of unsafe structures: 14 classrooms, library, computer centre, multi-purpose centre, music room, home economics, workshop, school hall, fence, electricty, water, kitchen, ramps and rails, 1 sports grounds and car parking</t>
  </si>
  <si>
    <t>Mabonwana</t>
  </si>
  <si>
    <t>Substitution of unsafe structures Grade R centre, 2 classrooms, administration block,  school hall, 16 toilets, fence</t>
  </si>
  <si>
    <t>Khokhovela</t>
  </si>
  <si>
    <t>Substitution of unsafe structures Grade R centre, 21 classrooms, school hall, 16 toilets, fence</t>
  </si>
  <si>
    <t>Floraphophe</t>
  </si>
  <si>
    <t>Rolle</t>
  </si>
  <si>
    <t>Substitution of unsafe structures: of a Grade R centre, 8 classrooms, administration block, library, computer centre, music room, multi-media centre, multi-purpose centre, 22 toilets, kitchen, fence, ramps and rails, water, electricity, 2 sports grounds and car park.</t>
  </si>
  <si>
    <t>Songeni</t>
  </si>
  <si>
    <t>Substitution of unsafe structures: of a Grade R centre, 8 classrooms, administration block, library, laboratory, computer centre, music room, multi-media centre, home ecomonic, workshop, multi-purpose centre, school hall, 12 toilets, kitchen, fence, ramps and rails, water, electricity, 2 sports grounds and car park.</t>
  </si>
  <si>
    <t>Jan Rikhotso</t>
  </si>
  <si>
    <t>Kildare</t>
  </si>
  <si>
    <t>Substitution of unsafe structures: of a Grade R centre, 9 classrooms, administration block, library, computer centre, music room, multi-media centre, home ecomonic, workshop, multi-purpose centre, school hall, 24 toilets, kitchen, fence, ramps and rails, water, electricity, 2 sports grounds and car park.</t>
  </si>
  <si>
    <t>Manyakatana</t>
  </si>
  <si>
    <t>CRDP: Planning and Design - Substitution of unsafe structures and the construction of a Grade R Centre with toilets and fence,  15 classrooms, administration block, library, computer centre, school hall, 22 toilets, kitchen, ramps and rails, upgrade electricity, 3 sports grounds and car park.</t>
  </si>
  <si>
    <t>Masana</t>
  </si>
  <si>
    <t>CRDP - Planning and Design: Construction of 15 classrooms, laboratory, library, computer centre, school hall, 22 toilets, kitchen, ablution blocks, 3 sports grounds and car park.  Renovations to 10 classrooms and an administration block.</t>
  </si>
  <si>
    <t>Jongilanga</t>
  </si>
  <si>
    <t>Renovations of 1 Grade R Centre, 15 Classroom , administration block, laboratory, library, computer centre, mutli media centre, music room, home economic, mutli purpose centre, school hall, 26 toilets, fence, kitchen, ramps &amp; rails, 2 sports grounds and 10 car park.</t>
  </si>
  <si>
    <t>Magudu</t>
  </si>
  <si>
    <t>p</t>
  </si>
  <si>
    <t>ximhungwe</t>
  </si>
  <si>
    <t>Renovations of 1 Grade R Centre, 13 Classroom, laboratory, library, computer centre, mutli media centre,  music room, home economic, mutli purpose centre, school hall, 20 toilets, kitchen, ramps &amp; rails, 2 sports grounds and 8 car park.</t>
  </si>
  <si>
    <t>Moholoholo</t>
  </si>
  <si>
    <t xml:space="preserve">Arhurseat </t>
  </si>
  <si>
    <t>Renovations of 4 Classroom , administration block, laboratory, library, fence, kitchen</t>
  </si>
  <si>
    <t>NP. Mathabela</t>
  </si>
  <si>
    <t>Senianya</t>
  </si>
  <si>
    <t>Renovations of 9 Classroom, kitchen</t>
  </si>
  <si>
    <t>Renovations of 26 Classroom, administration block, 1 toilet,  fence</t>
  </si>
  <si>
    <t>Renovations of 4 Classroom, 1 toilet</t>
  </si>
  <si>
    <t>Hambanathi</t>
  </si>
  <si>
    <t>Renovations of 5 Classroom, administration block</t>
  </si>
  <si>
    <t>Kellysville</t>
  </si>
  <si>
    <t>Renovations of 15 Classroom, administration block, library</t>
  </si>
  <si>
    <t>Marifaan</t>
  </si>
  <si>
    <t>Renovations of 18 Classroom, administration block</t>
  </si>
  <si>
    <t>Matlalong</t>
  </si>
  <si>
    <t>Renovations of 10 Classroom, administration block, electricity, kitchen</t>
  </si>
  <si>
    <t>Boikhutso</t>
  </si>
  <si>
    <t>Renovations of 21 Classroom, administration block, computer centre, 11 toilets, fence, car parking</t>
  </si>
  <si>
    <t>Narishe</t>
  </si>
  <si>
    <t>Renovations of 21 Classroom, administration block, computer centre, 10 toilets</t>
  </si>
  <si>
    <t xml:space="preserve">Lehlasedi                  </t>
  </si>
  <si>
    <t>Renovations of 24 Classroom, 16 toilets, fence, electricity, water, kitchen (ex Storm Damage School)</t>
  </si>
  <si>
    <t>Mgangedwa</t>
  </si>
  <si>
    <t>Renovations of 4 Classroom, adminstration block, 1 toilets, kitchen, ramp &amp; rails, 2 sport field, car parking</t>
  </si>
  <si>
    <t>Mkhweyantaba</t>
  </si>
  <si>
    <t>Beretta</t>
  </si>
  <si>
    <t>Renovations of 3 Grade R, 23 Classrooms</t>
  </si>
  <si>
    <t>Chayiwe</t>
  </si>
  <si>
    <t>Renovations of 2 Grade R, 16 Classrooms</t>
  </si>
  <si>
    <t>Funjwa</t>
  </si>
  <si>
    <t>Renovations of 4 Grade R, 5 Classrooms</t>
  </si>
  <si>
    <t>Dayimani</t>
  </si>
  <si>
    <t>Renovations of 12 Classrooms, 12 toilets</t>
  </si>
  <si>
    <t>Nyamazane</t>
  </si>
  <si>
    <t>Renovations of 12 Classrooms</t>
  </si>
  <si>
    <t>Shiviti</t>
  </si>
  <si>
    <t>Renovations of 8 Classrooms, administration block, 12 toilets, fence</t>
  </si>
  <si>
    <t>Hobo</t>
  </si>
  <si>
    <t>H</t>
  </si>
  <si>
    <t>Renovations of 4 Classroom, laboratory,  computer centre, kitchen</t>
  </si>
  <si>
    <t>Hoyohoyo</t>
  </si>
  <si>
    <t>Renovations of laboratory,  school hall, 1 toilet</t>
  </si>
  <si>
    <t>James Khosa</t>
  </si>
  <si>
    <t>Renovations of 16 classrooms, administration block, 8 toilets</t>
  </si>
  <si>
    <t>LM Kganane</t>
  </si>
  <si>
    <t>Renovations of 4 Classroom, adminstration block, laboratory, mutli- purpose centre, 14 toilets, fence, water, kitchen, ramp &amp; rails, 2 sport field, car parking</t>
  </si>
  <si>
    <t>Makorompne</t>
  </si>
  <si>
    <t xml:space="preserve">Renovations of 10 Classroom , administration block, laboratory, library, computer centre, mutli media centre </t>
  </si>
  <si>
    <t>Nembe</t>
  </si>
  <si>
    <t>Renovations of Grade R, 4 Classroom, adminstration block, laboratory, library, mutli- purpose centre, music room, school hall, home economic, kitchen, ramp &amp; rails, 2 sport field, car parking</t>
  </si>
  <si>
    <t>Lebadishang</t>
  </si>
  <si>
    <t>Renovations of Grade R, 26 Classroom, adminstration block, laboratory, library, mutli- purpose centre, music room, 1 workshop, school hall, home economic,  12 toilets, fence, water, electricity, kitchen, ramp &amp; rails, 2 sport field, car parking</t>
  </si>
  <si>
    <t>CRDP - Planning and Design: Construction of 2 classrooms, administration block, laboratory, library, computer centre, school hall, kitchen, 28 toilets,  upgrade the electricity, ramps and rails 3 sports grounds and car park.  Renovations to 16 classrooms.</t>
  </si>
  <si>
    <t>Matlushe</t>
  </si>
  <si>
    <t>CRDP: Construction of 2 Grade R Centres, administration block, library, computer centre, 20 toilets, upgrade of electricity, ramps and rails, 3 sports grounds and car park. Renovations to 13 existing classrooms.</t>
  </si>
  <si>
    <t>Mmagobana</t>
  </si>
  <si>
    <t>C*</t>
  </si>
  <si>
    <t>Emalahleni 1</t>
  </si>
  <si>
    <t>Planing and Design: Substitution of 7 unsafe structures and construction of Grade R  Centre Centre, 4t and F, administration block, library, computer centre, kitchen, 28 toilets, 3 Sports Grounds and Car Park. Renovations of 7 classrooms.</t>
  </si>
  <si>
    <t>Mphephethe</t>
  </si>
  <si>
    <t>Planning and Design: Substitution of unsafe 14 Crms and construct a cc, kitchen, Grade R Centre, 4T and F.</t>
  </si>
  <si>
    <t>Mpisi</t>
  </si>
  <si>
    <t>Substitution of unsafe structures: of a Grade R centre, 19 classrooms, administration block, library, laboratory, computer centre, music room, multi-media centre, multi-purpose centre,  24 toilets, kitchen, ramps and rails, water,  2 sports grounds and car park.</t>
  </si>
  <si>
    <t>Njonjela</t>
  </si>
  <si>
    <t>Substitution of unsafe structures: 1 Grade R,  12 classrooms, library, laboratory, computer centre, multi-purpose centre, music room, home economics, school hall, 18 toilets, kitchen, ramps and rails, 2 sports grounds and 10 car parking</t>
  </si>
  <si>
    <t>Pungutsha</t>
  </si>
  <si>
    <t>CRDP: Planning and Design - Construction of a computer centre and renovations to 16 classrooms, administration block laboratory, library, ramps and rails and upgrading of 3 sports grounds.</t>
  </si>
  <si>
    <t>CRDP - Planning and Design: Demolition of 12 classrooms and the construction 12 classrooms, administration block, library, computer centre, school hall, kitchen, ramps and rails, 3 sports grounds and car park.</t>
  </si>
  <si>
    <t>Uthaka</t>
  </si>
  <si>
    <t>CRDP - Planning and Design: Construction of 13 classrooms,  computer centre, kitchen, 20 toilets, school hall, 3 sports grounds and car park. Fitting of shelves and counter in the library and necessary shelves and gas tubes in the laboratory.</t>
  </si>
  <si>
    <t>Vukubone</t>
  </si>
  <si>
    <t>CRDP - Planning and Design: Demolition of 15 classrooms and the construction of 15 classrooms, administration block, library, computer centre, kitchen, 36 toilets, school hall, 3 sports grounds and car park.</t>
  </si>
  <si>
    <t>Badlangaye</t>
  </si>
  <si>
    <t>Planning and Design: Replacement of condemn structures (ex Storm Damage Schools)</t>
  </si>
  <si>
    <t>Bantomu</t>
  </si>
  <si>
    <t>Bhekimfundo</t>
  </si>
  <si>
    <t>Buyisonto</t>
  </si>
  <si>
    <t>Ezrom</t>
  </si>
  <si>
    <t>Halemela</t>
  </si>
  <si>
    <t>Hlulani</t>
  </si>
  <si>
    <t>Homuzeya</t>
  </si>
  <si>
    <t>Letsamaile</t>
  </si>
  <si>
    <t>Madille</t>
  </si>
  <si>
    <t>Madukulushe</t>
  </si>
  <si>
    <t>Planning and Design: Replacement of condemn structures (ex Storm Damage Schools) and completion of 8 Enviro-Loo toilets</t>
  </si>
  <si>
    <t>Magolane</t>
  </si>
  <si>
    <t>Makhosana Manzini</t>
  </si>
  <si>
    <t>Makorompane</t>
  </si>
  <si>
    <t>Malengeza</t>
  </si>
  <si>
    <t>Mapaleni</t>
  </si>
  <si>
    <t>Mbatini</t>
  </si>
  <si>
    <t>Mkhumbini</t>
  </si>
  <si>
    <t>Morage</t>
  </si>
  <si>
    <t>Morithing</t>
  </si>
  <si>
    <t>Sebosekgolo sa mapulane</t>
  </si>
  <si>
    <t>Sihlekisi</t>
  </si>
  <si>
    <t>Tfolinhlanhla</t>
  </si>
  <si>
    <t>Dlomodlomo</t>
  </si>
  <si>
    <t>Planning and Design: Construction 9 Classrooms, Laboratory, library, computer centre, school hall,  ramps and rails, kitchen, water, 6 toilets, fence,  3 sports ground, car parking</t>
  </si>
  <si>
    <t>Letabogiye</t>
  </si>
  <si>
    <t>4  Classrroms, Adminstration, Lab, Lib, Computer Room, Multi-Media Room, Music Room, Home Economic, Technical/Workshop, Multi Purpose Center, School Hall, 12 Toilets, Fence, Electricity, Water, Kitchen, Ramp&amp;Rails, Sport Field LRG, Sport Field SML</t>
  </si>
  <si>
    <t xml:space="preserve">Ekuphakameni Primary </t>
  </si>
  <si>
    <t xml:space="preserve">Nkangala </t>
  </si>
  <si>
    <t xml:space="preserve"> CRDP. Construction of a Grade R Centre, 16 Classrooms, administration block, library, computer centre, 18 toilets, fence, electricity, water,  kitchen, 3 sports grounds and car park.</t>
  </si>
  <si>
    <t>eMalahleni 3</t>
  </si>
  <si>
    <t>eMalahleni</t>
  </si>
  <si>
    <t xml:space="preserve"> Construction of a Grade R Centre, 24 Classrooms, administration block, library, computer centre, 36 toilets, fence, electricity, water, school hall, kitchen, 3 sports grounds and car park in partnership with Eskom</t>
  </si>
  <si>
    <t xml:space="preserve">Laerskool Onverwacht </t>
  </si>
  <si>
    <t xml:space="preserve">eMalahleni </t>
  </si>
  <si>
    <t xml:space="preserve">Demolition of 14 asbestos structures and construction of 14 classrooms. Refurbishment of other existing structures. </t>
  </si>
  <si>
    <t xml:space="preserve">Mokebe Secondary </t>
  </si>
  <si>
    <t>Weltevrede</t>
  </si>
  <si>
    <t xml:space="preserve">Dr JS Moroka </t>
  </si>
  <si>
    <t xml:space="preserve"> CRDP. Demolition of existing structures and Construction of  12 Classrooms, administration block, library, computer centre, 18 toilets, fence, electricity, water, school hall, kitchen, 3 sports grounds and car park.</t>
  </si>
  <si>
    <t xml:space="preserve">Witbank High </t>
  </si>
  <si>
    <t xml:space="preserve"> </t>
  </si>
  <si>
    <t xml:space="preserve">Demolition of 6 asbestos classrooms and construction of 6 classrooms. Refurbishment and renovation  of existing 26 classrooms , 1 administration block, 5 special centres , 1 library , 1 school hall  and 45  toilets. </t>
  </si>
  <si>
    <t xml:space="preserve">J Mdaka </t>
  </si>
  <si>
    <t>eMalahleni 2</t>
  </si>
  <si>
    <t xml:space="preserve">CRDP. Construction of administration block , library ,Fence laboratory , kitchen, 3 Sports Grounds ,  Car Park and renovation of 16 classrooms.  </t>
  </si>
  <si>
    <t>Borolo  Primary School</t>
  </si>
  <si>
    <t xml:space="preserve">CRDP. Demolition of 5 classrooms and construction of 5 classrooms ,  Grade R Centre , Administration block , Kitchen , Computer Centre , Car Park , 3 Sports Grounds and renovation of 16 classrooms. </t>
  </si>
  <si>
    <t>Fakazi</t>
  </si>
  <si>
    <t>16 Classrooms, Administration block</t>
  </si>
  <si>
    <t>Numbi</t>
  </si>
  <si>
    <t>4 Classrooms</t>
  </si>
  <si>
    <t>Thanda</t>
  </si>
  <si>
    <t>Construction of 16 Classrooms, Administration block, Laboratory, Library, Computer Centre,Multi-Media Centre, Music Room, Home Economic, Technical/Workshops, Multi-Purpose Center, School Hall, Kitchen, Elelctricity,Water, 24 Toilets,Ramps &amp; Rails, Fence, 1 Sport Field SML, 1 Sport Field LRG, Parking, Guard House</t>
  </si>
  <si>
    <t>Shishila</t>
  </si>
  <si>
    <t>Sikhulile</t>
  </si>
  <si>
    <t>Administration Block</t>
  </si>
  <si>
    <t>Buyani</t>
  </si>
  <si>
    <t>Malelane</t>
  </si>
  <si>
    <t>12 Classrooms, Administration block, 20 Toilets</t>
  </si>
  <si>
    <t>Bashele Primary School</t>
  </si>
  <si>
    <t>Ermelo</t>
  </si>
  <si>
    <t>12 Classrooms, 10 Toilets,Fence, 21 REN, Guard house</t>
  </si>
  <si>
    <t>Carolina Combined</t>
  </si>
  <si>
    <t>Caroline</t>
  </si>
  <si>
    <t>1 Grade R</t>
  </si>
  <si>
    <t>Esithembisweni</t>
  </si>
  <si>
    <t>Dundonald</t>
  </si>
  <si>
    <t>Sakhisizwe Primary</t>
  </si>
  <si>
    <t>8 Classrooms, Admin Block, MP, Computer Centre,  Kitchen, Ramps &amp; Rails, 3 Sport Fields, Parking, 1 Grade R</t>
  </si>
  <si>
    <t>Violet Jiyane Secondary</t>
  </si>
  <si>
    <t>Planning and Design: Construction 12 Classrooms, Laboratory, library, computer centre, school hall,  ramps and rails, kitchen, 18 toilets, 3 sports ground, car parking</t>
  </si>
  <si>
    <t>Thuto-thebe</t>
  </si>
  <si>
    <t>Planning and Design: Construction 6 Classrooms, library, computer centre, kitchen, 4 toilets, fence, school hall, ramps &amp; rails, 3 sports ground, car parking</t>
  </si>
  <si>
    <t>Simunye</t>
  </si>
  <si>
    <t>8 Classrooms, Admin Block,10 Toilets</t>
  </si>
  <si>
    <t>Makhosonke</t>
  </si>
  <si>
    <t>Isu Elihle</t>
  </si>
  <si>
    <t>5 Classrooms, 1 Grade R Centre</t>
  </si>
  <si>
    <t>MST Academy (Witbank)</t>
  </si>
  <si>
    <t>Refurbishment to existing buildings and conversion of existing offices to 2 lecture rooms, 4 technology centre, administration offices, toilets per MST Specifications</t>
  </si>
  <si>
    <t>Pelonolo Special</t>
  </si>
  <si>
    <t>Joseph Mathebula</t>
  </si>
  <si>
    <t>CRDP: Repairs to roof structure undermined by termites and general maintenance</t>
  </si>
  <si>
    <t>Other Circuits (Mmamethlake, Nokaneng, Badplaas)</t>
  </si>
  <si>
    <t>Planning and Design: Refurbishment and Renovations</t>
  </si>
  <si>
    <t>Valencia</t>
  </si>
  <si>
    <t>Laerskool BTN</t>
  </si>
  <si>
    <t>3 Classrooms</t>
  </si>
  <si>
    <t>L/S Laeveld</t>
  </si>
  <si>
    <t>Matsulu</t>
  </si>
  <si>
    <t>16 Classrooms, Administration block, 9 Toilets</t>
  </si>
  <si>
    <t>Mbombo</t>
  </si>
  <si>
    <t>Mtfonjeni</t>
  </si>
  <si>
    <t>12 Classrooms</t>
  </si>
  <si>
    <t>Magogeni</t>
  </si>
  <si>
    <t xml:space="preserve">5 Classrooms </t>
  </si>
  <si>
    <t>Schoemansdal</t>
  </si>
  <si>
    <t>12 Classrooms, Fence</t>
  </si>
  <si>
    <t>Lundanda</t>
  </si>
  <si>
    <t>White Hazy  1</t>
  </si>
  <si>
    <t>12 Toilets</t>
  </si>
  <si>
    <t>Mambane</t>
  </si>
  <si>
    <t>5 Classrooms</t>
  </si>
  <si>
    <t>Thembeka</t>
  </si>
  <si>
    <t xml:space="preserve">23 Classrooms </t>
  </si>
  <si>
    <t>Hoyi</t>
  </si>
  <si>
    <t>Evimbilanga</t>
  </si>
  <si>
    <t>10 Classrooms, Administration block, Computer Centre, Library,  School Hall, 28 Toilets, Fence, Water, Kitchen, Ramp &amp; rail, Large Sport Field &amp; parking</t>
  </si>
  <si>
    <t>Ndlaphu</t>
  </si>
  <si>
    <t>24 Classrooms</t>
  </si>
  <si>
    <t>Sindzawonye</t>
  </si>
  <si>
    <t xml:space="preserve">4 Classrooms </t>
  </si>
  <si>
    <t xml:space="preserve">Klipspringer </t>
  </si>
  <si>
    <t>10 Classrooms, Administration block, Computer Centre, School Hall and construction of 3 classrooms</t>
  </si>
  <si>
    <t xml:space="preserve">Emjindini </t>
  </si>
  <si>
    <t xml:space="preserve">Planning and Design: Construction 4 toilets </t>
  </si>
  <si>
    <t>H/S Barberton</t>
  </si>
  <si>
    <t xml:space="preserve">Planning and Design: Construction 11 toilets, fence &amp; supply water </t>
  </si>
  <si>
    <t>Kwa-Jelusa</t>
  </si>
  <si>
    <t>Planning and Design: Construction of Kitchen</t>
  </si>
  <si>
    <t>Planning and Design: Construction 10 classrooms, Administration Block, Laboratory, library, computer centre, School hall, ramps and rails, fence, water, 28 toilets, 2 sports grounds.</t>
  </si>
  <si>
    <t>Masibonisane</t>
  </si>
  <si>
    <t>Planning and Design: Construction 12 Classroom, Administration Block, library, computer centre, School hall, ramps and rails, fence, kitchen, water, 12 toilets, 1 sport field</t>
  </si>
  <si>
    <t>Mpumelelo</t>
  </si>
  <si>
    <t>Planning and Design: Construction 7 Classroom, Administration Block, library, computer centre, School hall, ramps and rails, fence, kitchen, 20 toilets, 1 sport field</t>
  </si>
  <si>
    <t>Sabatha</t>
  </si>
  <si>
    <t>Supply water</t>
  </si>
  <si>
    <t>Amon Nkosi</t>
  </si>
  <si>
    <t>Planning and Design: Construction 8 Classroom, library, computer centre, School hall, ramps and rails, fence, water, electricty, kitchen, 24 toilets, 1 sport field</t>
  </si>
  <si>
    <t>Mayibuye</t>
  </si>
  <si>
    <t>Planning and Design: Construction 4 Classrooms</t>
  </si>
  <si>
    <t>S'bongile</t>
  </si>
  <si>
    <t>Planning and Design: Construction 1 Grade R center,  10 classrooms, Administration Block,  library, multi media centre, Multi purpose, School hall, ramps and rails, kitchen, 10 toilets, 1 sports ground, car parking</t>
  </si>
  <si>
    <t>Camalaza</t>
  </si>
  <si>
    <t>Planning and Design: Construction 12 Classrooms</t>
  </si>
  <si>
    <t>MC Zitha</t>
  </si>
  <si>
    <t>Planning and Design: Construction 1 Grade R Centre, 12 Classrooms</t>
  </si>
  <si>
    <t>Gutjwa</t>
  </si>
  <si>
    <t>Planning and Design: Construction 1 Grade R center, 8 Classrooms Administration Block,  library, computer center, multi media centre, music room</t>
  </si>
  <si>
    <t>Emtfonjeni</t>
  </si>
  <si>
    <t>Planning and Design: Construction 1 Grade R center, 12 Classrooms Administration Block,  library, computer center, multi media centre, music room</t>
  </si>
  <si>
    <t>Phola</t>
  </si>
  <si>
    <t>White Hazy  2</t>
  </si>
  <si>
    <t>Planning and Design: Construction 12 Classrooms, library, computer center, 8 toilets</t>
  </si>
  <si>
    <t>Malekutu</t>
  </si>
  <si>
    <t>Planning and Design: Construction 2 Classrooms,  Administration Block,  library, computer centre, multi media centre, music room, ramps and rails, kitchen, 10 toilets, 2 sports ground, car parking</t>
  </si>
  <si>
    <t>Hlanganani</t>
  </si>
  <si>
    <t>Planning and Design: Construction 5 Classrooms, library, computer centre, multi media centre, music room, ramps and rails, kitchen, 10 toilets, 2 sports ground, car parking</t>
  </si>
  <si>
    <t>Lwaleng</t>
  </si>
  <si>
    <t>Planning and Design: Construction 5 Classrooms, Administration block, library, computer centre,  ramps and rails, kitchen, 4 toilets, 2 sports ground, car parking</t>
  </si>
  <si>
    <t>Bhekiswayo</t>
  </si>
  <si>
    <t>Planning and Design: Construction  8 Classrooms, computer centre, multi purpose, 10 toilets, car parking</t>
  </si>
  <si>
    <t>Thula</t>
  </si>
  <si>
    <t>Planning and Design: Construction Administration block, library, computer centre, multi media centre, music room, ramps and rails, kitchen, 6 toilets, 2 sports ground, car parking</t>
  </si>
  <si>
    <t>Lowveld High</t>
  </si>
  <si>
    <t>43 Classrooms</t>
  </si>
  <si>
    <t>Ndindindi</t>
  </si>
  <si>
    <t>15 Classrooms</t>
  </si>
  <si>
    <t xml:space="preserve">Mtungwa </t>
  </si>
  <si>
    <t>22 Classrooms, Administration block, Laboratory, Library, Computer Centre</t>
  </si>
  <si>
    <t>Sidlamafa</t>
  </si>
  <si>
    <t>20 Classrooms, Administration block, Laboratory, Library, Computer Centre</t>
  </si>
  <si>
    <t>Tiphembeleni</t>
  </si>
  <si>
    <t>1 Grade R, 8 Classrooms</t>
  </si>
  <si>
    <t>20 Classrooms, 16 Toilets, Fence</t>
  </si>
  <si>
    <t>27 Classrooms</t>
  </si>
  <si>
    <t>Hoechst</t>
  </si>
  <si>
    <t>4 Grade R, 16 Classrooms, 12 Toilets, Fence</t>
  </si>
  <si>
    <t>Sihlangu</t>
  </si>
  <si>
    <t>14 Classrooms, 16 Toilets</t>
  </si>
  <si>
    <t>Vukasambe</t>
  </si>
  <si>
    <t>16 Classrooms</t>
  </si>
  <si>
    <t>22 Classrooms, Administration block</t>
  </si>
  <si>
    <t>16 Classrooms, 28 Toilets</t>
  </si>
  <si>
    <t>Khanyisani</t>
  </si>
  <si>
    <t>5 Classrooms, Electricity</t>
  </si>
  <si>
    <t>Kusile</t>
  </si>
  <si>
    <t>12 Classrooms, 12 Toilets</t>
  </si>
  <si>
    <t>Etimbondvweni</t>
  </si>
  <si>
    <t>10 Toilets</t>
  </si>
  <si>
    <t>Salubindza</t>
  </si>
  <si>
    <t>Zakheleni</t>
  </si>
  <si>
    <t>14 Classrooms, Administration block, 10 Toilets, Fence</t>
  </si>
  <si>
    <t>10Classrooms, 6 Toilets</t>
  </si>
  <si>
    <t>Enzani</t>
  </si>
  <si>
    <t>16 Classrooms, Administration block, 12 Toilets, Kitchen</t>
  </si>
  <si>
    <t>Matsamo</t>
  </si>
  <si>
    <t>17 Classrooms, Administration block</t>
  </si>
  <si>
    <t>Njeyeza</t>
  </si>
  <si>
    <t>Laboratory</t>
  </si>
  <si>
    <t xml:space="preserve">Kwadela Secondary </t>
  </si>
  <si>
    <t>Ermelo 2</t>
  </si>
  <si>
    <t>Planning and Design: Construction 9 Classrooms, Laboratory, library, computer centre, school hall,  ramps and rails, kitchen, 18 toilets, fence,  3 sports ground, car parking</t>
  </si>
  <si>
    <t>Planning and Design: Construction 1 Grade R center, 8 Classrooms, administration block, laboratory, library, school hall, kitchen, 10 toilets, fence, ramps &amp; rails, 3 sports ground</t>
  </si>
  <si>
    <t>Mpuluzi Secondary</t>
  </si>
  <si>
    <t>Planning and Design: Construction Laboratory, library, school hall, home economics, kitchen, 10 toilets, ramps &amp; rails, water, kitchen, 3 sports ground</t>
  </si>
  <si>
    <t>Tokoloho Primary</t>
  </si>
  <si>
    <t>Planning and Design: Construction 1 Grade R center, 6 Classrooms, administration block, library, computer centre, kitchen, 6 toilets, fence, kitchen, ramps &amp; rails, 2 sports ground, car parking</t>
  </si>
  <si>
    <t>Malibongwe Primary</t>
  </si>
  <si>
    <t>Planning and Design: Construction 1 Grade R center, 5 Classrooms, administration block, library, computer centre, kitchen, 10 toilets, fence, kitchen, ramps &amp; rails, 3 sports ground, car parking</t>
  </si>
  <si>
    <t>Zamokuhle Primary</t>
  </si>
  <si>
    <t>Highveldridge East</t>
  </si>
  <si>
    <t>Planning and Design: Construction 1 Grade R center, 4 Classrooms, administration block, library, laboratory, computer centre, kitchen, 12 toilets, fence, kitchen, ramps &amp; rails, 3 sports ground, car parking</t>
  </si>
  <si>
    <t>Imizamoyethu Primary</t>
  </si>
  <si>
    <t>Planning and Design: Construction 1 Grade R center, 3 Classrooms, library, computer centre, kitchen, 4 toilets, fence, kitchen, 1 sports ground, car parking</t>
  </si>
  <si>
    <t xml:space="preserve">Ithole  Primary </t>
  </si>
  <si>
    <t>Zamokuhle</t>
  </si>
  <si>
    <t>Highveldridge east</t>
  </si>
  <si>
    <t>Msinyane Secondary</t>
  </si>
  <si>
    <t>10 Classrooms</t>
  </si>
  <si>
    <t>Phaphamani Primary</t>
  </si>
  <si>
    <t>9 Classrooms</t>
  </si>
  <si>
    <t>Yellowstone</t>
  </si>
  <si>
    <t>Isifisosethu Primary</t>
  </si>
  <si>
    <t>8 Classrooms, Fence</t>
  </si>
  <si>
    <t>The Gem</t>
  </si>
  <si>
    <t>Breyten</t>
  </si>
  <si>
    <t>8 Classrooms</t>
  </si>
  <si>
    <t>Jeug krag Primary</t>
  </si>
  <si>
    <t>Staneast</t>
  </si>
  <si>
    <t>2 Classrooms</t>
  </si>
  <si>
    <t>Peter Mabuza Primary</t>
  </si>
  <si>
    <t>24 Toilets, water</t>
  </si>
  <si>
    <t>20 Toilets, water</t>
  </si>
  <si>
    <t xml:space="preserve">Sisukumile Secondary </t>
  </si>
  <si>
    <t>Mashishila</t>
  </si>
  <si>
    <t>20 Toilets</t>
  </si>
  <si>
    <t>Sakhisizwe  Primary</t>
  </si>
  <si>
    <t>Ligugu Secondary</t>
  </si>
  <si>
    <t>16 Toilets</t>
  </si>
  <si>
    <t>Cebisa Secondary</t>
  </si>
  <si>
    <t>Libhaba</t>
  </si>
  <si>
    <t xml:space="preserve">Eluyengweni Primary </t>
  </si>
  <si>
    <t>10 Toilets, water</t>
  </si>
  <si>
    <t>Salem Combined</t>
  </si>
  <si>
    <t>10 toilets</t>
  </si>
  <si>
    <t>Bhekithemba Primary</t>
  </si>
  <si>
    <t>8 Toilets</t>
  </si>
  <si>
    <t>Sibongangwane</t>
  </si>
  <si>
    <t>6 Toilets, water</t>
  </si>
  <si>
    <t>Mabombe Primary School</t>
  </si>
  <si>
    <t>1 Grade R Centre</t>
  </si>
  <si>
    <t>New Ermelo Primary</t>
  </si>
  <si>
    <t>2 Grade R Centre</t>
  </si>
  <si>
    <t>Kwachibikhulu Primary</t>
  </si>
  <si>
    <t xml:space="preserve">Breyten </t>
  </si>
  <si>
    <t xml:space="preserve">T.P Stratten </t>
  </si>
  <si>
    <t xml:space="preserve">Highveld Ridge East </t>
  </si>
  <si>
    <t xml:space="preserve">Govan Mbeki </t>
  </si>
  <si>
    <t>Phumula Primary</t>
  </si>
  <si>
    <t>Welgevond</t>
  </si>
  <si>
    <t>Thandeka Primary</t>
  </si>
  <si>
    <t>Lamlile Primary</t>
  </si>
  <si>
    <t>Vuka Primary</t>
  </si>
  <si>
    <t>SS Mshayisa Primary</t>
  </si>
  <si>
    <t xml:space="preserve">Highveld Ridge West </t>
  </si>
  <si>
    <t>Leseli Combined</t>
  </si>
  <si>
    <t>Storm Damaged Schools</t>
  </si>
  <si>
    <t>Rehabilitation of damages to 24 classrooms, 32 Toilets, Fence</t>
  </si>
  <si>
    <t>Nthoroane Secondary</t>
  </si>
  <si>
    <t>Rehabilitation of damages to 16 classrooms, 24 Toilets</t>
  </si>
  <si>
    <t>Mbalenhle Primary</t>
  </si>
  <si>
    <t>Rehabilitation of damages to 24 Toilets</t>
  </si>
  <si>
    <t>Elangwane Secondary</t>
  </si>
  <si>
    <t>Rehabilitation of damages to 22 Toilets</t>
  </si>
  <si>
    <t>Zinikeleni Secondary</t>
  </si>
  <si>
    <t>Rehabilitation of damages to 16 Toilets</t>
  </si>
  <si>
    <t>Sobhuza Primary</t>
  </si>
  <si>
    <t>Rehabilitation of damages to 5 classrooms, 15 Toilets</t>
  </si>
  <si>
    <t>Klein Vrystad Primary</t>
  </si>
  <si>
    <t xml:space="preserve">Piet-Retief </t>
  </si>
  <si>
    <t>Rehabilitation of damages to 2 classrooms, 15 Toilets</t>
  </si>
  <si>
    <t>Chief T.D Secondary School</t>
  </si>
  <si>
    <t xml:space="preserve">Mpuluzi </t>
  </si>
  <si>
    <t>Rehabilitation of damages to 12 classrooms, 10 Toilets</t>
  </si>
  <si>
    <t>Sunduza Primary</t>
  </si>
  <si>
    <t>Rehabilitation of damages to 3 classrooms, 10 Toilets</t>
  </si>
  <si>
    <t>Baadjiesbult Combined</t>
  </si>
  <si>
    <t>Rehabilitation of damages to 10 toilets</t>
  </si>
  <si>
    <t>Khuphukani Primary</t>
  </si>
  <si>
    <t>Rehabilitation of damages to 8 toilets</t>
  </si>
  <si>
    <t>Bhekimfundvo Primary</t>
  </si>
  <si>
    <t>Imisebeyelanga Primary</t>
  </si>
  <si>
    <t>Stan East</t>
  </si>
  <si>
    <t>Rehabilitation of damages to 6 toilets</t>
  </si>
  <si>
    <t>Reggie Masuku Secondary</t>
  </si>
  <si>
    <t>Fence</t>
  </si>
  <si>
    <t>Siyabonga Secondary</t>
  </si>
  <si>
    <t>Phembindlela Primary</t>
  </si>
  <si>
    <t>Dr Pixley Ka Isaka Seme</t>
  </si>
  <si>
    <t>Rev SA Nkosi Secondary</t>
  </si>
  <si>
    <t>Mkhomazi primary</t>
  </si>
  <si>
    <t>Diepgezet Primary</t>
  </si>
  <si>
    <t>Maqhwauzela Combined</t>
  </si>
  <si>
    <t>MD coovidia Combined</t>
  </si>
  <si>
    <t>Siphumelele Combined</t>
  </si>
  <si>
    <t>Electricity</t>
  </si>
  <si>
    <t>Silindzile Primary</t>
  </si>
  <si>
    <t>Buhlebuyeza Primary</t>
  </si>
  <si>
    <t>Ziwelile Primary</t>
  </si>
  <si>
    <t>Isiyalu Primary</t>
  </si>
  <si>
    <t>Fence, electricity</t>
  </si>
  <si>
    <t>Nokuthula Primary</t>
  </si>
  <si>
    <t>Basizeni Special School</t>
  </si>
  <si>
    <t>Tsandzanani Primary School</t>
  </si>
  <si>
    <t>Rehabilitation of Storm Damaged Structures. Demolishing of 18 unsafe classrooms and construction of  18 new classrooms and 20 Enviro-loo toilets.</t>
  </si>
  <si>
    <t>Panyana Primary School</t>
  </si>
  <si>
    <t>CRDP: Rehabilitation of Storm Damaged Structures. Demolishing of 12 unsafe classrooms and construction of  12 new classrooms and 22 Enviro-loo toilets.</t>
  </si>
  <si>
    <t>Replacement of damaged roof covering &amp; purlins to 4 Classrooms and Ablutions. Replacement of ceilings and servicing of damaged electricals</t>
  </si>
  <si>
    <t>RIU / DPWRT</t>
  </si>
  <si>
    <t>Dundonald Circuit Office</t>
  </si>
  <si>
    <t>Replace damaged purlins, roof covering (klip-lok) to 2 Blocks in isolated panels. Replacement of damaged ridge capping, fascia &amp; barge boards and damaged ceilings. Fixing, securing and repositioning water tank. Remedial works to ablutions.</t>
  </si>
  <si>
    <t>Replace roof structure and covering to 4 Classroom Block. Remedial works to walls and floors. Fixing, servicing and restoration of electrical fittings and cabling.</t>
  </si>
  <si>
    <t>Installation of a sub-soil/stormwater drainage system and cutting berms around affected buildings with concerete channels</t>
  </si>
  <si>
    <t xml:space="preserve">Emalahleni </t>
  </si>
  <si>
    <t>Replace part of roof structure and complete roof covering to 4 Classroom Blocks. Fix damaged rafters &amp; end purlins and ridge capping to 2 x 4 Classroom Blocks &amp; Laboratory. Remedial works to floors, walls and replacement of ceilings 4 Classsroom Block.  Fixing, servicing and restoration of electrical fittings and cabling.</t>
  </si>
  <si>
    <t>Rehabilitation of Storm Damaged Structures. (Scope of works currently being finalized)</t>
  </si>
  <si>
    <t>Maridili Primary School</t>
  </si>
  <si>
    <t>Tweefontein North</t>
  </si>
  <si>
    <t xml:space="preserve">Rehabilitation of storm damage </t>
  </si>
  <si>
    <t>Magudu Primary School</t>
  </si>
  <si>
    <t>Mosipa Secondary School</t>
  </si>
  <si>
    <t>Njonjela Primary School</t>
  </si>
  <si>
    <t xml:space="preserve">Floraphophe Primary School </t>
  </si>
  <si>
    <t>Bethamoya Primary School</t>
  </si>
  <si>
    <t>Dr Pixley ka Isaiah Seme</t>
  </si>
  <si>
    <t>Landulwazi Combined School</t>
  </si>
  <si>
    <t>Magotshwa Primary School</t>
  </si>
  <si>
    <t>Malelane Circuit Office</t>
  </si>
  <si>
    <t>Bambisana Primary School</t>
  </si>
  <si>
    <t xml:space="preserve">Delmas </t>
  </si>
  <si>
    <t>Victor Khanye (Delmas)</t>
  </si>
  <si>
    <t>Dikotelo Primary School</t>
  </si>
  <si>
    <t>Sivumelene Secondary School</t>
  </si>
  <si>
    <t>Wiltevrede</t>
  </si>
  <si>
    <t>Velangezwi Primary School</t>
  </si>
  <si>
    <t>Vezimfundo Primary School</t>
  </si>
  <si>
    <t>Mugena High School</t>
  </si>
  <si>
    <t>Planning, Demolition of existing structures and Construction of 24 Classrooms, Administration block, Library, Computer centre, School Hall, Ablutions, Fence, Upgrade Water and Electricity supply, Kitchen, Ramps + rails, 3 Sports grounds and Car park.</t>
  </si>
  <si>
    <t>CRDP: Construction of  14 Enviro-Loo toilets</t>
  </si>
  <si>
    <t>Shalamuka</t>
  </si>
  <si>
    <t>Mkhulhu</t>
  </si>
  <si>
    <t>Completion of 12 Enviro-Loo toilets</t>
  </si>
  <si>
    <t>Samson Sibuyi</t>
  </si>
  <si>
    <t>Completion of 8 Enviro-Loo toilets</t>
  </si>
  <si>
    <t>Salani</t>
  </si>
  <si>
    <t>Clare A</t>
  </si>
  <si>
    <t>Hundzukani</t>
  </si>
  <si>
    <t>CRDP: Construction of  8 Enviro-Loo toilets</t>
  </si>
  <si>
    <t>Ian Mackenzie</t>
  </si>
  <si>
    <t>CRDP: Construction of  10 Enviro-Loo toilets</t>
  </si>
  <si>
    <t>EPWP - Data Capturing</t>
  </si>
  <si>
    <t>Extended Public Works Programme (EPWP)</t>
  </si>
  <si>
    <t>Data capturing and reports for EPWP projects</t>
  </si>
  <si>
    <t>Sinethemba Secondary School</t>
  </si>
  <si>
    <t>CRDP: Construction of  1 new workshop and refurbishment of 3 workshops.</t>
  </si>
  <si>
    <t>Bonginsimbi ComprehensiveSchool</t>
  </si>
  <si>
    <t>eMalahleni 1</t>
  </si>
  <si>
    <t>Refurbishment of 4 workshops to comply with safety standards.</t>
  </si>
  <si>
    <t>Kusasalethu Secondary School</t>
  </si>
  <si>
    <t>Masizakhe Secondary School</t>
  </si>
  <si>
    <t>Construction of 2 new workshops and refurbishment of 2 workshops to comply with safety standards.</t>
  </si>
  <si>
    <t>Sophungane Combined School</t>
  </si>
  <si>
    <t>CRDP: Renovation and furnishing of science laboratory.</t>
  </si>
  <si>
    <t>Lugebhuta Secondary School</t>
  </si>
  <si>
    <t>Mjokwane Secondary School</t>
  </si>
  <si>
    <t>Thomas Nhlabathi Secondary School</t>
  </si>
  <si>
    <t>Highveld Ridge West</t>
  </si>
  <si>
    <t>Renovation and furnishing of science laboratory.</t>
  </si>
  <si>
    <t>Zinikeleni Secondary School</t>
  </si>
  <si>
    <t>Lindile Secondary School</t>
  </si>
  <si>
    <t>Bonginsimbi Comprehensive School</t>
  </si>
  <si>
    <t>Ramoshidi Secondary School</t>
  </si>
  <si>
    <t>Sofunda Secondary School</t>
  </si>
  <si>
    <t>Khamane Secondary School</t>
  </si>
  <si>
    <t>Lehlasedi High School</t>
  </si>
  <si>
    <t>Inkomazi Secondary School</t>
  </si>
  <si>
    <t>Khutsalani Secondary School</t>
  </si>
  <si>
    <t>Alpheus D Nkosi Secondary School</t>
  </si>
  <si>
    <t>Takheni Secondary School</t>
  </si>
  <si>
    <t>Highveld Secondary School</t>
  </si>
  <si>
    <t>Mmametlhake Secondary School</t>
  </si>
  <si>
    <t>Sozama Secondary School</t>
  </si>
  <si>
    <t>Allendale Secondary School</t>
  </si>
  <si>
    <t>Kwamhlanga Secondary School</t>
  </si>
  <si>
    <t>District Administration</t>
  </si>
  <si>
    <t>District Administered Maintenance</t>
  </si>
  <si>
    <t>Vulamehlo Primary</t>
  </si>
  <si>
    <t>Primary</t>
  </si>
  <si>
    <t>T/Fontein  N</t>
  </si>
  <si>
    <t xml:space="preserve"> CRDP. Demolition of 16 precast classrooms and  Construction 16 Classrooms, administration block, library, computer centre, 20 toilets, fence, electricity, water, school hall, kitchen, 3 sports grounds and car park.</t>
  </si>
  <si>
    <t>Bonginhlanhla Primary</t>
  </si>
  <si>
    <t>Demolition of 24 asbestos structures and Construction of a Grade R Centre, 18 Classrooms, administration block, library, computer centre, 36 toilets, fence, electricity, water, school hall, kitchen, 3 sports grounds and car park.</t>
  </si>
  <si>
    <t xml:space="preserve">Mphephethe Primary </t>
  </si>
  <si>
    <t xml:space="preserve">Primary </t>
  </si>
  <si>
    <t>Steve Tshwete 2</t>
  </si>
  <si>
    <t xml:space="preserve">Steve Tshwete </t>
  </si>
  <si>
    <t xml:space="preserve">Demolition of 17 asbestos structures and construction of 14 classrooms , Grade R Centre  kitchen , library , computer centre , 12 toilets , car park and 3 sports grounds. </t>
  </si>
  <si>
    <t xml:space="preserve">HTS Middelburg </t>
  </si>
  <si>
    <t xml:space="preserve">Secondary </t>
  </si>
  <si>
    <t>Steve Tshwete 1</t>
  </si>
  <si>
    <t xml:space="preserve">Replacement of 7 asbestos structures and construction of 6 classrooms. </t>
  </si>
  <si>
    <t xml:space="preserve">Thushanang Primary </t>
  </si>
  <si>
    <t>Steve Tshwete 3</t>
  </si>
  <si>
    <t xml:space="preserve">Demolition of existing asbestos structures and construction of  1 Grade R Centre, kitchen , fence, library , car park and 3 sports grounds. </t>
  </si>
  <si>
    <t xml:space="preserve">Laeskool Delmas </t>
  </si>
  <si>
    <t xml:space="preserve">Victor Khanye </t>
  </si>
  <si>
    <t xml:space="preserve">Demolotion of 8 asbestos structures and construction of 8 classrooms. </t>
  </si>
  <si>
    <t xml:space="preserve">Mmadimo Primary </t>
  </si>
  <si>
    <t xml:space="preserve"> CRDP. Construction of a Grade R Centre, 12 Classrooms, administration block, library, computer centre, 18 toilets, fence, electricity, water,  kitchen, 3 sports grounds and car park.</t>
  </si>
  <si>
    <t xml:space="preserve">Makhosoke Primary </t>
  </si>
  <si>
    <t xml:space="preserve">Libangeni </t>
  </si>
  <si>
    <t xml:space="preserve"> CRDP. Demolition of 12 delapidated classrooms and 12 Classrooms, administration block, library, computer centre, 18 toilets, fence, electricity, water, school hall, kitchen, 3 sports grounds and car park.</t>
  </si>
  <si>
    <t xml:space="preserve">Laerskool Ellof </t>
  </si>
  <si>
    <t xml:space="preserve">Demolition of  5 asbestos classrooms , Construction of 5 classrooms ,  Grade R Centre , administration block ,  completion of an existing School Hall and refurbishment of &amp; renovation of 13 classrooms. </t>
  </si>
  <si>
    <t>Benzangani Primary</t>
  </si>
  <si>
    <t xml:space="preserve">Tweefontein  South </t>
  </si>
  <si>
    <t xml:space="preserve"> CRDP. Construction of a Grade R Centre, 12 Classrooms, administration block, library, computer centre, 18 toilets, fence, electricity, water, school hall, kitchen, 3 sports grounds and car park.</t>
  </si>
  <si>
    <t xml:space="preserve">Laerskool Klipfontein </t>
  </si>
  <si>
    <t xml:space="preserve">Demolition of 10 asbestos classrooms , 1 laboratory  and construction of 10 classrooms and laboratory . Refurbishment of other existing structures. </t>
  </si>
  <si>
    <t xml:space="preserve">Laerskool Kragbron </t>
  </si>
  <si>
    <t xml:space="preserve">Replacement of 12 asbestos classrooms and construction 8 classrooms. </t>
  </si>
  <si>
    <t xml:space="preserve">Tjhidelani Primary </t>
  </si>
  <si>
    <t>KwaMhlanga S/W</t>
  </si>
  <si>
    <t xml:space="preserve">Construction of Grade R Centre ,  library ,kitchen, demolition of 18 asbestos toilets and construction of 24 toilets. </t>
  </si>
  <si>
    <t>Robert Carruthers</t>
  </si>
  <si>
    <t>Replacement of 5 asbestos classrooms and construction of 5 classrooms. Refurbishment and rehabilitation of 36 classrooms , 1 administration , 1 library , 1 laboratory , 3 computer centres</t>
  </si>
  <si>
    <t xml:space="preserve">Laerskool Krielpark </t>
  </si>
  <si>
    <t xml:space="preserve">Demolition of 2 asbestos classrooms and construction of 2 classrooms. Refurbishment and renovation  of existing 21 classrooms , 1 administration block, 2 special centres , 1 library , 1 lab  and 49  toilets. </t>
  </si>
  <si>
    <t>Laerskool Balmoral</t>
  </si>
  <si>
    <t xml:space="preserve">Demolition of 3 asbestos classrooms , 1 school hall and construction of 3 classrooms and 1 school hall. Refurbishment and renovation  of existing facilities. </t>
  </si>
  <si>
    <t>Buhlebemfundo Primary School</t>
  </si>
  <si>
    <t xml:space="preserve">Kwaggafontein West </t>
  </si>
  <si>
    <t xml:space="preserve">Thembisile Hani </t>
  </si>
  <si>
    <t xml:space="preserve">Mabothe Secondary </t>
  </si>
  <si>
    <t xml:space="preserve">Mmametlhake </t>
  </si>
  <si>
    <t xml:space="preserve">Construction of 5 additional classrooms , 10 toilets, kitchen and renovation of existing structures. </t>
  </si>
  <si>
    <t xml:space="preserve">Siphumule Primary </t>
  </si>
  <si>
    <t>KwaMhlanga N/E</t>
  </si>
  <si>
    <t xml:space="preserve">Construction of 5 classrooms , Grade R Centre  administration block , library , kitchen, School Hall ,  fence , 12 toilets , 2 Sports Grounds , Car Park and renovation of  classrooms.  </t>
  </si>
  <si>
    <t xml:space="preserve">Somabedlana Primary </t>
  </si>
  <si>
    <t xml:space="preserve">Nokaneng </t>
  </si>
  <si>
    <t xml:space="preserve">Construction of 20 classrooms , administration block , Library , Grade R Centre , 12 toilets , Fence , Kitchen , 3 Sports Grounds and  Car Park. </t>
  </si>
  <si>
    <t xml:space="preserve">Mkhulu Combined </t>
  </si>
  <si>
    <t>Middelburg 3</t>
  </si>
  <si>
    <t xml:space="preserve">Construction of 5 classrooms , Grade R Centre  administration block , library , kitchen, fence , 12 toilets , 2 Sports Grounds , Car Park and renovation of  classrooms.  </t>
  </si>
  <si>
    <t xml:space="preserve">Sikhulisiwe Primary </t>
  </si>
  <si>
    <t xml:space="preserve">Tweefontein South  </t>
  </si>
  <si>
    <t xml:space="preserve">CRDP. Construction of 6 Classrooms  , administration block ,  library , kitchen ,  laboratory  fence and 12 ablution facilities. Renovation and refurbishment of  16 existing classrooms. </t>
  </si>
  <si>
    <t xml:space="preserve">Entokozweni Secondary </t>
  </si>
  <si>
    <t xml:space="preserve">Construction of 8 classrooms , Life Science Laboratory , Kitchen , Library , 12 toilets , 3 Sports Grounds and palisade fence. </t>
  </si>
  <si>
    <t xml:space="preserve">Sithenjisiwe Secondary </t>
  </si>
  <si>
    <t xml:space="preserve">Marapyane </t>
  </si>
  <si>
    <t xml:space="preserve">CRDP. Construction of administration block , library, Fence laboratory , kitchen, 3 Sports Grounds ,  Car Park and renovation of 16 classrooms.  </t>
  </si>
  <si>
    <t xml:space="preserve">Masobye Primary </t>
  </si>
  <si>
    <t>CRDP . Construction of administration block , library , Computer Centre ,  kitchen and Grade R Centre , 2 Sports Grounds ,Car Park.</t>
  </si>
  <si>
    <t xml:space="preserve">Sukumani </t>
  </si>
  <si>
    <t xml:space="preserve"> Construction of administration block , library , Computer Centre ,  kitchen and Grade R Centre , 2 Sports Grounds ,Car Park.</t>
  </si>
  <si>
    <t xml:space="preserve">Matempule Primary </t>
  </si>
  <si>
    <t xml:space="preserve">CRDP.Construction of Grade R Centre , Administration block , Kitchen , Computer Centre , Car Park , 3 Sports Grounds and renovation of 16 classrooms. </t>
  </si>
  <si>
    <t xml:space="preserve">Sobantu Secondary </t>
  </si>
  <si>
    <t xml:space="preserve">CRDP.Completion of   Administration block  construnction of  Kitchen , Computer Centre , Car Park , 3 Sports Grounds and renovation of 16 classrooms. </t>
  </si>
  <si>
    <t xml:space="preserve">Ndayi Primary </t>
  </si>
  <si>
    <t xml:space="preserve">KwaMhlanga North East </t>
  </si>
  <si>
    <t xml:space="preserve">CRDP. Construction of Grade R Centre , library , kitchen ,  fence and 12 ablution facilities. Renovation and refurbishment of  16 existing classrooms and 1 administration block. </t>
  </si>
  <si>
    <t xml:space="preserve">Hlalakahle Secondary </t>
  </si>
  <si>
    <t xml:space="preserve">Ziphakamiseni  Secondary </t>
  </si>
  <si>
    <t xml:space="preserve">CRDP. Construction of 12 additional classrooms  , library ,Fence laboratory , kitchen, ramp &amp; rails , water , electricity ,  3 Sports Grounds ,  Car Park and renovation of 15 classrooms.  </t>
  </si>
  <si>
    <t xml:space="preserve">Phumzile Secondary </t>
  </si>
  <si>
    <t xml:space="preserve">Tweefoontein North </t>
  </si>
  <si>
    <t xml:space="preserve">Sibongimpumelelo Primary </t>
  </si>
  <si>
    <t xml:space="preserve">LD Moetanalo Secondary </t>
  </si>
  <si>
    <t xml:space="preserve">Construction of 8 classrooms , Life Science Laboratory , Kitchen , Library , 12 toilets , fence, 3 Sports Grounds and palisade fence. </t>
  </si>
  <si>
    <t xml:space="preserve">Sothembani Primary </t>
  </si>
  <si>
    <t xml:space="preserve">Demolition of 5 unsafe classrooms , Construction of 5 classrooms , administration block, library , laboratory , kitchen , fence , 12 ablution facilities, car park and 2 sports grounds . Renovation of 8 classrooms. </t>
  </si>
  <si>
    <t xml:space="preserve">Zakheni Secondary </t>
  </si>
  <si>
    <t>kwaMhlanga S/W</t>
  </si>
  <si>
    <t xml:space="preserve">Construction of administration block , library , kitchen , 12 toilets  , 2 Sports Grounds  and Car Park. Renovation of existing 16  classrooms. </t>
  </si>
  <si>
    <t xml:space="preserve">Vukuzame Secondary </t>
  </si>
  <si>
    <t xml:space="preserve">Tweefontein North </t>
  </si>
  <si>
    <t xml:space="preserve">Construction of 3 additional classrooms ,  1 administration block , 1 library , kitchen , School hall ,  3 sports grounds and car park. Renovation of existing 16 classrooms , computer cenre and laboratory.  </t>
  </si>
  <si>
    <t xml:space="preserve">Ramodiegi Primary </t>
  </si>
  <si>
    <t xml:space="preserve">Construction of administration block , library ,computer centre  Grade R Centre , fence and 12 ablution facilities.Refurbishment and renovation of 7 existing classrooms.  </t>
  </si>
  <si>
    <t xml:space="preserve">Makerana Primary </t>
  </si>
  <si>
    <t xml:space="preserve">Construction of administration block , library , Kitchen , Computer Centre ,  Grade R Centre , fence and 12 ablution facilities.Refurbishment and renovation of 16 classrooms.  </t>
  </si>
  <si>
    <t xml:space="preserve">Poolzee Combined </t>
  </si>
  <si>
    <t xml:space="preserve">Construction of 5 Classrooms , administration block , laboratory, library, Kitchen, Fence, Car park and 2 Sports Grounds and refurbishment of 13 classrooms.   </t>
  </si>
  <si>
    <t xml:space="preserve">Sizamakwethu Primary </t>
  </si>
  <si>
    <t xml:space="preserve">CRDP. Construction of administration block  , library , computer centre ,  kitchen ,  fence and 12 ablution facilities. Renovation and refurbishment of  16 existing classrooms . </t>
  </si>
  <si>
    <t xml:space="preserve">Zidobhele Secondary </t>
  </si>
  <si>
    <t xml:space="preserve">Construction of 4 classrooms , 1 administration block , library , laboratory , computer centre , School Hall ,  kitchen , 1 fence , 12 toilets , car park and 2 sports grounds. </t>
  </si>
  <si>
    <t xml:space="preserve">Musi Primary </t>
  </si>
  <si>
    <t xml:space="preserve">Construction of Grade R facilities, library , Kithchen , Computer Centre , Fence , ramp &amp; rails  . </t>
  </si>
  <si>
    <t xml:space="preserve">Andries Mashile Primary </t>
  </si>
  <si>
    <t xml:space="preserve">Construction of 3 classrooms , 1 administration block , library , kitchen , 1 fence , 12 toilets , car park and 2 sports grounds. </t>
  </si>
  <si>
    <t xml:space="preserve">Mafa Max Motloung </t>
  </si>
  <si>
    <t xml:space="preserve">Construction of 3 classrooms , laboratory  , library , kitchen , 1 fence , 12 toilets , car park and 2 sports grounds. </t>
  </si>
  <si>
    <t xml:space="preserve">Nkosiphile Primary </t>
  </si>
  <si>
    <t xml:space="preserve">Demolition of 5 unsafe classrooms , Construction of 5 classrooms , administration block , kitchen , fence , 12 ablution facilities, car park and 2 sports grounds . Renovation of 8 classrooms. </t>
  </si>
  <si>
    <t xml:space="preserve">Somlingo Primary </t>
  </si>
  <si>
    <t xml:space="preserve">CRDP. Construction of  a  library , kitchen ,  fence and 12 ablution facilities. Renovation and refurbishment of  16 existing classrooms and 1 administration block. </t>
  </si>
  <si>
    <t xml:space="preserve">Hlonipha Secondary </t>
  </si>
  <si>
    <t>Construction of 4 additional  classrooms ,  library , kitchen , computer centre  1 fence , 12 toilets , car park and 3 sports grounds. Renovation and refurbishment of 16 existing classrooms , 1 administration block and laboratory.</t>
  </si>
  <si>
    <t xml:space="preserve">Somtshongweni Primary </t>
  </si>
  <si>
    <t xml:space="preserve"> Construction of Grade R Centre , administration block ,  library , kitchen ,  fence , ablution facilities  and  renovation and refurbishment of  16  existing classrooms. </t>
  </si>
  <si>
    <t xml:space="preserve">Mpilonhle Primary </t>
  </si>
  <si>
    <t xml:space="preserve">Emakhazeni </t>
  </si>
  <si>
    <t xml:space="preserve">eMakhazeni </t>
  </si>
  <si>
    <t xml:space="preserve"> Construction of Grade R Centre , administration block ,  library , kitchen ,  fence . Renovation and refurbishment of  20 existing classrooms and 24 existing ablution facilities . </t>
  </si>
  <si>
    <t xml:space="preserve">Mapule Sindane </t>
  </si>
  <si>
    <t xml:space="preserve">Construction of a kitchen, fence. Renovation and refurbishment of 23 existing classrooms and 18 existing ablution facilities. </t>
  </si>
  <si>
    <t xml:space="preserve">Siyathokoza Primary </t>
  </si>
  <si>
    <t xml:space="preserve"> Construction of Grade R Centre  , 3 classrooms ,  library , kitchen ,  16 toilets  . Renovation and refurbishment of  20 existing classrooms and 24 existing ablution facilities . </t>
  </si>
  <si>
    <t>Lehlaka Combined</t>
  </si>
  <si>
    <t>Combined</t>
  </si>
  <si>
    <t xml:space="preserve">Renovations of  16 classrooms , library , laboratory and computer centre. Construction of kitchen , fence , car park and 3 sports grounds.  </t>
  </si>
  <si>
    <t xml:space="preserve">Nyabela Primary </t>
  </si>
  <si>
    <t xml:space="preserve">Kwagga West </t>
  </si>
  <si>
    <t xml:space="preserve">CRDP. Renovations of  16 classrooms, Administration Block, and Construction of 12 toilets , 2 sports grounds , fence and Car Park . </t>
  </si>
  <si>
    <t xml:space="preserve">Duduzile Secondary </t>
  </si>
  <si>
    <t xml:space="preserve"> Siyabuswa</t>
  </si>
  <si>
    <t xml:space="preserve">Refurbishment of existing 16  classrooms ,  administration block , Laboratory ,  Library , 1 School Hall ,  and Construction of     kitchen , 12 ablution facilities  fence  , Car Park and 2 Sports grounds. </t>
  </si>
  <si>
    <t>Botleng Secondary School</t>
  </si>
  <si>
    <t xml:space="preserve">Refurbishment of existing 33 classrooms ,  1 administration block , Library , 4 laboratories , 1 Computer Centre  , 9 ablution blocks  and Construction of  kitchen  , School Hall  and 2 Sports grounds. </t>
  </si>
  <si>
    <t xml:space="preserve">Sibukosethu Primary </t>
  </si>
  <si>
    <t xml:space="preserve">Refurbishment of existing 25  classrooms ,  administration block , Library , 1 School Hall , 35 toilets and Construction of   Grade R Centre  kitchen , fence  , Car Park and 2 Sports grounds. </t>
  </si>
  <si>
    <t xml:space="preserve">Zithuthukiseni Primary </t>
  </si>
  <si>
    <t>CRDP. Renovation of existing  16 classrooms , administration block ,  construction of library  , library , Kitchen ,  2 sports grounds , car park and fence.</t>
  </si>
  <si>
    <t xml:space="preserve">Ebhudlweni </t>
  </si>
  <si>
    <t xml:space="preserve">Renovations of  35  classrooms , administration block, library  and 17 toilets.  Construction of kitchen , computer centre  fence , car park and 3 sports grounds.  </t>
  </si>
  <si>
    <t xml:space="preserve">Mmutle Primary </t>
  </si>
  <si>
    <t>CRDP. Renovation of 10 classrooms ,  and construction of administration block ,  library , kitchen , 12 ablution facilities ,  2 sports grounds , car park and fence.</t>
  </si>
  <si>
    <t xml:space="preserve">Siphendulwe Primary </t>
  </si>
  <si>
    <t xml:space="preserve">Construction of administration block , kitchen , library ,   2 sports grounds , car park and renovation of 24 classrooms. </t>
  </si>
  <si>
    <t xml:space="preserve">Dumeleni Secondary </t>
  </si>
  <si>
    <t>CRDP. Renovation of 16 classrooms , administration block , toilets , laboratory and construction of library , 2 sports grounds , car park and fence.</t>
  </si>
  <si>
    <t xml:space="preserve">P Ndimande Secondary </t>
  </si>
  <si>
    <t xml:space="preserve">Renovation and refurbishment of existing  classrooms ,  administration block , library , laboratory   ablution facilities. </t>
  </si>
  <si>
    <t xml:space="preserve">Itireleng Primary </t>
  </si>
  <si>
    <t xml:space="preserve">Refurbishment and renovation of 18 classrooms , 1 administration block , fence , 22 ablution facilities and construction of library , kitchen , car park and 2 sports grounds. </t>
  </si>
  <si>
    <t xml:space="preserve">Nancy Shiba </t>
  </si>
  <si>
    <t xml:space="preserve">Refurbishment and renovation of 23 classrooms , 1 administration block , fence ,   18 ablution facilities and construction  of  kitchen , 2 sports grounds and car park.   </t>
  </si>
  <si>
    <t xml:space="preserve">Zidli Primary </t>
  </si>
  <si>
    <t>Tsiki Naledi Secondary</t>
  </si>
  <si>
    <t xml:space="preserve">Refurbishment and renovation of 16 classrooms , 1 administration block , fence , sports facilities ,  18 ablution facilities and construction  of  kitchen  </t>
  </si>
  <si>
    <t xml:space="preserve">Ukhwezi Primary </t>
  </si>
  <si>
    <t xml:space="preserve">Refurbishment and renovation of 30  classrooms , 1 administration block , fence , 22 ablution facilities and construction of Grade R Centre ,  library , kitchen , car park and 2 sports grounds. </t>
  </si>
  <si>
    <t xml:space="preserve">Gugulethu Primary </t>
  </si>
  <si>
    <t>Tweefontein S</t>
  </si>
  <si>
    <t>CRDP. Renovation of 16 classrooms , administration block  and construction of library , 12 toilets ,  2 sports grounds , car park and fence.</t>
  </si>
  <si>
    <t xml:space="preserve">Njomane Primary </t>
  </si>
  <si>
    <t>CRDP. Renovation of 16 classrooms , construction of administration block , toilets ,  Grade R Centre ,  library , 2 sports grounds , car park and fence.</t>
  </si>
  <si>
    <t xml:space="preserve">Dikotelo Primary </t>
  </si>
  <si>
    <t xml:space="preserve">CRDP. Renovation of 15 classroom, 1 administration block. Construction of kitchen, library , Computer Centre , 2 Sports Grounds , Car Park and  Fence </t>
  </si>
  <si>
    <t>Khonzimfundo C</t>
  </si>
  <si>
    <t xml:space="preserve">Refurbishment of existing 24 classrooms, 1 administration block , 1 library , 1 kitchen , 1 school hall and 24 toilets.  </t>
  </si>
  <si>
    <t>Mandlethu Secondary</t>
  </si>
  <si>
    <t>Tweefontein N</t>
  </si>
  <si>
    <t xml:space="preserve">Refurbishment of existing 16 classrooms, 1 administration block , 1 library , 1 laboratory  12 toilets.  </t>
  </si>
  <si>
    <t xml:space="preserve">Hoerskool Delmas </t>
  </si>
  <si>
    <t xml:space="preserve">Refurbishment of existing 17 classrooms, 1 administration block , 1 library , 1 kitchen , 2 computer centres , 4 laboratories , 1 school hall and existing   toilets.  </t>
  </si>
  <si>
    <t xml:space="preserve">Hoerskool Kanonkop </t>
  </si>
  <si>
    <t>Steve Tswete 3</t>
  </si>
  <si>
    <t xml:space="preserve">Thulani Primary </t>
  </si>
  <si>
    <t xml:space="preserve">Refurbishment of existing 16  classrooms , . Construction of administration block , Library , Computer Centre  Grade R Centre  kitchen , fence  , Car Park and 2 Sports grounds. </t>
  </si>
  <si>
    <t xml:space="preserve">Khamane Secondary </t>
  </si>
  <si>
    <t xml:space="preserve">Refurbishment of existing 24   classroom ,  administration block , Library , Computer Centre    , fence  ,  and construction of kitchen , Car Park and 2 Sports grounds. </t>
  </si>
  <si>
    <t>Sibisi Primary</t>
  </si>
  <si>
    <t xml:space="preserve">Renovation and refurbishment of 10 classrooms , construction of Grade R Centre , administration block ,  10 ablution facilities, fence and computer centre. </t>
  </si>
  <si>
    <t xml:space="preserve">Mabande Secondary </t>
  </si>
  <si>
    <t xml:space="preserve">Refurbishment of existing 32   classroom ,  administration block , Library , Computer Centre    , fence  ,  technical centres  and construction of kitchen , Car Park and 2 Sports grounds. </t>
  </si>
  <si>
    <t xml:space="preserve">Imemeza Secondary </t>
  </si>
  <si>
    <t xml:space="preserve">Refurbishment of existing 20   classroom , administration block, Library, fence, and construction of kitchen , Car Park and 2 Sports grounds. </t>
  </si>
  <si>
    <t>Ext 24 Primary School ( New)</t>
  </si>
  <si>
    <t xml:space="preserve"> Construction of a Grade R Centre, 24 Classrooms, administration block, library, computer centre, 36 toilets, fence, electricity, water, school hall, kitchen, 3 sports grounds and car park.</t>
  </si>
  <si>
    <t xml:space="preserve">Mountainview Primary ( New School) </t>
  </si>
  <si>
    <t>Construction of a Grade R Centre, 24 Classrooms, administration block, library, computer centre, 36 toilets, fence, electricity, water, school hall, kitchen, 3 sports grounds and car park.</t>
  </si>
  <si>
    <t xml:space="preserve">Kwaguqa New Primary </t>
  </si>
  <si>
    <t>EMalahleni 3</t>
  </si>
  <si>
    <t>De Beersprut ( New School)</t>
  </si>
  <si>
    <t>Construction of  16 Classrooms, administration block, library, computer centre, 26 toilets, fence, electricity, water, school hall, kitchen, 3 sports grounds and car park.</t>
  </si>
  <si>
    <t xml:space="preserve">New Primary (Sheldon ) </t>
  </si>
  <si>
    <t>Langa</t>
  </si>
  <si>
    <t>Planning and Design: Construction of 16 Classrooms, administration block, laboratory, library, computer centre, 20 toilets, School Hall, Electricity, Water, Ramps and Rails, 2 Sports Grounds &amp; Car Park.</t>
  </si>
  <si>
    <t>Shabalala</t>
  </si>
  <si>
    <t>Planning and Design: Construction of 20 Classrooms, administration block, laboratory, library, computer centre, 30 toilets, School Hall, Elelctricity, Water, Ramps and Rails, 2 Sports Grounds &amp; Car Park.</t>
  </si>
  <si>
    <t>Volksrust Primary School</t>
  </si>
  <si>
    <t>Planning and Design: Construction of Grade R Centre,  24 Classrooms, Administration block, library, computer centre, 30 Toilets, Kitchen, ramps + rails, 3 Sports Grounds and Car Park. (PHASE 2)</t>
  </si>
  <si>
    <t>New Daggakraal Primary</t>
  </si>
  <si>
    <t>Planning and Design: Construction of Grade R Centre,  24 Classrooms, Administration block, library, computer centre, 30 Toilets, Fence, Electricity, Water, Kitchen, ramps + rails, 3 Sports Grounds and Car Park.</t>
  </si>
  <si>
    <t>New Primary(Hlanganani)</t>
  </si>
  <si>
    <t xml:space="preserve">New Secondary School </t>
  </si>
  <si>
    <t>Planning and Design: Construction of 28 Classrooms, Administration block, laboratory, library, computer centre, School Hall, 30 Toilets, Fence, Electricity, Water, Kitchen, ramps + rails, 3 Sports Grounds and Car Park.</t>
  </si>
  <si>
    <t>ThusiVille Primary</t>
  </si>
  <si>
    <t>Ermelo1</t>
  </si>
  <si>
    <t>Planning and Design: Construction of Grade R Centre,  24 Classrooms, Administration block, laboratory, library, computer centre, 30 Toilets, Fence, Electricity, Water, Kitchen, ramps + rails, 3 Sports Grounds and Car Park.</t>
  </si>
  <si>
    <t>Complied:</t>
  </si>
  <si>
    <t>Ms NN Ntuli</t>
  </si>
  <si>
    <t>Department of Education - PRFP - Deputy Director</t>
  </si>
  <si>
    <t>GRAND TOTAL</t>
  </si>
  <si>
    <t>Substitution of Unsafe Structures</t>
  </si>
  <si>
    <t>Grade R Schools</t>
  </si>
  <si>
    <t>BUDGET</t>
  </si>
  <si>
    <t>2015/16</t>
  </si>
  <si>
    <t>2016/17</t>
  </si>
  <si>
    <t>2017/18</t>
  </si>
  <si>
    <t>EIG</t>
  </si>
  <si>
    <t>ES</t>
  </si>
  <si>
    <t>Dinaledi &amp; TSSR</t>
  </si>
  <si>
    <t>No.</t>
  </si>
  <si>
    <t>MTEF ESTIMATE 2014 / 2015</t>
  </si>
  <si>
    <t>Recommended / Not Recommended:</t>
  </si>
  <si>
    <t>Ms KR Morena</t>
  </si>
  <si>
    <t>Approved / Not Approved:</t>
  </si>
  <si>
    <t>Mrs MOC Mhlabane</t>
  </si>
  <si>
    <r>
      <rPr>
        <b/>
        <sz val="8"/>
        <color indexed="49"/>
        <rFont val="Arial"/>
        <family val="2"/>
      </rPr>
      <t>Project Count /</t>
    </r>
    <r>
      <rPr>
        <b/>
        <sz val="8"/>
        <color indexed="10"/>
        <rFont val="Arial"/>
        <family val="2"/>
      </rPr>
      <t xml:space="preserve"> Sub-Total</t>
    </r>
  </si>
  <si>
    <t>Project Name</t>
  </si>
  <si>
    <t>Project Description</t>
  </si>
  <si>
    <t>Circuit</t>
  </si>
  <si>
    <t>Project Classification</t>
  </si>
  <si>
    <t>Commitment Category</t>
  </si>
  <si>
    <t>Project Cost ( R )</t>
  </si>
  <si>
    <t>Implementing Agent</t>
  </si>
  <si>
    <t>Local 
Municipality</t>
  </si>
  <si>
    <t>State of 
Readiness</t>
  </si>
  <si>
    <t>Budget Allocation 2015 / 2016 
( R )</t>
  </si>
  <si>
    <t>MTEF 
2016 / 2017
( R )</t>
  </si>
  <si>
    <t>MTEF
 2017 / 2018 
( R )</t>
  </si>
  <si>
    <t>Infrastructure 
Type</t>
  </si>
  <si>
    <t>Planning / construction</t>
  </si>
  <si>
    <t>Final account</t>
  </si>
  <si>
    <t>Education Infrastructure Projects 2015/16  Financial Year</t>
  </si>
  <si>
    <t>MTEF 2016/17
R'000</t>
  </si>
  <si>
    <t>Remarks</t>
  </si>
  <si>
    <t>Emthonjeni Library</t>
  </si>
  <si>
    <t>Construction of new library</t>
  </si>
  <si>
    <t>Implementation and retention</t>
  </si>
  <si>
    <t>Emjindini Library</t>
  </si>
  <si>
    <t>Acornhoek Library</t>
  </si>
  <si>
    <t>Planning phase and implementation</t>
  </si>
  <si>
    <t>Planning phase, implementation and retention</t>
  </si>
  <si>
    <t>Boekenhout Library</t>
  </si>
  <si>
    <t>Balfour Library</t>
  </si>
  <si>
    <t>Cultural Hub</t>
  </si>
  <si>
    <t>Construction of a multi-cultural and recreational hub</t>
  </si>
  <si>
    <t>Construction of a modern and advance sporting and recreation center</t>
  </si>
  <si>
    <t>Sport and Recreation Combo Courts</t>
  </si>
  <si>
    <t>Planned Status for the 2015/16 Financial Year</t>
  </si>
  <si>
    <t>Budget Allocation 2015/16
(R'000)</t>
  </si>
  <si>
    <t>Culture, Sport and Recreation Infrastructure Projects 2015/16 Financial Year</t>
  </si>
  <si>
    <t>TBC</t>
  </si>
  <si>
    <t>MRTT &amp; GS COLLEGE</t>
  </si>
  <si>
    <t>Term contractors</t>
  </si>
  <si>
    <t>MVULA TRUST</t>
  </si>
  <si>
    <t>Determine  contracting strategy prefarably RIU</t>
  </si>
  <si>
    <t>Planning  / Construction</t>
  </si>
  <si>
    <t>RIU</t>
  </si>
  <si>
    <t>Planning phase, implementation and retention implementation</t>
  </si>
  <si>
    <t>Pieterskraal</t>
  </si>
  <si>
    <t>Manzana</t>
  </si>
  <si>
    <t>Chief Albert Luthuli</t>
  </si>
  <si>
    <t>Kamhlushwa</t>
  </si>
  <si>
    <t>The project should resume construction of phase I  and more budget will be needed</t>
  </si>
  <si>
    <t>High Altitude Training Centre</t>
  </si>
  <si>
    <t>The budget for the High Altitude Training Centre has been combined with Cultural Hub as per EXCO resolution of June 2014</t>
  </si>
  <si>
    <t>Heritage Infrastructure</t>
  </si>
  <si>
    <t>Establishment of a Liberation struggle Museum/Interpretive center</t>
  </si>
  <si>
    <t>The project will be at plenary stage to determine budgets that will be needed in the upcoming year  2016</t>
  </si>
  <si>
    <t>Establishment and unveiling of the Lowveld memorial</t>
  </si>
  <si>
    <t xml:space="preserve">Mbombela </t>
  </si>
  <si>
    <t>The project will be at plenary stage to determine budgets that will be needed in the upcoming year 2017</t>
  </si>
  <si>
    <t>Sport Infrastructure</t>
  </si>
  <si>
    <t>Albert Luthuli x 2</t>
  </si>
  <si>
    <t>Bushbuckridge x1</t>
  </si>
  <si>
    <t xml:space="preserve">3 Sport combo courts will be established per annum </t>
  </si>
  <si>
    <t>Dr JS Moroka x 2</t>
  </si>
  <si>
    <t>Dipaleseng x 2</t>
  </si>
  <si>
    <t>Thembisile Hani x 1</t>
  </si>
  <si>
    <t>MTEF 2017/18
R'000</t>
  </si>
  <si>
    <t>Glenmore / Dundonold Library</t>
  </si>
  <si>
    <t>Thusivill dual purpose Library</t>
  </si>
  <si>
    <t>New &amp; replacement</t>
  </si>
  <si>
    <t>Conditional Grant</t>
  </si>
  <si>
    <t>Total: Social Development Infrastructure</t>
  </si>
  <si>
    <t>TOTAL: Health Infrastructure</t>
  </si>
  <si>
    <t>Mashishing Library</t>
  </si>
  <si>
    <t>Bushbuckridge dual purpose Library</t>
  </si>
  <si>
    <t>Community, Security, Safety and Liaison Infrastructure Projects 2015/16 Financial Year</t>
  </si>
  <si>
    <t>Construction of perimeter concrete palisade fencing</t>
  </si>
  <si>
    <t>Mpumalanga Traffic College (Phase 2B)</t>
  </si>
  <si>
    <t>Construction of main building works</t>
  </si>
  <si>
    <t>Mpumalanga Traffic College (Phase 2C)</t>
  </si>
  <si>
    <t>Construction of civil works</t>
  </si>
  <si>
    <t>Mpumalanga Traffic College (Phase 2D)</t>
  </si>
  <si>
    <t>Client Department</t>
  </si>
  <si>
    <t>Budget Allocation (2015/16)
R'000</t>
  </si>
  <si>
    <t>Social Development</t>
  </si>
  <si>
    <t>Culture, Sport and Recreation</t>
  </si>
  <si>
    <t>Community, Safety,Security and Liaison</t>
  </si>
  <si>
    <t>Education</t>
  </si>
  <si>
    <t>Health</t>
  </si>
  <si>
    <t>Total</t>
  </si>
  <si>
    <t>Comments</t>
  </si>
  <si>
    <t>Phase 1: Project concept planning and Design &amp; Construction 15 Classroom, 22 Toilets, Palisade Fencing and Provision of Basic Services.</t>
  </si>
  <si>
    <t>Phase 1: Project concept planning and construction of palisade fencing plus provision of basic services.
Phase 2 : Planning and Design: Construction of a Grade R Centre, 24 Classrooms, administration block, library, computer centre, 36 toilets,  electricity upgrade, school hall, kitchen, 3 sports grounds and car park.</t>
  </si>
  <si>
    <t>Phase 1: Project concept planning and construction of palisade fencing plus provision of basic services. 
Phase 2 : Planning and Design: Construction of a Grade R Centre, 24 Classrooms, administration block, library, computer centre, 36 toilets,  electricity upgrade, school hall, kitchen, 3 sports grounds and car park.</t>
  </si>
  <si>
    <t>CRDP - Planning and Design: Demolition of 14 Classrooms and Construction of 10 Classrooms, Administration Block, Library, kitchen, Ramps and Rails, 3 Sports Grounds and Car Park..</t>
  </si>
  <si>
    <t>Dismantling and carting away of existing damaged prefab buildings and construction of 8 New Special School Classrooms</t>
  </si>
  <si>
    <t>Demolishing of 4 Damaged Classrooms and 1 shack classroom and construction 5 new classrooms</t>
  </si>
  <si>
    <t>Mholo Primary School</t>
  </si>
  <si>
    <t>Lugedlane Primary School</t>
  </si>
  <si>
    <t>Bongokuhle Primary School</t>
  </si>
  <si>
    <t>New Klarinet Primary School (Mokgalithwa)</t>
  </si>
  <si>
    <t>Phase 2 : Design and Provision of Basic Services and Fencing
Phase 3: Construction of a Grade R Centre, 24 Classrooms, administration block, library, computer centre, 36 toilets,  electricity upgrade, school hall, kitchen, 3 sports grounds and car park.</t>
  </si>
  <si>
    <t>11 Schools Sanitation Intervention Projects</t>
  </si>
  <si>
    <t>Construction of Enviro-loo Toilets to 11 Schools in Gert Sibande District</t>
  </si>
  <si>
    <t>GS College</t>
  </si>
  <si>
    <t>23 Schools Sanitation Intervention Projects</t>
  </si>
  <si>
    <t xml:space="preserve">All </t>
  </si>
  <si>
    <t>Construction of Enviro-loo Toilets to 23 Schools in Nkangala District</t>
  </si>
  <si>
    <t>MRTT</t>
  </si>
  <si>
    <t>Retention and final payments for 2014/15 Projects</t>
  </si>
  <si>
    <t>Final Account (2014/15 projects)</t>
  </si>
  <si>
    <t>Khumbula Secondary School</t>
  </si>
  <si>
    <t>Refurbishment of a Technology &amp; Computer Centre; Construction of 4 Laboratories for Maths, Physics, Chemistry &amp; Life Sciences; and Fencing</t>
  </si>
  <si>
    <t>KwaNdebele Science Combined School</t>
  </si>
  <si>
    <t>Refurbishment of a Computer &amp; Science Centre, 4 Laboratories for Maths, Physics, Chemistry &amp; Life Sciences; and  Construction of a Perimeter Palisade Fencing</t>
  </si>
  <si>
    <t>Trichardsfontein Primary School</t>
  </si>
  <si>
    <t>Highveld East</t>
  </si>
  <si>
    <t xml:space="preserve">Renovation and conversion of Mapulaneng College into ECDI (Phase 2) </t>
  </si>
  <si>
    <t>Minor repairs to roof canopy at verandahs and remedial works to finishes and waterproofing/sealing of leaks to roof  covering.</t>
  </si>
  <si>
    <t>Planning / Construction</t>
  </si>
  <si>
    <t>Nkangala Inpatient Youth treatment</t>
  </si>
  <si>
    <t>Duration
(Months)</t>
  </si>
  <si>
    <t>Planning and Design</t>
  </si>
  <si>
    <t>Mgobodzi Library</t>
  </si>
  <si>
    <t>Daggakraal Library</t>
  </si>
  <si>
    <t>Kanyamazane Library</t>
  </si>
  <si>
    <t>District
 Municipality</t>
  </si>
  <si>
    <t>District 
 Municipality</t>
  </si>
  <si>
    <t>Local
 Municipality</t>
  </si>
  <si>
    <t>Total: Culture Sport and Recreation Infrastructure</t>
  </si>
  <si>
    <t>Total: Community, Security, Safety and Liaison Infrastructure</t>
  </si>
  <si>
    <t>District 
Municipality</t>
  </si>
  <si>
    <t>Ebuhleni (Phase 2) Primary School</t>
  </si>
  <si>
    <t>Middelburg Combined School</t>
  </si>
  <si>
    <t>Osizweni Special School</t>
  </si>
  <si>
    <t>Tekwane North Secondary School</t>
  </si>
  <si>
    <t>Tekwane South Secondary School</t>
  </si>
  <si>
    <t>Ubuhle Buzile Secondary School</t>
  </si>
  <si>
    <t>Netherlands Park [Wesselton] Secondary School</t>
  </si>
  <si>
    <t>New Coronation [Klarinet] Secondary School</t>
  </si>
  <si>
    <t>Mbhandule Secondary School</t>
  </si>
  <si>
    <t>Sabeka Primary School</t>
  </si>
  <si>
    <t>Chueu Primary School</t>
  </si>
  <si>
    <t>Seabe Secondary School</t>
  </si>
  <si>
    <t>Hazyview Combined School</t>
  </si>
  <si>
    <t>Cana Combined Combined School</t>
  </si>
  <si>
    <t>Mugena Secondary School</t>
  </si>
  <si>
    <t>Daggakraal Primary School</t>
  </si>
  <si>
    <t>Esibusisweni Combined School</t>
  </si>
  <si>
    <t>Kemp Siding Combined School</t>
  </si>
  <si>
    <t>Matikinya Primary School</t>
  </si>
  <si>
    <t>Nwa Macingele Primary School</t>
  </si>
  <si>
    <t>Sinetjhudu Primary School</t>
  </si>
  <si>
    <t>Sizenzele Primary School</t>
  </si>
  <si>
    <t>Somlingo Primary School</t>
  </si>
  <si>
    <t>Hlomani Secondary School</t>
  </si>
  <si>
    <t>Moses Mnisi Secondary School</t>
  </si>
  <si>
    <t>Mpisana Primary School</t>
  </si>
  <si>
    <t>Tenteleni Primary School</t>
  </si>
  <si>
    <t>Welverdiend Primary School</t>
  </si>
  <si>
    <t>Aerorand Primary School</t>
  </si>
  <si>
    <t>Jackie Manana Primary School</t>
  </si>
  <si>
    <t>Nwa Mahumana Primary School</t>
  </si>
  <si>
    <t>DD Mabuza Secondary School</t>
  </si>
  <si>
    <t>Mathibela Secondary School</t>
  </si>
  <si>
    <t>Duvha Primary School</t>
  </si>
  <si>
    <t>Lindzalokuhle Primary School</t>
  </si>
  <si>
    <t>Mayflower Secondary School</t>
  </si>
  <si>
    <t>Salubindza Primary School</t>
  </si>
  <si>
    <t>Sivumelene Primary School</t>
  </si>
  <si>
    <t>Mantwani Primary School</t>
  </si>
  <si>
    <t>Leonard Ntshutshe Secondary School</t>
  </si>
  <si>
    <t>Ngilandi Secondary School</t>
  </si>
  <si>
    <t>Umzimvelo Secondary School</t>
  </si>
  <si>
    <t>Siligane Secondary School</t>
  </si>
  <si>
    <t>EJ Singwane Secondary School</t>
  </si>
  <si>
    <t>Infrastrcture 
Type</t>
  </si>
  <si>
    <t>Swartfontein Treatment Centre 
(Phase 1)</t>
  </si>
  <si>
    <t>NA</t>
  </si>
  <si>
    <t>Early Childhood Development Institute (Phase 2)</t>
  </si>
  <si>
    <t>DPWRT / RIU</t>
  </si>
  <si>
    <t xml:space="preserve">New Boarding School </t>
  </si>
  <si>
    <t xml:space="preserve">Rob Ferreira hospital-Completion of works for statutory compliance </t>
  </si>
  <si>
    <t>Marite clinic-Renovations,rehabilitation and refurbishment</t>
  </si>
  <si>
    <t xml:space="preserve">Mpakeni clinic-Renovations,rehabilitation and refurbishment </t>
  </si>
  <si>
    <t>Ogies clinic-Renovations,rehabilitation and refuburshment</t>
  </si>
  <si>
    <t xml:space="preserve">Orinocco clinic-Renovations,rehabilitation and rebursment </t>
  </si>
  <si>
    <t xml:space="preserve">Matibidi hospital-Rehabilitation,refurbushment and repairs as identified in the STP </t>
  </si>
  <si>
    <t>Polly clinic-Repairs,rehabilitation and refurbishment of the clinic</t>
  </si>
  <si>
    <t>Lydenburg hospital-Planning for the upgrade of hospital</t>
  </si>
  <si>
    <t xml:space="preserve">Thaba Chweu </t>
  </si>
  <si>
    <t>Barberton hospital-Planning for the upgrade of hospital</t>
  </si>
  <si>
    <t>Tintswalo hospital-Planning for the  upgrade of hospital</t>
  </si>
  <si>
    <t>Kwa-Mhlanga hospital-Planning for the upgrade of hospital</t>
  </si>
  <si>
    <t xml:space="preserve">Gert Sibande district office-Repairs rehabilitation &amp; refurbishment </t>
  </si>
  <si>
    <t xml:space="preserve">Delmas Storm Damage repairs </t>
  </si>
  <si>
    <t>Victor Khanye</t>
  </si>
  <si>
    <t xml:space="preserve">Anderson street Ehlanzeni district office repairs,rehabilitation &amp; refurbishment </t>
  </si>
  <si>
    <t xml:space="preserve">Bethal hospital-Site establishment,demolition of asbesto and major upgrade of hospital construction of rehabilitation and stepdown </t>
  </si>
  <si>
    <t xml:space="preserve">Mammetlake hospital-Planning the upgrading of the hospital </t>
  </si>
  <si>
    <t xml:space="preserve">Maintenance of Ehlanzeni district facilities </t>
  </si>
  <si>
    <t xml:space="preserve">Maintenance of Gert Sibande district facilities </t>
  </si>
  <si>
    <t>Maintenance of Nkangala District facilities</t>
  </si>
  <si>
    <t xml:space="preserve">Mapulaneng hospital-Construction of a new hospital </t>
  </si>
  <si>
    <t xml:space="preserve">Sabie hospital-Site establishment demolition of asbestos and construction of wards </t>
  </si>
  <si>
    <t>Msukalegwa</t>
  </si>
  <si>
    <t>Thandukhanya CHC-Construction of new CHC and accomodation units</t>
  </si>
  <si>
    <t xml:space="preserve">Nhlazatshe 6 clinic-Construction of new clinic and accomodation units </t>
  </si>
  <si>
    <t xml:space="preserve">Vukuzakhe cllinic-Construction of new clinic and accomodation units </t>
  </si>
  <si>
    <t>Balfour Mini Hospital-Construction of mini hospital and accomodation units</t>
  </si>
  <si>
    <t xml:space="preserve">Dipaleseng </t>
  </si>
  <si>
    <t>Bethal hospital-Installation of new boiler</t>
  </si>
  <si>
    <t xml:space="preserve">Impungwe hospital-rehabilitation,refurbishment &amp; repairs as identified </t>
  </si>
  <si>
    <t>Nelspruit CHC-Repairs,rehabilitation &amp; refurbishment</t>
  </si>
  <si>
    <t xml:space="preserve">Middelburg hospital-Installation of new boiler </t>
  </si>
  <si>
    <t xml:space="preserve">Khumbula clinic-Renovations,rehabilitation &amp; refurbishment </t>
  </si>
  <si>
    <t>Oakley clinic-Renovation,rehabilitation &amp; refurbishment</t>
  </si>
  <si>
    <t xml:space="preserve">Rob Ferreira hospital-Repairs,rehabilitation &amp;refurbishment </t>
  </si>
  <si>
    <t>Sibange clinic-Repairs,rehabilitation &amp; refurbishment</t>
  </si>
  <si>
    <t>Nkangala district office-Repairs,rehabilitation &amp; refurbishment</t>
  </si>
  <si>
    <t>Machinery and equipment</t>
  </si>
  <si>
    <t>Medical equipment</t>
  </si>
  <si>
    <t xml:space="preserve">Maintenance of generators </t>
  </si>
  <si>
    <t xml:space="preserve">Master plans of all hospitals-drawing of building master plans of all hospitals in Mpumalanga </t>
  </si>
  <si>
    <t>Maintenance of sewerage (monthly maintenance)</t>
  </si>
  <si>
    <t xml:space="preserve">Expanded Public Works Programme-Gert Sibande </t>
  </si>
  <si>
    <t xml:space="preserve">Expanded Public Works Programme-Nkangala  </t>
  </si>
  <si>
    <t xml:space="preserve">Expanded Public Works Programme-Ehlanzeni </t>
  </si>
  <si>
    <t xml:space="preserve">M'africa CHC-Replacement of damaged ceilings and repairs to roofs including passages and consulting rooms </t>
  </si>
  <si>
    <t>Sikhwahlane clinic-Replacement and repairs to ceilings,leaking roofs</t>
  </si>
  <si>
    <t>Themba hospital-Construction of a new maternity ward</t>
  </si>
  <si>
    <t>Themba hospital -Construction of a new resource centre</t>
  </si>
  <si>
    <t xml:space="preserve">Themba hospital-Renovation of X-rays and other wards </t>
  </si>
  <si>
    <t>Ermelo hospital-Construction of a new resource centre</t>
  </si>
  <si>
    <t>Ermelo hospital-Construction of a new stores,linen room and demolition of old hospital</t>
  </si>
  <si>
    <t>Extension 8 clinic-Repairs,rehabilitation and refurbishment of the clinic</t>
  </si>
  <si>
    <t xml:space="preserve">Planning &amp; design </t>
  </si>
  <si>
    <t>Health Facilities Revitalisation Grant</t>
  </si>
  <si>
    <t xml:space="preserve">KaNyamazane CHC-Construction </t>
  </si>
  <si>
    <t>EPWP</t>
  </si>
  <si>
    <t xml:space="preserve">Dludluma clinic-Replacement and repairs to ceilings including passages and emergency room </t>
  </si>
  <si>
    <t>Mini-hospital</t>
  </si>
  <si>
    <t>Mechanical equipment</t>
  </si>
  <si>
    <t>Resource centre</t>
  </si>
  <si>
    <t>Ward</t>
  </si>
  <si>
    <t>Stores</t>
  </si>
  <si>
    <t>New School</t>
  </si>
  <si>
    <t>Planning &amp; design</t>
  </si>
  <si>
    <t xml:space="preserve">Msukaligwa CHC-Construction of new CHC  and accomodation units </t>
  </si>
  <si>
    <t>Phase1: Bulk services, Fence, Admin, Grade R Centre, 24 Classrooms, 42 Toilets, Boarding Facilities, Kitchen and Dining hall. Phase2: Other facilities</t>
  </si>
  <si>
    <t>Final plan received in December 2014.</t>
  </si>
  <si>
    <t>Plan received by email in February 2015</t>
  </si>
  <si>
    <t>Revised plan received through email on 23 Mar 2015 from Nompumeleo. Signed off document NOT RECEIVED</t>
  </si>
  <si>
    <t>Revised plan received through email on 16 Mar 2015 from Mfana. Signed off document NOT RECEIVED</t>
  </si>
  <si>
    <t>Budget confirmed in 29 May 2014 for MTEF. However confimation for 2015/16 STILL OUTSTANDING</t>
  </si>
  <si>
    <t>Summary of Project List 2015/16 Financial Year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</si>
</sst>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4" formatCode="_ &quot;R&quot;\ * #,##0.00_ ;_ &quot;R&quot;\ * \-#,##0.00_ ;_ &quot;R&quot;\ * &quot;-&quot;??_ ;_ @_ "/>
    <numFmt numFmtId="43" formatCode="_ * #,##0.00_ ;_ * \-#,##0.00_ ;_ * &quot;-&quot;??_ ;_ @_ "/>
    <numFmt numFmtId="164" formatCode="_(* #,##0.00_);_(* \(#,##0.00\);_(* &quot;-&quot;??_);_(@_)"/>
    <numFmt numFmtId="165" formatCode="_ * #,##0_ ;_ * \(#,##0\)_ ;_ * &quot;–&quot;??_ ;_ @_ "/>
    <numFmt numFmtId="166" formatCode="_ * #,##0_ ;_ * \-#,##0_ ;_ * &quot;-&quot;??_ ;_ @_ "/>
    <numFmt numFmtId="167" formatCode="_(* #,##0_);_(* \(#,##0\);_(* &quot;-&quot;??_);_(@_)"/>
    <numFmt numFmtId="168" formatCode="#,##0.0"/>
    <numFmt numFmtId="169" formatCode="[$-409]dd\-mmm\-yy;@"/>
    <numFmt numFmtId="170" formatCode="&quot;R&quot;\ #,##0.00"/>
    <numFmt numFmtId="171" formatCode="[$-F800]dddd\,\ mmmm\ dd\,\ yyyy"/>
    <numFmt numFmtId="172" formatCode="[$-409]mmm/yy;@"/>
    <numFmt numFmtId="173" formatCode="[$-409]d\-mmm\-yy;@"/>
  </numFmts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10"/>
      <name val="Arial"/>
      <family val="2"/>
    </font>
    <font>
      <b/>
      <sz val="8"/>
      <color indexed="49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sz val="14"/>
      <color theme="3" tint="-0.499984740745262"/>
      <name val="Arial"/>
      <family val="2"/>
    </font>
    <font>
      <b/>
      <sz val="8"/>
      <color rgb="FF00B050"/>
      <name val="Arial"/>
      <family val="2"/>
    </font>
    <font>
      <b/>
      <sz val="8"/>
      <color rgb="FFFF0000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b/>
      <sz val="14"/>
      <color theme="3" tint="-0.499984740745262"/>
      <name val="Arial"/>
      <family val="2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double">
        <color indexed="64"/>
      </top>
      <bottom style="hair">
        <color theme="1"/>
      </bottom>
      <diagonal/>
    </border>
    <border>
      <left style="double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double">
        <color rgb="FF000000"/>
      </top>
      <bottom style="hair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/>
      <diagonal/>
    </border>
    <border>
      <left style="double">
        <color theme="1"/>
      </left>
      <right style="thin">
        <color theme="1"/>
      </right>
      <top style="hair">
        <color theme="1"/>
      </top>
      <bottom/>
      <diagonal/>
    </border>
    <border>
      <left style="double">
        <color theme="1"/>
      </left>
      <right style="thin">
        <color theme="1"/>
      </right>
      <top style="hair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hair">
        <color theme="1"/>
      </top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 style="hair">
        <color theme="1"/>
      </bottom>
      <diagonal/>
    </border>
    <border>
      <left/>
      <right style="double">
        <color theme="1"/>
      </right>
      <top style="hair">
        <color theme="1"/>
      </top>
      <bottom style="hair">
        <color theme="1"/>
      </bottom>
      <diagonal/>
    </border>
    <border>
      <left/>
      <right style="double">
        <color theme="1"/>
      </right>
      <top style="hair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double">
        <color indexed="64"/>
      </top>
      <bottom style="hair">
        <color theme="1"/>
      </bottom>
      <diagonal/>
    </border>
    <border>
      <left style="thin">
        <color theme="1"/>
      </left>
      <right style="double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double">
        <color theme="1"/>
      </right>
      <top style="hair">
        <color theme="1"/>
      </top>
      <bottom/>
      <diagonal/>
    </border>
    <border>
      <left/>
      <right style="double">
        <color theme="1"/>
      </right>
      <top style="hair">
        <color theme="1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</borders>
  <cellStyleXfs count="22">
    <xf numFmtId="0" fontId="0" fillId="0" borderId="0"/>
    <xf numFmtId="43" fontId="15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5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" fillId="0" borderId="0"/>
    <xf numFmtId="9" fontId="15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43">
    <xf numFmtId="0" fontId="0" fillId="0" borderId="0" xfId="0"/>
    <xf numFmtId="0" fontId="16" fillId="0" borderId="0" xfId="0" applyFont="1"/>
    <xf numFmtId="0" fontId="17" fillId="0" borderId="0" xfId="0" applyFont="1"/>
    <xf numFmtId="0" fontId="8" fillId="2" borderId="1" xfId="19" applyNumberFormat="1" applyFont="1" applyFill="1" applyBorder="1" applyAlignment="1" applyProtection="1">
      <alignment horizontal="center" vertical="center" wrapText="1"/>
      <protection hidden="1"/>
    </xf>
    <xf numFmtId="0" fontId="17" fillId="0" borderId="0" xfId="0" applyFont="1" applyAlignment="1">
      <alignment horizontal="center" vertical="center"/>
    </xf>
    <xf numFmtId="0" fontId="9" fillId="0" borderId="2" xfId="19" applyNumberFormat="1" applyFont="1" applyFill="1" applyBorder="1" applyAlignment="1" applyProtection="1">
      <alignment vertical="center" wrapText="1"/>
      <protection locked="0"/>
    </xf>
    <xf numFmtId="0" fontId="8" fillId="2" borderId="1" xfId="19" applyFont="1" applyFill="1" applyBorder="1" applyAlignment="1" applyProtection="1">
      <alignment horizontal="center" vertical="center" wrapText="1"/>
      <protection hidden="1"/>
    </xf>
    <xf numFmtId="0" fontId="8" fillId="2" borderId="4" xfId="19" applyNumberFormat="1" applyFont="1" applyFill="1" applyBorder="1" applyAlignment="1" applyProtection="1">
      <alignment horizontal="center" vertical="center"/>
      <protection hidden="1"/>
    </xf>
    <xf numFmtId="165" fontId="4" fillId="3" borderId="6" xfId="19" applyNumberFormat="1" applyFont="1" applyFill="1" applyBorder="1" applyAlignment="1" applyProtection="1">
      <alignment horizontal="center" vertical="center" wrapText="1"/>
      <protection hidden="1"/>
    </xf>
    <xf numFmtId="3" fontId="5" fillId="3" borderId="6" xfId="19" applyNumberFormat="1" applyFont="1" applyFill="1" applyBorder="1" applyAlignment="1" applyProtection="1">
      <alignment horizontal="right" vertical="top"/>
      <protection hidden="1"/>
    </xf>
    <xf numFmtId="0" fontId="9" fillId="0" borderId="2" xfId="19" applyNumberFormat="1" applyFont="1" applyFill="1" applyBorder="1" applyAlignment="1" applyProtection="1">
      <alignment vertical="center" wrapText="1"/>
      <protection hidden="1"/>
    </xf>
    <xf numFmtId="0" fontId="9" fillId="0" borderId="2" xfId="19" applyNumberFormat="1" applyFont="1" applyFill="1" applyBorder="1" applyAlignment="1" applyProtection="1">
      <alignment horizontal="center" vertical="center" wrapText="1"/>
      <protection hidden="1"/>
    </xf>
    <xf numFmtId="0" fontId="17" fillId="0" borderId="8" xfId="0" applyFont="1" applyFill="1" applyBorder="1" applyAlignment="1">
      <alignment horizontal="center" vertical="center"/>
    </xf>
    <xf numFmtId="0" fontId="9" fillId="0" borderId="9" xfId="19" applyNumberFormat="1" applyFont="1" applyFill="1" applyBorder="1" applyAlignment="1" applyProtection="1">
      <alignment horizontal="center" vertical="center"/>
      <protection locked="0"/>
    </xf>
    <xf numFmtId="0" fontId="9" fillId="0" borderId="2" xfId="19" applyNumberFormat="1" applyFont="1" applyFill="1" applyBorder="1" applyAlignment="1" applyProtection="1">
      <alignment horizontal="center" vertical="center" wrapText="1"/>
      <protection locked="0"/>
    </xf>
    <xf numFmtId="165" fontId="9" fillId="0" borderId="2" xfId="19" applyNumberFormat="1" applyFont="1" applyFill="1" applyBorder="1" applyAlignment="1" applyProtection="1">
      <alignment vertical="center" wrapText="1"/>
      <protection locked="0"/>
    </xf>
    <xf numFmtId="165" fontId="7" fillId="0" borderId="2" xfId="19" applyNumberFormat="1" applyFont="1" applyFill="1" applyBorder="1" applyAlignment="1" applyProtection="1">
      <alignment vertical="center" wrapText="1"/>
      <protection locked="0"/>
    </xf>
    <xf numFmtId="0" fontId="17" fillId="0" borderId="0" xfId="0" applyFont="1" applyFill="1"/>
    <xf numFmtId="165" fontId="9" fillId="0" borderId="2" xfId="19" applyNumberFormat="1" applyFont="1" applyFill="1" applyBorder="1" applyAlignment="1" applyProtection="1">
      <alignment vertical="center" wrapText="1"/>
      <protection hidden="1"/>
    </xf>
    <xf numFmtId="41" fontId="7" fillId="0" borderId="2" xfId="19" applyNumberFormat="1" applyFont="1" applyFill="1" applyBorder="1" applyAlignment="1" applyProtection="1">
      <alignment vertical="center" wrapText="1"/>
      <protection locked="0"/>
    </xf>
    <xf numFmtId="41" fontId="9" fillId="0" borderId="2" xfId="19" applyNumberFormat="1" applyFont="1" applyFill="1" applyBorder="1" applyAlignment="1" applyProtection="1">
      <alignment horizontal="center" vertical="center" wrapText="1"/>
      <protection locked="0"/>
    </xf>
    <xf numFmtId="41" fontId="7" fillId="0" borderId="2" xfId="19" applyNumberFormat="1" applyFont="1" applyFill="1" applyBorder="1" applyAlignment="1" applyProtection="1">
      <alignment horizontal="center" vertical="center" wrapText="1"/>
      <protection locked="0"/>
    </xf>
    <xf numFmtId="41" fontId="9" fillId="0" borderId="2" xfId="19" applyNumberFormat="1" applyFont="1" applyFill="1" applyBorder="1" applyAlignment="1" applyProtection="1">
      <alignment vertical="center" wrapText="1"/>
      <protection hidden="1"/>
    </xf>
    <xf numFmtId="41" fontId="9" fillId="0" borderId="2" xfId="19" applyNumberFormat="1" applyFont="1" applyFill="1" applyBorder="1" applyAlignment="1" applyProtection="1">
      <alignment vertical="center" wrapText="1"/>
      <protection locked="0"/>
    </xf>
    <xf numFmtId="41" fontId="8" fillId="0" borderId="2" xfId="19" applyNumberFormat="1" applyFont="1" applyFill="1" applyBorder="1" applyAlignment="1" applyProtection="1">
      <alignment vertical="center" wrapText="1"/>
      <protection hidden="1"/>
    </xf>
    <xf numFmtId="41" fontId="7" fillId="0" borderId="2" xfId="5" applyNumberFormat="1" applyFont="1" applyFill="1" applyBorder="1" applyAlignment="1">
      <alignment horizontal="right" vertical="center"/>
    </xf>
    <xf numFmtId="41" fontId="7" fillId="0" borderId="2" xfId="5" applyNumberFormat="1" applyFont="1" applyFill="1" applyBorder="1" applyAlignment="1">
      <alignment vertical="center"/>
    </xf>
    <xf numFmtId="0" fontId="9" fillId="0" borderId="2" xfId="19" applyNumberFormat="1" applyFont="1" applyFill="1" applyBorder="1" applyAlignment="1" applyProtection="1">
      <alignment horizontal="left" vertical="center" wrapText="1"/>
      <protection locked="0"/>
    </xf>
    <xf numFmtId="0" fontId="9" fillId="0" borderId="9" xfId="19" applyFont="1" applyFill="1" applyBorder="1" applyAlignment="1" applyProtection="1">
      <alignment horizontal="center" vertical="center"/>
      <protection hidden="1"/>
    </xf>
    <xf numFmtId="0" fontId="9" fillId="0" borderId="2" xfId="19" applyFont="1" applyFill="1" applyBorder="1" applyAlignment="1" applyProtection="1">
      <alignment horizontal="left" vertical="center"/>
      <protection hidden="1"/>
    </xf>
    <xf numFmtId="0" fontId="17" fillId="0" borderId="2" xfId="0" applyFont="1" applyFill="1" applyBorder="1" applyAlignment="1">
      <alignment horizontal="center" wrapText="1"/>
    </xf>
    <xf numFmtId="0" fontId="7" fillId="0" borderId="2" xfId="19" applyFont="1" applyFill="1" applyBorder="1" applyAlignment="1">
      <alignment horizontal="center" vertical="center" wrapText="1"/>
    </xf>
    <xf numFmtId="41" fontId="9" fillId="4" borderId="2" xfId="19" quotePrefix="1" applyNumberFormat="1" applyFont="1" applyFill="1" applyBorder="1" applyAlignment="1" applyProtection="1">
      <alignment horizontal="center" vertical="center" wrapText="1"/>
      <protection locked="0"/>
    </xf>
    <xf numFmtId="41" fontId="7" fillId="4" borderId="2" xfId="19" quotePrefix="1" applyNumberFormat="1" applyFont="1" applyFill="1" applyBorder="1" applyAlignment="1" applyProtection="1">
      <alignment horizontal="center" vertical="center" wrapText="1"/>
      <protection locked="0"/>
    </xf>
    <xf numFmtId="41" fontId="7" fillId="4" borderId="2" xfId="19" applyNumberFormat="1" applyFont="1" applyFill="1" applyBorder="1" applyAlignment="1" applyProtection="1">
      <alignment horizontal="right" vertical="center"/>
      <protection hidden="1"/>
    </xf>
    <xf numFmtId="41" fontId="8" fillId="4" borderId="2" xfId="19" applyNumberFormat="1" applyFont="1" applyFill="1" applyBorder="1" applyAlignment="1" applyProtection="1">
      <alignment horizontal="right" vertical="center"/>
      <protection hidden="1"/>
    </xf>
    <xf numFmtId="41" fontId="8" fillId="4" borderId="2" xfId="19" applyNumberFormat="1" applyFont="1" applyFill="1" applyBorder="1" applyAlignment="1" applyProtection="1">
      <alignment horizontal="right" vertical="top"/>
      <protection hidden="1"/>
    </xf>
    <xf numFmtId="41" fontId="7" fillId="4" borderId="2" xfId="19" quotePrefix="1" applyNumberFormat="1" applyFont="1" applyFill="1" applyBorder="1" applyAlignment="1" applyProtection="1">
      <alignment horizontal="center" vertical="center" wrapText="1"/>
      <protection hidden="1"/>
    </xf>
    <xf numFmtId="41" fontId="6" fillId="4" borderId="2" xfId="19" applyNumberFormat="1" applyFont="1" applyFill="1" applyBorder="1" applyAlignment="1" applyProtection="1">
      <alignment horizontal="center" vertical="center" wrapText="1"/>
      <protection hidden="1"/>
    </xf>
    <xf numFmtId="0" fontId="17" fillId="0" borderId="0" xfId="8" applyFont="1" applyFill="1"/>
    <xf numFmtId="166" fontId="17" fillId="0" borderId="0" xfId="4" applyNumberFormat="1" applyFont="1"/>
    <xf numFmtId="0" fontId="17" fillId="0" borderId="0" xfId="8" applyFont="1" applyFill="1" applyAlignment="1">
      <alignment horizontal="center" vertical="center"/>
    </xf>
    <xf numFmtId="166" fontId="17" fillId="0" borderId="0" xfId="4" applyNumberFormat="1" applyFont="1" applyAlignment="1">
      <alignment horizontal="center" vertical="center"/>
    </xf>
    <xf numFmtId="0" fontId="8" fillId="2" borderId="1" xfId="8" applyFont="1" applyFill="1" applyBorder="1" applyAlignment="1">
      <alignment horizontal="center" vertical="center" wrapText="1"/>
    </xf>
    <xf numFmtId="166" fontId="8" fillId="2" borderId="1" xfId="4" applyNumberFormat="1" applyFont="1" applyFill="1" applyBorder="1" applyAlignment="1">
      <alignment horizontal="center" vertical="center" wrapText="1"/>
    </xf>
    <xf numFmtId="0" fontId="7" fillId="0" borderId="2" xfId="8" applyFont="1" applyFill="1" applyBorder="1" applyAlignment="1">
      <alignment horizontal="center" vertical="center" wrapText="1"/>
    </xf>
    <xf numFmtId="0" fontId="7" fillId="0" borderId="2" xfId="8" applyFont="1" applyFill="1" applyBorder="1" applyAlignment="1" applyProtection="1">
      <alignment horizontal="left" vertical="center" wrapText="1"/>
      <protection locked="0"/>
    </xf>
    <xf numFmtId="0" fontId="17" fillId="0" borderId="0" xfId="8" applyFont="1" applyFill="1" applyAlignment="1">
      <alignment vertical="center"/>
    </xf>
    <xf numFmtId="0" fontId="17" fillId="0" borderId="0" xfId="0" applyFont="1" applyAlignment="1">
      <alignment vertical="center"/>
    </xf>
    <xf numFmtId="0" fontId="7" fillId="0" borderId="2" xfId="8" applyFont="1" applyFill="1" applyBorder="1" applyAlignment="1" applyProtection="1">
      <alignment horizontal="center" vertical="center" wrapText="1"/>
      <protection locked="0"/>
    </xf>
    <xf numFmtId="0" fontId="17" fillId="0" borderId="8" xfId="8" applyFont="1" applyFill="1" applyBorder="1" applyAlignment="1">
      <alignment horizontal="center" vertical="center"/>
    </xf>
    <xf numFmtId="0" fontId="17" fillId="0" borderId="9" xfId="0" applyFont="1" applyBorder="1" applyAlignment="1">
      <alignment vertical="center"/>
    </xf>
    <xf numFmtId="166" fontId="7" fillId="0" borderId="2" xfId="4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10" applyFont="1" applyFill="1" applyBorder="1" applyAlignment="1">
      <alignment horizontal="center" vertical="center" wrapText="1"/>
    </xf>
    <xf numFmtId="15" fontId="7" fillId="0" borderId="2" xfId="8" applyNumberFormat="1" applyFont="1" applyFill="1" applyBorder="1" applyAlignment="1">
      <alignment horizontal="center" vertical="center" wrapText="1"/>
    </xf>
    <xf numFmtId="167" fontId="17" fillId="0" borderId="0" xfId="8" applyNumberFormat="1" applyFont="1" applyFill="1" applyAlignment="1">
      <alignment vertical="center"/>
    </xf>
    <xf numFmtId="166" fontId="17" fillId="0" borderId="0" xfId="4" applyNumberFormat="1" applyFont="1" applyFill="1" applyAlignment="1">
      <alignment vertical="center"/>
    </xf>
    <xf numFmtId="166" fontId="17" fillId="0" borderId="0" xfId="8" applyNumberFormat="1" applyFont="1" applyFill="1" applyAlignment="1">
      <alignment vertical="center"/>
    </xf>
    <xf numFmtId="15" fontId="7" fillId="0" borderId="2" xfId="10" applyNumberFormat="1" applyFont="1" applyFill="1" applyBorder="1" applyAlignment="1">
      <alignment horizontal="center" vertical="center" wrapText="1"/>
    </xf>
    <xf numFmtId="3" fontId="17" fillId="0" borderId="0" xfId="8" applyNumberFormat="1" applyFont="1" applyFill="1" applyAlignment="1">
      <alignment vertical="center"/>
    </xf>
    <xf numFmtId="168" fontId="17" fillId="0" borderId="0" xfId="8" applyNumberFormat="1" applyFont="1" applyFill="1" applyAlignment="1">
      <alignment vertical="center"/>
    </xf>
    <xf numFmtId="166" fontId="7" fillId="0" borderId="2" xfId="4" applyNumberFormat="1" applyFont="1" applyFill="1" applyBorder="1" applyAlignment="1">
      <alignment horizontal="center" vertical="center" wrapText="1"/>
    </xf>
    <xf numFmtId="0" fontId="7" fillId="0" borderId="2" xfId="8" applyFont="1" applyFill="1" applyBorder="1" applyAlignment="1">
      <alignment horizontal="center" vertical="center"/>
    </xf>
    <xf numFmtId="1" fontId="7" fillId="0" borderId="2" xfId="8" applyNumberFormat="1" applyFont="1" applyFill="1" applyBorder="1" applyAlignment="1">
      <alignment horizontal="center" vertical="center" wrapText="1"/>
    </xf>
    <xf numFmtId="15" fontId="7" fillId="0" borderId="2" xfId="8" applyNumberFormat="1" applyFont="1" applyFill="1" applyBorder="1" applyAlignment="1" applyProtection="1">
      <alignment horizontal="center" vertical="center" wrapText="1"/>
      <protection locked="0"/>
    </xf>
    <xf numFmtId="2" fontId="20" fillId="3" borderId="6" xfId="8" applyNumberFormat="1" applyFont="1" applyFill="1" applyBorder="1" applyAlignment="1">
      <alignment horizontal="center" vertical="center" wrapText="1"/>
    </xf>
    <xf numFmtId="41" fontId="7" fillId="0" borderId="2" xfId="8" applyNumberFormat="1" applyFont="1" applyFill="1" applyBorder="1" applyAlignment="1">
      <alignment horizontal="center" vertical="center" wrapText="1"/>
    </xf>
    <xf numFmtId="41" fontId="7" fillId="0" borderId="2" xfId="4" applyNumberFormat="1" applyFont="1" applyFill="1" applyBorder="1" applyAlignment="1">
      <alignment horizontal="center" vertical="center" wrapText="1"/>
    </xf>
    <xf numFmtId="41" fontId="7" fillId="4" borderId="2" xfId="4" applyNumberFormat="1" applyFont="1" applyFill="1" applyBorder="1" applyAlignment="1">
      <alignment horizontal="center" vertical="center" wrapText="1"/>
    </xf>
    <xf numFmtId="41" fontId="7" fillId="4" borderId="10" xfId="4" applyNumberFormat="1" applyFont="1" applyFill="1" applyBorder="1" applyAlignment="1">
      <alignment horizontal="center" vertical="center" wrapText="1"/>
    </xf>
    <xf numFmtId="41" fontId="7" fillId="0" borderId="2" xfId="8" applyNumberFormat="1" applyFont="1" applyFill="1" applyBorder="1" applyAlignment="1" applyProtection="1">
      <alignment horizontal="center" vertical="center" wrapText="1"/>
      <protection locked="0"/>
    </xf>
    <xf numFmtId="41" fontId="7" fillId="0" borderId="2" xfId="7" applyNumberFormat="1" applyFont="1" applyFill="1" applyBorder="1" applyAlignment="1">
      <alignment horizontal="center" vertical="center" wrapText="1"/>
    </xf>
    <xf numFmtId="41" fontId="7" fillId="0" borderId="2" xfId="8" applyNumberFormat="1" applyFont="1" applyFill="1" applyBorder="1" applyAlignment="1">
      <alignment horizontal="center" vertical="center"/>
    </xf>
    <xf numFmtId="41" fontId="20" fillId="3" borderId="6" xfId="8" applyNumberFormat="1" applyFont="1" applyFill="1" applyBorder="1" applyAlignment="1">
      <alignment horizontal="center" vertical="center" wrapText="1"/>
    </xf>
    <xf numFmtId="41" fontId="20" fillId="3" borderId="6" xfId="8" applyNumberFormat="1" applyFont="1" applyFill="1" applyBorder="1" applyAlignment="1">
      <alignment horizontal="center" vertical="center"/>
    </xf>
    <xf numFmtId="41" fontId="20" fillId="3" borderId="11" xfId="8" applyNumberFormat="1" applyFont="1" applyFill="1" applyBorder="1" applyAlignment="1">
      <alignment horizontal="center" vertical="center"/>
    </xf>
    <xf numFmtId="0" fontId="21" fillId="0" borderId="0" xfId="0" applyFont="1"/>
    <xf numFmtId="41" fontId="20" fillId="0" borderId="12" xfId="8" applyNumberFormat="1" applyFont="1" applyFill="1" applyBorder="1" applyAlignment="1">
      <alignment wrapText="1"/>
    </xf>
    <xf numFmtId="0" fontId="22" fillId="0" borderId="0" xfId="0" applyFont="1"/>
    <xf numFmtId="169" fontId="9" fillId="0" borderId="2" xfId="19" applyNumberFormat="1" applyFont="1" applyFill="1" applyBorder="1" applyAlignment="1" applyProtection="1">
      <alignment horizontal="center" vertical="center" wrapText="1"/>
      <protection locked="0"/>
    </xf>
    <xf numFmtId="169" fontId="7" fillId="0" borderId="2" xfId="19" applyNumberFormat="1" applyFont="1" applyFill="1" applyBorder="1" applyAlignment="1" applyProtection="1">
      <alignment horizontal="center" vertical="center" wrapText="1"/>
      <protection locked="0"/>
    </xf>
    <xf numFmtId="169" fontId="9" fillId="0" borderId="2" xfId="19" applyNumberFormat="1" applyFont="1" applyFill="1" applyBorder="1" applyAlignment="1" applyProtection="1">
      <alignment horizontal="center" vertical="center" wrapText="1"/>
      <protection hidden="1"/>
    </xf>
    <xf numFmtId="0" fontId="17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0" fontId="1" fillId="5" borderId="13" xfId="0" applyFont="1" applyFill="1" applyBorder="1" applyAlignment="1"/>
    <xf numFmtId="0" fontId="1" fillId="5" borderId="0" xfId="0" applyFont="1" applyFill="1" applyBorder="1" applyAlignment="1">
      <alignment wrapText="1"/>
    </xf>
    <xf numFmtId="0" fontId="1" fillId="5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/>
    <xf numFmtId="172" fontId="1" fillId="5" borderId="0" xfId="0" applyNumberFormat="1" applyFont="1" applyFill="1" applyBorder="1" applyAlignment="1">
      <alignment horizontal="left" vertical="center"/>
    </xf>
    <xf numFmtId="172" fontId="1" fillId="5" borderId="0" xfId="0" applyNumberFormat="1" applyFont="1" applyFill="1" applyBorder="1" applyAlignment="1">
      <alignment vertical="center"/>
    </xf>
    <xf numFmtId="0" fontId="1" fillId="5" borderId="0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wrapText="1"/>
    </xf>
    <xf numFmtId="1" fontId="1" fillId="5" borderId="0" xfId="0" applyNumberFormat="1" applyFont="1" applyFill="1" applyBorder="1" applyAlignment="1">
      <alignment wrapText="1"/>
    </xf>
    <xf numFmtId="166" fontId="1" fillId="5" borderId="0" xfId="1" applyNumberFormat="1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vertical="center"/>
    </xf>
    <xf numFmtId="166" fontId="1" fillId="0" borderId="0" xfId="1" applyNumberFormat="1" applyFont="1" applyFill="1" applyBorder="1" applyAlignment="1">
      <alignment wrapText="1"/>
    </xf>
    <xf numFmtId="166" fontId="5" fillId="0" borderId="0" xfId="1" applyNumberFormat="1" applyFont="1" applyFill="1" applyBorder="1" applyAlignment="1">
      <alignment vertical="center"/>
    </xf>
    <xf numFmtId="166" fontId="1" fillId="0" borderId="0" xfId="1" applyNumberFormat="1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166" fontId="1" fillId="0" borderId="2" xfId="1" applyNumberFormat="1" applyFont="1" applyFill="1" applyBorder="1" applyAlignment="1">
      <alignment horizontal="center" vertical="center"/>
    </xf>
    <xf numFmtId="166" fontId="1" fillId="0" borderId="2" xfId="1" applyNumberFormat="1" applyFont="1" applyFill="1" applyBorder="1" applyAlignment="1">
      <alignment horizontal="right" vertical="center"/>
    </xf>
    <xf numFmtId="166" fontId="5" fillId="0" borderId="2" xfId="1" applyNumberFormat="1" applyFont="1" applyFill="1" applyBorder="1" applyAlignment="1">
      <alignment horizontal="center" vertical="center" wrapText="1"/>
    </xf>
    <xf numFmtId="166" fontId="1" fillId="0" borderId="2" xfId="1" applyNumberFormat="1" applyFont="1" applyFill="1" applyBorder="1" applyAlignment="1">
      <alignment vertical="center"/>
    </xf>
    <xf numFmtId="166" fontId="1" fillId="0" borderId="8" xfId="1" applyNumberFormat="1" applyFont="1" applyFill="1" applyBorder="1" applyAlignment="1">
      <alignment horizontal="center" vertical="center" wrapText="1"/>
    </xf>
    <xf numFmtId="49" fontId="23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6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4" fontId="8" fillId="0" borderId="0" xfId="0" applyNumberFormat="1" applyFont="1" applyAlignment="1">
      <alignment horizontal="right" vertical="center"/>
    </xf>
    <xf numFmtId="166" fontId="8" fillId="0" borderId="0" xfId="1" applyNumberFormat="1" applyFont="1" applyBorder="1" applyAlignment="1">
      <alignment vertical="center"/>
    </xf>
    <xf numFmtId="166" fontId="24" fillId="0" borderId="0" xfId="1" applyNumberFormat="1" applyFont="1" applyBorder="1" applyAlignment="1">
      <alignment horizontal="center" vertical="center" wrapText="1"/>
    </xf>
    <xf numFmtId="166" fontId="8" fillId="0" borderId="0" xfId="1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166" fontId="24" fillId="0" borderId="0" xfId="1" applyNumberFormat="1" applyFont="1" applyAlignment="1">
      <alignment horizontal="center" vertical="center" wrapText="1"/>
    </xf>
    <xf numFmtId="166" fontId="8" fillId="0" borderId="0" xfId="1" applyNumberFormat="1" applyFont="1" applyAlignment="1">
      <alignment vertical="center"/>
    </xf>
    <xf numFmtId="0" fontId="8" fillId="0" borderId="0" xfId="0" applyFont="1" applyBorder="1" applyAlignment="1">
      <alignment vertical="center" wrapText="1"/>
    </xf>
    <xf numFmtId="9" fontId="8" fillId="0" borderId="0" xfId="20" applyFont="1" applyAlignment="1">
      <alignment horizontal="center" vertical="center"/>
    </xf>
    <xf numFmtId="170" fontId="24" fillId="0" borderId="0" xfId="1" applyNumberFormat="1" applyFont="1" applyBorder="1" applyAlignment="1">
      <alignment vertical="center" wrapText="1"/>
    </xf>
    <xf numFmtId="170" fontId="24" fillId="0" borderId="0" xfId="1" applyNumberFormat="1" applyFont="1" applyBorder="1" applyAlignment="1">
      <alignment horizontal="right" vertical="center"/>
    </xf>
    <xf numFmtId="166" fontId="8" fillId="0" borderId="0" xfId="1" applyNumberFormat="1" applyFont="1" applyFill="1" applyBorder="1" applyAlignment="1">
      <alignment vertical="center"/>
    </xf>
    <xf numFmtId="166" fontId="8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166" fontId="24" fillId="0" borderId="0" xfId="1" applyNumberFormat="1" applyFont="1" applyFill="1" applyBorder="1" applyAlignment="1">
      <alignment vertical="center"/>
    </xf>
    <xf numFmtId="171" fontId="8" fillId="0" borderId="0" xfId="0" applyNumberFormat="1" applyFont="1" applyFill="1" applyBorder="1" applyAlignment="1">
      <alignment vertical="center"/>
    </xf>
    <xf numFmtId="166" fontId="8" fillId="0" borderId="0" xfId="20" applyNumberFormat="1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vertical="center"/>
    </xf>
    <xf numFmtId="166" fontId="7" fillId="0" borderId="0" xfId="1" applyNumberFormat="1" applyFont="1" applyFill="1" applyBorder="1" applyAlignment="1">
      <alignment vertical="center"/>
    </xf>
    <xf numFmtId="170" fontId="24" fillId="0" borderId="0" xfId="1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170" fontId="24" fillId="0" borderId="0" xfId="1" applyNumberFormat="1" applyFont="1" applyBorder="1" applyAlignment="1">
      <alignment horizontal="right" vertical="center" wrapText="1"/>
    </xf>
    <xf numFmtId="166" fontId="8" fillId="7" borderId="0" xfId="1" applyNumberFormat="1" applyFont="1" applyFill="1" applyBorder="1" applyAlignment="1">
      <alignment horizontal="right" vertical="top"/>
    </xf>
    <xf numFmtId="166" fontId="24" fillId="7" borderId="0" xfId="1" applyNumberFormat="1" applyFont="1" applyFill="1" applyBorder="1" applyAlignment="1">
      <alignment vertical="top"/>
    </xf>
    <xf numFmtId="166" fontId="8" fillId="7" borderId="0" xfId="1" quotePrefix="1" applyNumberFormat="1" applyFont="1" applyFill="1" applyBorder="1" applyAlignment="1">
      <alignment horizontal="center" vertical="top"/>
    </xf>
    <xf numFmtId="166" fontId="8" fillId="0" borderId="0" xfId="1" applyNumberFormat="1" applyFont="1" applyFill="1" applyBorder="1" applyAlignment="1">
      <alignment vertical="top" wrapText="1"/>
    </xf>
    <xf numFmtId="166" fontId="8" fillId="8" borderId="0" xfId="1" applyNumberFormat="1" applyFont="1" applyFill="1" applyBorder="1" applyAlignment="1">
      <alignment vertical="top"/>
    </xf>
    <xf numFmtId="166" fontId="8" fillId="0" borderId="0" xfId="1" applyNumberFormat="1" applyFont="1" applyFill="1" applyBorder="1" applyAlignment="1">
      <alignment horizontal="right" vertical="top"/>
    </xf>
    <xf numFmtId="166" fontId="8" fillId="0" borderId="0" xfId="1" quotePrefix="1" applyNumberFormat="1" applyFont="1" applyFill="1" applyBorder="1" applyAlignment="1">
      <alignment horizontal="center" vertical="top"/>
    </xf>
    <xf numFmtId="166" fontId="8" fillId="0" borderId="0" xfId="1" applyNumberFormat="1" applyFont="1" applyFill="1" applyBorder="1" applyAlignment="1">
      <alignment horizontal="center" vertical="top"/>
    </xf>
    <xf numFmtId="170" fontId="24" fillId="0" borderId="0" xfId="1" applyNumberFormat="1" applyFont="1" applyAlignment="1">
      <alignment horizontal="right" vertical="center" wrapText="1"/>
    </xf>
    <xf numFmtId="166" fontId="8" fillId="0" borderId="0" xfId="1" applyNumberFormat="1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 wrapText="1"/>
    </xf>
    <xf numFmtId="14" fontId="8" fillId="0" borderId="2" xfId="0" applyNumberFormat="1" applyFont="1" applyFill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vertical="center" wrapText="1"/>
    </xf>
    <xf numFmtId="166" fontId="8" fillId="0" borderId="8" xfId="1" applyNumberFormat="1" applyFont="1" applyFill="1" applyBorder="1" applyAlignment="1">
      <alignment vertical="center" wrapText="1"/>
    </xf>
    <xf numFmtId="166" fontId="8" fillId="0" borderId="2" xfId="1" applyNumberFormat="1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vertical="center"/>
    </xf>
    <xf numFmtId="170" fontId="7" fillId="5" borderId="14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wrapText="1"/>
    </xf>
    <xf numFmtId="0" fontId="7" fillId="5" borderId="13" xfId="0" applyFont="1" applyFill="1" applyBorder="1" applyAlignment="1">
      <alignment wrapText="1"/>
    </xf>
    <xf numFmtId="166" fontId="7" fillId="5" borderId="0" xfId="1" applyNumberFormat="1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vertical="center"/>
    </xf>
    <xf numFmtId="171" fontId="18" fillId="0" borderId="0" xfId="0" applyNumberFormat="1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wrapText="1"/>
    </xf>
    <xf numFmtId="166" fontId="7" fillId="0" borderId="0" xfId="1" applyNumberFormat="1" applyFont="1" applyFill="1" applyBorder="1" applyAlignment="1">
      <alignment wrapText="1"/>
    </xf>
    <xf numFmtId="0" fontId="7" fillId="5" borderId="0" xfId="0" applyFont="1" applyFill="1" applyBorder="1" applyAlignment="1"/>
    <xf numFmtId="0" fontId="7" fillId="5" borderId="0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left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166" fontId="8" fillId="0" borderId="0" xfId="1" applyNumberFormat="1" applyFont="1" applyBorder="1" applyAlignment="1">
      <alignment horizontal="center" vertical="center" wrapText="1"/>
    </xf>
    <xf numFmtId="166" fontId="7" fillId="0" borderId="13" xfId="1" applyNumberFormat="1" applyFont="1" applyBorder="1" applyAlignment="1">
      <alignment vertical="center"/>
    </xf>
    <xf numFmtId="166" fontId="7" fillId="0" borderId="0" xfId="1" applyNumberFormat="1" applyFont="1" applyBorder="1" applyAlignment="1">
      <alignment vertical="center"/>
    </xf>
    <xf numFmtId="166" fontId="7" fillId="0" borderId="0" xfId="1" applyNumberFormat="1" applyFont="1" applyBorder="1" applyAlignment="1">
      <alignment vertical="center" wrapText="1"/>
    </xf>
    <xf numFmtId="0" fontId="7" fillId="5" borderId="0" xfId="0" applyFont="1" applyFill="1" applyBorder="1" applyAlignment="1">
      <alignment vertical="center" wrapText="1"/>
    </xf>
    <xf numFmtId="0" fontId="7" fillId="5" borderId="0" xfId="0" applyFont="1" applyFill="1" applyBorder="1" applyAlignment="1">
      <alignment horizontal="center" vertical="center" wrapText="1"/>
    </xf>
    <xf numFmtId="14" fontId="7" fillId="5" borderId="0" xfId="0" applyNumberFormat="1" applyFont="1" applyFill="1" applyBorder="1" applyAlignment="1">
      <alignment horizontal="center" vertical="center"/>
    </xf>
    <xf numFmtId="166" fontId="7" fillId="5" borderId="0" xfId="1" applyNumberFormat="1" applyFont="1" applyFill="1" applyBorder="1" applyAlignment="1">
      <alignment vertical="center"/>
    </xf>
    <xf numFmtId="166" fontId="7" fillId="5" borderId="13" xfId="1" applyNumberFormat="1" applyFont="1" applyFill="1" applyBorder="1" applyAlignment="1">
      <alignment vertical="center"/>
    </xf>
    <xf numFmtId="166" fontId="7" fillId="5" borderId="0" xfId="1" applyNumberFormat="1" applyFont="1" applyFill="1" applyBorder="1" applyAlignment="1">
      <alignment vertical="center" wrapText="1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Fill="1" applyBorder="1" applyAlignment="1">
      <alignment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14" fontId="7" fillId="0" borderId="14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6" fontId="7" fillId="0" borderId="14" xfId="1" applyNumberFormat="1" applyFont="1" applyBorder="1" applyAlignment="1">
      <alignment vertical="center"/>
    </xf>
    <xf numFmtId="166" fontId="24" fillId="0" borderId="14" xfId="1" applyNumberFormat="1" applyFont="1" applyBorder="1" applyAlignment="1">
      <alignment horizontal="center" vertical="center" wrapText="1"/>
    </xf>
    <xf numFmtId="166" fontId="7" fillId="0" borderId="15" xfId="1" applyNumberFormat="1" applyFont="1" applyBorder="1" applyAlignment="1">
      <alignment vertical="center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66" fontId="7" fillId="0" borderId="0" xfId="1" applyNumberFormat="1" applyFont="1" applyAlignment="1">
      <alignment vertical="center"/>
    </xf>
    <xf numFmtId="166" fontId="7" fillId="0" borderId="0" xfId="1" applyNumberFormat="1" applyFont="1" applyAlignment="1">
      <alignment vertical="center" wrapText="1"/>
    </xf>
    <xf numFmtId="0" fontId="8" fillId="0" borderId="0" xfId="0" applyFont="1" applyFill="1" applyBorder="1" applyAlignment="1">
      <alignment vertical="center"/>
    </xf>
    <xf numFmtId="166" fontId="8" fillId="0" borderId="0" xfId="1" applyNumberFormat="1" applyFont="1" applyFill="1" applyBorder="1" applyAlignment="1">
      <alignment vertical="top"/>
    </xf>
    <xf numFmtId="166" fontId="1" fillId="0" borderId="0" xfId="1" applyNumberFormat="1" applyFont="1" applyFill="1" applyBorder="1" applyAlignment="1">
      <alignment horizontal="center" vertical="center"/>
    </xf>
    <xf numFmtId="44" fontId="1" fillId="0" borderId="0" xfId="6" applyFont="1" applyFill="1" applyBorder="1" applyAlignment="1">
      <alignment horizontal="center" vertical="center"/>
    </xf>
    <xf numFmtId="170" fontId="1" fillId="0" borderId="0" xfId="1" applyNumberFormat="1" applyFont="1" applyFill="1" applyBorder="1" applyAlignment="1">
      <alignment horizontal="right" vertical="center"/>
    </xf>
    <xf numFmtId="170" fontId="1" fillId="0" borderId="0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169" fontId="1" fillId="0" borderId="2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166" fontId="1" fillId="0" borderId="8" xfId="1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vertical="center"/>
    </xf>
    <xf numFmtId="0" fontId="7" fillId="0" borderId="16" xfId="0" applyFont="1" applyFill="1" applyBorder="1" applyAlignment="1">
      <alignment vertical="center"/>
    </xf>
    <xf numFmtId="0" fontId="7" fillId="0" borderId="17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7" fillId="0" borderId="18" xfId="0" applyFont="1" applyFill="1" applyBorder="1" applyAlignment="1">
      <alignment vertical="center"/>
    </xf>
    <xf numFmtId="170" fontId="1" fillId="0" borderId="8" xfId="1" applyNumberFormat="1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vertical="center"/>
    </xf>
    <xf numFmtId="169" fontId="5" fillId="0" borderId="6" xfId="0" applyNumberFormat="1" applyFont="1" applyFill="1" applyBorder="1" applyAlignment="1">
      <alignment horizontal="center" vertical="center"/>
    </xf>
    <xf numFmtId="166" fontId="5" fillId="0" borderId="6" xfId="1" applyNumberFormat="1" applyFont="1" applyFill="1" applyBorder="1" applyAlignment="1">
      <alignment vertical="center"/>
    </xf>
    <xf numFmtId="166" fontId="5" fillId="0" borderId="6" xfId="1" applyNumberFormat="1" applyFont="1" applyFill="1" applyBorder="1" applyAlignment="1">
      <alignment vertical="center" wrapText="1"/>
    </xf>
    <xf numFmtId="166" fontId="5" fillId="0" borderId="7" xfId="1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1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left" vertical="center" wrapText="1"/>
    </xf>
    <xf numFmtId="0" fontId="7" fillId="0" borderId="20" xfId="0" applyFont="1" applyFill="1" applyBorder="1" applyAlignment="1">
      <alignment horizontal="left" vertical="center"/>
    </xf>
    <xf numFmtId="171" fontId="7" fillId="0" borderId="20" xfId="0" applyNumberFormat="1" applyFont="1" applyFill="1" applyBorder="1" applyAlignment="1">
      <alignment horizontal="left" vertical="center" wrapText="1"/>
    </xf>
    <xf numFmtId="14" fontId="7" fillId="0" borderId="20" xfId="0" applyNumberFormat="1" applyFont="1" applyFill="1" applyBorder="1" applyAlignment="1">
      <alignment horizontal="center" vertical="center"/>
    </xf>
    <xf numFmtId="1" fontId="7" fillId="0" borderId="20" xfId="0" applyNumberFormat="1" applyFont="1" applyFill="1" applyBorder="1" applyAlignment="1">
      <alignment horizontal="center" vertical="center"/>
    </xf>
    <xf numFmtId="166" fontId="7" fillId="0" borderId="20" xfId="1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center" vertical="center"/>
    </xf>
    <xf numFmtId="14" fontId="7" fillId="0" borderId="19" xfId="0" applyNumberFormat="1" applyFont="1" applyFill="1" applyBorder="1" applyAlignment="1">
      <alignment horizontal="center" vertical="center"/>
    </xf>
    <xf numFmtId="166" fontId="7" fillId="0" borderId="21" xfId="1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center" vertical="center" wrapText="1"/>
    </xf>
    <xf numFmtId="166" fontId="8" fillId="4" borderId="2" xfId="1" applyNumberFormat="1" applyFont="1" applyFill="1" applyBorder="1" applyAlignment="1">
      <alignment vertical="center" wrapText="1"/>
    </xf>
    <xf numFmtId="166" fontId="1" fillId="4" borderId="2" xfId="1" applyNumberFormat="1" applyFont="1" applyFill="1" applyBorder="1" applyAlignment="1">
      <alignment vertical="center"/>
    </xf>
    <xf numFmtId="1" fontId="1" fillId="4" borderId="2" xfId="1" applyNumberFormat="1" applyFont="1" applyFill="1" applyBorder="1" applyAlignment="1">
      <alignment vertical="center"/>
    </xf>
    <xf numFmtId="44" fontId="1" fillId="4" borderId="2" xfId="6" applyFont="1" applyFill="1" applyBorder="1" applyAlignment="1">
      <alignment vertical="center"/>
    </xf>
    <xf numFmtId="170" fontId="1" fillId="4" borderId="2" xfId="1" applyNumberFormat="1" applyFont="1" applyFill="1" applyBorder="1" applyAlignment="1">
      <alignment vertical="center"/>
    </xf>
    <xf numFmtId="166" fontId="5" fillId="4" borderId="6" xfId="1" applyNumberFormat="1" applyFont="1" applyFill="1" applyBorder="1" applyAlignment="1">
      <alignment vertical="center"/>
    </xf>
    <xf numFmtId="172" fontId="7" fillId="0" borderId="0" xfId="0" applyNumberFormat="1" applyFont="1" applyFill="1" applyBorder="1" applyAlignment="1">
      <alignment horizontal="center" vertical="center"/>
    </xf>
    <xf numFmtId="172" fontId="7" fillId="5" borderId="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41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169" fontId="14" fillId="0" borderId="0" xfId="0" applyNumberFormat="1" applyFont="1" applyBorder="1" applyAlignment="1">
      <alignment vertical="center"/>
    </xf>
    <xf numFmtId="169" fontId="14" fillId="0" borderId="0" xfId="0" applyNumberFormat="1" applyFont="1" applyAlignment="1">
      <alignment horizontal="center" vertical="center"/>
    </xf>
    <xf numFmtId="166" fontId="14" fillId="0" borderId="0" xfId="4" applyNumberFormat="1" applyFont="1" applyFill="1" applyAlignment="1">
      <alignment vertical="center"/>
    </xf>
    <xf numFmtId="0" fontId="25" fillId="0" borderId="0" xfId="0" applyFont="1"/>
    <xf numFmtId="0" fontId="26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7" fillId="0" borderId="0" xfId="0" applyFont="1"/>
    <xf numFmtId="169" fontId="1" fillId="0" borderId="22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9" fillId="2" borderId="34" xfId="0" applyFont="1" applyFill="1" applyBorder="1" applyAlignment="1">
      <alignment horizontal="center" vertical="center" wrapText="1"/>
    </xf>
    <xf numFmtId="0" fontId="19" fillId="2" borderId="3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2" borderId="36" xfId="19" applyNumberFormat="1" applyFont="1" applyFill="1" applyBorder="1" applyAlignment="1" applyProtection="1">
      <alignment horizontal="center" vertical="center" wrapText="1"/>
      <protection hidden="1"/>
    </xf>
    <xf numFmtId="0" fontId="17" fillId="0" borderId="37" xfId="0" applyFont="1" applyBorder="1" applyAlignment="1">
      <alignment horizontal="center" vertical="center" wrapText="1"/>
    </xf>
    <xf numFmtId="0" fontId="17" fillId="0" borderId="38" xfId="0" applyFont="1" applyBorder="1" applyAlignment="1">
      <alignment vertical="center" wrapText="1"/>
    </xf>
    <xf numFmtId="0" fontId="8" fillId="2" borderId="39" xfId="0" applyFont="1" applyFill="1" applyBorder="1" applyAlignment="1">
      <alignment horizontal="center" vertical="center" wrapText="1"/>
    </xf>
    <xf numFmtId="15" fontId="17" fillId="0" borderId="38" xfId="0" applyNumberFormat="1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41" fontId="17" fillId="4" borderId="38" xfId="0" applyNumberFormat="1" applyFont="1" applyFill="1" applyBorder="1" applyAlignment="1">
      <alignment horizontal="right" vertical="center" wrapText="1"/>
    </xf>
    <xf numFmtId="2" fontId="20" fillId="3" borderId="6" xfId="8" applyNumberFormat="1" applyFont="1" applyFill="1" applyBorder="1" applyAlignment="1">
      <alignment horizontal="left" vertical="center"/>
    </xf>
    <xf numFmtId="0" fontId="20" fillId="3" borderId="42" xfId="0" applyFont="1" applyFill="1" applyBorder="1"/>
    <xf numFmtId="0" fontId="20" fillId="3" borderId="43" xfId="0" applyFont="1" applyFill="1" applyBorder="1"/>
    <xf numFmtId="0" fontId="20" fillId="3" borderId="43" xfId="0" applyFont="1" applyFill="1" applyBorder="1" applyAlignment="1">
      <alignment horizontal="left" vertical="center"/>
    </xf>
    <xf numFmtId="0" fontId="20" fillId="3" borderId="43" xfId="0" applyFont="1" applyFill="1" applyBorder="1" applyAlignment="1">
      <alignment horizontal="center" vertical="center"/>
    </xf>
    <xf numFmtId="41" fontId="20" fillId="3" borderId="43" xfId="0" applyNumberFormat="1" applyFont="1" applyFill="1" applyBorder="1"/>
    <xf numFmtId="41" fontId="20" fillId="3" borderId="44" xfId="0" applyNumberFormat="1" applyFont="1" applyFill="1" applyBorder="1"/>
    <xf numFmtId="41" fontId="19" fillId="9" borderId="0" xfId="0" applyNumberFormat="1" applyFont="1" applyFill="1"/>
    <xf numFmtId="0" fontId="19" fillId="2" borderId="45" xfId="0" applyFont="1" applyFill="1" applyBorder="1" applyAlignment="1">
      <alignment horizontal="center" vertical="center" wrapText="1"/>
    </xf>
    <xf numFmtId="0" fontId="17" fillId="0" borderId="46" xfId="0" applyFont="1" applyBorder="1" applyAlignment="1">
      <alignment vertical="center" wrapText="1"/>
    </xf>
    <xf numFmtId="41" fontId="20" fillId="3" borderId="47" xfId="0" applyNumberFormat="1" applyFont="1" applyFill="1" applyBorder="1"/>
    <xf numFmtId="0" fontId="8" fillId="2" borderId="48" xfId="19" applyNumberFormat="1" applyFont="1" applyFill="1" applyBorder="1" applyAlignment="1" applyProtection="1">
      <alignment horizontal="center" vertical="center" wrapText="1"/>
      <protection hidden="1"/>
    </xf>
    <xf numFmtId="41" fontId="17" fillId="4" borderId="49" xfId="0" applyNumberFormat="1" applyFont="1" applyFill="1" applyBorder="1" applyAlignment="1">
      <alignment horizontal="right" vertical="center" wrapText="1"/>
    </xf>
    <xf numFmtId="0" fontId="16" fillId="3" borderId="43" xfId="0" applyFont="1" applyFill="1" applyBorder="1"/>
    <xf numFmtId="0" fontId="17" fillId="0" borderId="38" xfId="0" applyFont="1" applyBorder="1" applyAlignment="1">
      <alignment horizontal="center" vertical="center" wrapText="1"/>
    </xf>
    <xf numFmtId="166" fontId="5" fillId="7" borderId="0" xfId="1" applyNumberFormat="1" applyFont="1" applyFill="1" applyBorder="1" applyAlignment="1">
      <alignment vertical="top"/>
    </xf>
    <xf numFmtId="0" fontId="20" fillId="0" borderId="0" xfId="0" applyFont="1" applyAlignment="1">
      <alignment horizontal="center" vertical="center"/>
    </xf>
    <xf numFmtId="0" fontId="16" fillId="0" borderId="8" xfId="0" applyFont="1" applyBorder="1"/>
    <xf numFmtId="0" fontId="20" fillId="11" borderId="5" xfId="0" applyFont="1" applyFill="1" applyBorder="1"/>
    <xf numFmtId="41" fontId="20" fillId="11" borderId="6" xfId="0" applyNumberFormat="1" applyFont="1" applyFill="1" applyBorder="1"/>
    <xf numFmtId="0" fontId="20" fillId="11" borderId="7" xfId="0" applyFont="1" applyFill="1" applyBorder="1"/>
    <xf numFmtId="0" fontId="20" fillId="2" borderId="3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8" fillId="0" borderId="0" xfId="0" applyFont="1"/>
    <xf numFmtId="0" fontId="20" fillId="2" borderId="1" xfId="0" applyFont="1" applyFill="1" applyBorder="1" applyAlignment="1">
      <alignment horizontal="right" vertical="center" wrapText="1"/>
    </xf>
    <xf numFmtId="0" fontId="1" fillId="12" borderId="9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vertical="center" wrapText="1"/>
    </xf>
    <xf numFmtId="0" fontId="1" fillId="12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left" vertical="center" wrapText="1"/>
    </xf>
    <xf numFmtId="169" fontId="1" fillId="12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 wrapText="1"/>
    </xf>
    <xf numFmtId="166" fontId="1" fillId="12" borderId="2" xfId="1" applyNumberFormat="1" applyFont="1" applyFill="1" applyBorder="1" applyAlignment="1">
      <alignment vertical="center"/>
    </xf>
    <xf numFmtId="166" fontId="1" fillId="12" borderId="8" xfId="1" applyNumberFormat="1" applyFont="1" applyFill="1" applyBorder="1" applyAlignment="1">
      <alignment horizontal="center" vertical="center"/>
    </xf>
    <xf numFmtId="166" fontId="1" fillId="12" borderId="0" xfId="1" applyNumberFormat="1" applyFont="1" applyFill="1" applyBorder="1" applyAlignment="1">
      <alignment horizontal="center" vertical="center"/>
    </xf>
    <xf numFmtId="166" fontId="1" fillId="12" borderId="0" xfId="1" applyNumberFormat="1" applyFont="1" applyFill="1" applyBorder="1" applyAlignment="1">
      <alignment vertical="center"/>
    </xf>
    <xf numFmtId="0" fontId="1" fillId="12" borderId="17" xfId="0" applyFont="1" applyFill="1" applyBorder="1" applyAlignment="1">
      <alignment vertical="center"/>
    </xf>
    <xf numFmtId="0" fontId="7" fillId="12" borderId="17" xfId="0" applyFont="1" applyFill="1" applyBorder="1" applyAlignment="1">
      <alignment vertical="center"/>
    </xf>
    <xf numFmtId="0" fontId="1" fillId="12" borderId="2" xfId="0" applyFont="1" applyFill="1" applyBorder="1" applyAlignment="1">
      <alignment vertical="center"/>
    </xf>
    <xf numFmtId="0" fontId="7" fillId="12" borderId="18" xfId="0" applyFont="1" applyFill="1" applyBorder="1" applyAlignment="1">
      <alignment vertical="center"/>
    </xf>
    <xf numFmtId="166" fontId="5" fillId="12" borderId="2" xfId="1" applyNumberFormat="1" applyFont="1" applyFill="1" applyBorder="1" applyAlignment="1">
      <alignment horizontal="center" vertical="center" wrapText="1"/>
    </xf>
    <xf numFmtId="171" fontId="1" fillId="12" borderId="2" xfId="0" applyNumberFormat="1" applyFont="1" applyFill="1" applyBorder="1" applyAlignment="1">
      <alignment horizontal="left" vertical="center" wrapText="1"/>
    </xf>
    <xf numFmtId="1" fontId="1" fillId="12" borderId="2" xfId="0" applyNumberFormat="1" applyFont="1" applyFill="1" applyBorder="1" applyAlignment="1">
      <alignment horizontal="center" vertical="center"/>
    </xf>
    <xf numFmtId="166" fontId="1" fillId="12" borderId="2" xfId="1" applyNumberFormat="1" applyFont="1" applyFill="1" applyBorder="1" applyAlignment="1">
      <alignment horizontal="right" vertical="center" wrapText="1"/>
    </xf>
    <xf numFmtId="166" fontId="1" fillId="12" borderId="8" xfId="1" applyNumberFormat="1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vertical="center"/>
    </xf>
    <xf numFmtId="0" fontId="7" fillId="12" borderId="0" xfId="0" applyFont="1" applyFill="1" applyBorder="1" applyAlignment="1">
      <alignment vertical="center"/>
    </xf>
    <xf numFmtId="166" fontId="5" fillId="12" borderId="2" xfId="1" applyNumberFormat="1" applyFont="1" applyFill="1" applyBorder="1" applyAlignment="1">
      <alignment horizontal="right" vertical="center" wrapText="1"/>
    </xf>
    <xf numFmtId="166" fontId="1" fillId="12" borderId="2" xfId="1" applyNumberFormat="1" applyFont="1" applyFill="1" applyBorder="1" applyAlignment="1">
      <alignment horizontal="right" vertical="center"/>
    </xf>
    <xf numFmtId="2" fontId="8" fillId="0" borderId="2" xfId="0" applyNumberFormat="1" applyFont="1" applyFill="1" applyBorder="1" applyAlignment="1">
      <alignment horizontal="center" vertical="center" wrapText="1"/>
    </xf>
    <xf numFmtId="169" fontId="7" fillId="0" borderId="2" xfId="8" applyNumberFormat="1" applyFont="1" applyFill="1" applyBorder="1" applyAlignment="1">
      <alignment horizontal="center" vertical="center" wrapText="1"/>
    </xf>
    <xf numFmtId="0" fontId="8" fillId="2" borderId="23" xfId="8" applyFont="1" applyFill="1" applyBorder="1" applyAlignment="1">
      <alignment horizontal="center" vertical="center" wrapText="1"/>
    </xf>
    <xf numFmtId="0" fontId="8" fillId="2" borderId="23" xfId="19" applyNumberFormat="1" applyFont="1" applyFill="1" applyBorder="1" applyAlignment="1" applyProtection="1">
      <alignment horizontal="center" vertical="center"/>
      <protection hidden="1"/>
    </xf>
    <xf numFmtId="0" fontId="8" fillId="2" borderId="23" xfId="19" applyNumberFormat="1" applyFont="1" applyFill="1" applyBorder="1" applyAlignment="1" applyProtection="1">
      <alignment horizontal="center" vertical="center" wrapText="1"/>
      <protection hidden="1"/>
    </xf>
    <xf numFmtId="0" fontId="7" fillId="0" borderId="9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/>
    </xf>
    <xf numFmtId="169" fontId="7" fillId="0" borderId="2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166" fontId="7" fillId="0" borderId="2" xfId="1" applyNumberFormat="1" applyFont="1" applyFill="1" applyBorder="1" applyAlignment="1">
      <alignment vertical="center"/>
    </xf>
    <xf numFmtId="166" fontId="7" fillId="4" borderId="2" xfId="1" applyNumberFormat="1" applyFont="1" applyFill="1" applyBorder="1" applyAlignment="1">
      <alignment vertical="center"/>
    </xf>
    <xf numFmtId="166" fontId="7" fillId="0" borderId="8" xfId="1" applyNumberFormat="1" applyFont="1" applyFill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center" vertical="center"/>
    </xf>
    <xf numFmtId="169" fontId="7" fillId="0" borderId="23" xfId="0" applyNumberFormat="1" applyFont="1" applyFill="1" applyBorder="1" applyAlignment="1">
      <alignment horizontal="center" vertical="center"/>
    </xf>
    <xf numFmtId="1" fontId="7" fillId="0" borderId="23" xfId="0" applyNumberFormat="1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166" fontId="7" fillId="12" borderId="0" xfId="1" applyNumberFormat="1" applyFont="1" applyFill="1" applyBorder="1" applyAlignment="1">
      <alignment horizontal="center" vertical="center"/>
    </xf>
    <xf numFmtId="166" fontId="7" fillId="12" borderId="0" xfId="1" applyNumberFormat="1" applyFont="1" applyFill="1" applyBorder="1" applyAlignment="1">
      <alignment vertical="center"/>
    </xf>
    <xf numFmtId="0" fontId="7" fillId="6" borderId="2" xfId="0" applyFont="1" applyFill="1" applyBorder="1" applyAlignment="1">
      <alignment horizontal="center" vertical="center" wrapText="1"/>
    </xf>
    <xf numFmtId="171" fontId="7" fillId="0" borderId="2" xfId="0" applyNumberFormat="1" applyFont="1" applyFill="1" applyBorder="1" applyAlignment="1">
      <alignment horizontal="left" vertical="center" wrapText="1"/>
    </xf>
    <xf numFmtId="0" fontId="7" fillId="13" borderId="2" xfId="0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vertical="center" wrapText="1"/>
    </xf>
    <xf numFmtId="166" fontId="7" fillId="0" borderId="2" xfId="1" applyNumberFormat="1" applyFont="1" applyFill="1" applyBorder="1" applyAlignment="1">
      <alignment horizontal="right" vertical="center" wrapText="1"/>
    </xf>
    <xf numFmtId="166" fontId="7" fillId="13" borderId="2" xfId="1" applyNumberFormat="1" applyFont="1" applyFill="1" applyBorder="1" applyAlignment="1">
      <alignment vertical="center"/>
    </xf>
    <xf numFmtId="166" fontId="7" fillId="4" borderId="2" xfId="1" applyNumberFormat="1" applyFont="1" applyFill="1" applyBorder="1" applyAlignment="1">
      <alignment horizontal="right" vertical="center"/>
    </xf>
    <xf numFmtId="166" fontId="7" fillId="0" borderId="0" xfId="1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8" fillId="2" borderId="24" xfId="0" applyNumberFormat="1" applyFont="1" applyFill="1" applyBorder="1" applyAlignment="1">
      <alignment horizontal="center" vertical="center"/>
    </xf>
    <xf numFmtId="14" fontId="8" fillId="2" borderId="30" xfId="0" applyNumberFormat="1" applyFont="1" applyFill="1" applyBorder="1" applyAlignment="1">
      <alignment horizontal="center" vertical="center"/>
    </xf>
    <xf numFmtId="166" fontId="7" fillId="2" borderId="26" xfId="1" applyNumberFormat="1" applyFont="1" applyFill="1" applyBorder="1" applyAlignment="1">
      <alignment vertical="center"/>
    </xf>
    <xf numFmtId="166" fontId="8" fillId="2" borderId="25" xfId="1" applyNumberFormat="1" applyFont="1" applyFill="1" applyBorder="1" applyAlignment="1">
      <alignment horizontal="center" vertical="center"/>
    </xf>
    <xf numFmtId="166" fontId="7" fillId="2" borderId="27" xfId="1" applyNumberFormat="1" applyFont="1" applyFill="1" applyBorder="1" applyAlignment="1">
      <alignment vertical="center"/>
    </xf>
    <xf numFmtId="0" fontId="8" fillId="2" borderId="31" xfId="0" applyFont="1" applyFill="1" applyBorder="1" applyAlignment="1">
      <alignment horizontal="center" vertical="center" wrapText="1"/>
    </xf>
    <xf numFmtId="14" fontId="8" fillId="2" borderId="23" xfId="0" applyNumberFormat="1" applyFont="1" applyFill="1" applyBorder="1" applyAlignment="1">
      <alignment horizontal="center" vertical="center" wrapText="1"/>
    </xf>
    <xf numFmtId="2" fontId="8" fillId="2" borderId="23" xfId="0" applyNumberFormat="1" applyFont="1" applyFill="1" applyBorder="1" applyAlignment="1">
      <alignment horizontal="center" vertical="center" wrapText="1"/>
    </xf>
    <xf numFmtId="166" fontId="8" fillId="2" borderId="1" xfId="1" applyNumberFormat="1" applyFont="1" applyFill="1" applyBorder="1" applyAlignment="1">
      <alignment horizontal="center" vertical="center" wrapText="1"/>
    </xf>
    <xf numFmtId="166" fontId="8" fillId="2" borderId="4" xfId="1" applyNumberFormat="1" applyFont="1" applyFill="1" applyBorder="1" applyAlignment="1">
      <alignment horizontal="center" vertical="center" wrapText="1"/>
    </xf>
    <xf numFmtId="166" fontId="8" fillId="0" borderId="32" xfId="1" applyNumberFormat="1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wrapText="1"/>
    </xf>
    <xf numFmtId="0" fontId="7" fillId="5" borderId="14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6" fontId="5" fillId="7" borderId="0" xfId="1" applyNumberFormat="1" applyFont="1" applyFill="1" applyBorder="1" applyAlignment="1">
      <alignment vertical="center"/>
    </xf>
    <xf numFmtId="166" fontId="8" fillId="7" borderId="0" xfId="1" applyNumberFormat="1" applyFont="1" applyFill="1" applyBorder="1" applyAlignment="1">
      <alignment vertical="center"/>
    </xf>
    <xf numFmtId="1" fontId="7" fillId="0" borderId="2" xfId="19" applyNumberFormat="1" applyFont="1" applyFill="1" applyBorder="1" applyAlignment="1" applyProtection="1">
      <alignment horizontal="center" vertical="center" wrapText="1"/>
      <protection locked="0"/>
    </xf>
    <xf numFmtId="1" fontId="7" fillId="0" borderId="38" xfId="0" applyNumberFormat="1" applyFont="1" applyBorder="1" applyAlignment="1">
      <alignment horizontal="center" vertical="center" wrapText="1"/>
    </xf>
    <xf numFmtId="1" fontId="7" fillId="0" borderId="40" xfId="0" applyNumberFormat="1" applyFont="1" applyBorder="1" applyAlignment="1">
      <alignment horizontal="center" vertical="center" wrapText="1"/>
    </xf>
    <xf numFmtId="173" fontId="7" fillId="0" borderId="2" xfId="8" applyNumberFormat="1" applyFont="1" applyFill="1" applyBorder="1" applyAlignment="1" applyProtection="1">
      <alignment horizontal="center" vertical="center" wrapText="1"/>
      <protection locked="0"/>
    </xf>
    <xf numFmtId="171" fontId="7" fillId="0" borderId="0" xfId="0" applyNumberFormat="1" applyFont="1" applyFill="1" applyBorder="1" applyAlignment="1">
      <alignment horizontal="left" vertical="center" wrapText="1"/>
    </xf>
    <xf numFmtId="0" fontId="7" fillId="6" borderId="9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169" fontId="7" fillId="6" borderId="2" xfId="0" applyNumberFormat="1" applyFont="1" applyFill="1" applyBorder="1" applyAlignment="1">
      <alignment horizontal="center" vertical="center"/>
    </xf>
    <xf numFmtId="1" fontId="7" fillId="6" borderId="2" xfId="0" applyNumberFormat="1" applyFont="1" applyFill="1" applyBorder="1" applyAlignment="1">
      <alignment horizontal="center" vertical="center"/>
    </xf>
    <xf numFmtId="166" fontId="7" fillId="6" borderId="2" xfId="1" applyNumberFormat="1" applyFont="1" applyFill="1" applyBorder="1" applyAlignment="1">
      <alignment vertical="center"/>
    </xf>
    <xf numFmtId="166" fontId="7" fillId="6" borderId="8" xfId="1" applyNumberFormat="1" applyFont="1" applyFill="1" applyBorder="1" applyAlignment="1">
      <alignment horizontal="center" vertical="center"/>
    </xf>
    <xf numFmtId="166" fontId="7" fillId="6" borderId="0" xfId="1" applyNumberFormat="1" applyFont="1" applyFill="1" applyBorder="1" applyAlignment="1">
      <alignment horizontal="center" vertical="center"/>
    </xf>
    <xf numFmtId="166" fontId="7" fillId="6" borderId="0" xfId="1" applyNumberFormat="1" applyFont="1" applyFill="1" applyBorder="1" applyAlignment="1">
      <alignment vertical="center"/>
    </xf>
    <xf numFmtId="0" fontId="7" fillId="6" borderId="17" xfId="0" applyFont="1" applyFill="1" applyBorder="1" applyAlignment="1">
      <alignment vertical="center"/>
    </xf>
    <xf numFmtId="41" fontId="7" fillId="4" borderId="2" xfId="1" applyNumberFormat="1" applyFont="1" applyFill="1" applyBorder="1" applyAlignment="1">
      <alignment vertical="center"/>
    </xf>
    <xf numFmtId="0" fontId="7" fillId="6" borderId="2" xfId="0" applyFont="1" applyFill="1" applyBorder="1" applyAlignment="1">
      <alignment horizontal="left" vertical="center" wrapText="1"/>
    </xf>
    <xf numFmtId="171" fontId="7" fillId="6" borderId="2" xfId="0" applyNumberFormat="1" applyFont="1" applyFill="1" applyBorder="1" applyAlignment="1">
      <alignment horizontal="left" vertical="center" wrapText="1"/>
    </xf>
    <xf numFmtId="166" fontId="7" fillId="6" borderId="2" xfId="1" applyNumberFormat="1" applyFont="1" applyFill="1" applyBorder="1" applyAlignment="1">
      <alignment horizontal="right" vertical="center" wrapText="1"/>
    </xf>
    <xf numFmtId="166" fontId="7" fillId="6" borderId="8" xfId="1" applyNumberFormat="1" applyFont="1" applyFill="1" applyBorder="1" applyAlignment="1">
      <alignment horizontal="center" vertical="center" wrapText="1"/>
    </xf>
    <xf numFmtId="170" fontId="29" fillId="0" borderId="0" xfId="1" applyNumberFormat="1" applyFont="1" applyBorder="1" applyAlignment="1">
      <alignment horizontal="right" vertical="center" wrapText="1"/>
    </xf>
    <xf numFmtId="166" fontId="29" fillId="0" borderId="0" xfId="1" applyNumberFormat="1" applyFont="1" applyFill="1" applyBorder="1" applyAlignment="1">
      <alignment horizontal="right" vertical="center"/>
    </xf>
    <xf numFmtId="166" fontId="29" fillId="0" borderId="0" xfId="1" quotePrefix="1" applyNumberFormat="1" applyFont="1" applyFill="1" applyBorder="1" applyAlignment="1">
      <alignment horizontal="center" vertical="center"/>
    </xf>
    <xf numFmtId="166" fontId="29" fillId="0" borderId="0" xfId="1" applyNumberFormat="1" applyFont="1" applyFill="1" applyBorder="1" applyAlignment="1">
      <alignment horizontal="center" vertical="center"/>
    </xf>
    <xf numFmtId="166" fontId="18" fillId="0" borderId="0" xfId="1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41" fontId="7" fillId="0" borderId="2" xfId="7" applyNumberFormat="1" applyFont="1" applyFill="1" applyBorder="1" applyAlignment="1">
      <alignment horizontal="right" vertical="center" wrapText="1"/>
    </xf>
    <xf numFmtId="0" fontId="7" fillId="0" borderId="2" xfId="8" applyFont="1" applyFill="1" applyBorder="1" applyAlignment="1" applyProtection="1">
      <alignment vertical="center" wrapText="1"/>
      <protection locked="0"/>
    </xf>
    <xf numFmtId="0" fontId="7" fillId="0" borderId="2" xfId="8" applyFont="1" applyFill="1" applyBorder="1" applyAlignment="1">
      <alignment vertical="center" wrapText="1"/>
    </xf>
    <xf numFmtId="1" fontId="8" fillId="0" borderId="0" xfId="0" applyNumberFormat="1" applyFont="1" applyAlignment="1">
      <alignment horizontal="center" vertical="center"/>
    </xf>
    <xf numFmtId="1" fontId="8" fillId="2" borderId="25" xfId="0" applyNumberFormat="1" applyFont="1" applyFill="1" applyBorder="1" applyAlignment="1">
      <alignment horizontal="center" vertical="center"/>
    </xf>
    <xf numFmtId="1" fontId="8" fillId="2" borderId="23" xfId="0" applyNumberFormat="1" applyFont="1" applyFill="1" applyBorder="1" applyAlignment="1">
      <alignment horizontal="center" vertical="center" wrapText="1"/>
    </xf>
    <xf numFmtId="1" fontId="8" fillId="0" borderId="2" xfId="0" applyNumberFormat="1" applyFont="1" applyFill="1" applyBorder="1" applyAlignment="1">
      <alignment horizontal="center" vertical="center" wrapText="1"/>
    </xf>
    <xf numFmtId="1" fontId="18" fillId="0" borderId="0" xfId="0" applyNumberFormat="1" applyFont="1" applyFill="1" applyBorder="1" applyAlignment="1">
      <alignment horizontal="left" vertical="center" wrapText="1"/>
    </xf>
    <xf numFmtId="1" fontId="7" fillId="5" borderId="14" xfId="0" applyNumberFormat="1" applyFont="1" applyFill="1" applyBorder="1" applyAlignment="1">
      <alignment horizontal="left" vertical="center"/>
    </xf>
    <xf numFmtId="1" fontId="7" fillId="5" borderId="0" xfId="0" applyNumberFormat="1" applyFont="1" applyFill="1" applyBorder="1" applyAlignment="1">
      <alignment horizontal="center" vertical="center"/>
    </xf>
    <xf numFmtId="1" fontId="7" fillId="0" borderId="14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7" fillId="0" borderId="0" xfId="0" applyFont="1"/>
    <xf numFmtId="0" fontId="1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8" fillId="0" borderId="12" xfId="8" applyFont="1" applyBorder="1" applyAlignment="1"/>
    <xf numFmtId="0" fontId="8" fillId="0" borderId="12" xfId="8" applyFont="1" applyBorder="1" applyAlignment="1">
      <alignment wrapText="1"/>
    </xf>
    <xf numFmtId="0" fontId="8" fillId="2" borderId="24" xfId="8" applyFont="1" applyFill="1" applyBorder="1" applyAlignment="1">
      <alignment wrapText="1"/>
    </xf>
    <xf numFmtId="0" fontId="8" fillId="2" borderId="25" xfId="8" applyFont="1" applyFill="1" applyBorder="1" applyAlignment="1">
      <alignment horizontal="center" vertical="center"/>
    </xf>
    <xf numFmtId="0" fontId="8" fillId="2" borderId="25" xfId="8" applyFont="1" applyFill="1" applyBorder="1" applyAlignment="1">
      <alignment wrapText="1"/>
    </xf>
    <xf numFmtId="0" fontId="8" fillId="2" borderId="26" xfId="8" applyFont="1" applyFill="1" applyBorder="1" applyAlignment="1">
      <alignment wrapText="1"/>
    </xf>
    <xf numFmtId="0" fontId="8" fillId="2" borderId="25" xfId="8" applyFont="1" applyFill="1" applyBorder="1" applyAlignment="1">
      <alignment horizontal="center"/>
    </xf>
    <xf numFmtId="0" fontId="8" fillId="2" borderId="27" xfId="8" applyFont="1" applyFill="1" applyBorder="1" applyAlignment="1">
      <alignment wrapText="1"/>
    </xf>
    <xf numFmtId="166" fontId="8" fillId="0" borderId="12" xfId="4" applyNumberFormat="1" applyFont="1" applyBorder="1" applyAlignment="1">
      <alignment wrapText="1"/>
    </xf>
    <xf numFmtId="0" fontId="8" fillId="0" borderId="12" xfId="8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41" fontId="5" fillId="10" borderId="12" xfId="8" applyNumberFormat="1" applyFont="1" applyFill="1" applyBorder="1" applyAlignment="1">
      <alignment wrapText="1"/>
    </xf>
    <xf numFmtId="1" fontId="7" fillId="0" borderId="2" xfId="0" applyNumberFormat="1" applyFont="1" applyBorder="1" applyAlignment="1">
      <alignment horizontal="center" vertical="center"/>
    </xf>
    <xf numFmtId="0" fontId="30" fillId="0" borderId="0" xfId="0" applyFont="1"/>
    <xf numFmtId="0" fontId="1" fillId="0" borderId="0" xfId="0" applyFont="1"/>
    <xf numFmtId="0" fontId="31" fillId="0" borderId="0" xfId="0" applyFont="1"/>
    <xf numFmtId="0" fontId="7" fillId="0" borderId="0" xfId="0" applyFont="1" applyAlignment="1">
      <alignment horizontal="center"/>
    </xf>
    <xf numFmtId="0" fontId="8" fillId="2" borderId="28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3" xfId="19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/>
    <xf numFmtId="41" fontId="5" fillId="10" borderId="0" xfId="0" applyNumberFormat="1" applyFont="1" applyFill="1"/>
    <xf numFmtId="0" fontId="7" fillId="0" borderId="9" xfId="19" applyNumberFormat="1" applyFont="1" applyFill="1" applyBorder="1" applyAlignment="1" applyProtection="1">
      <alignment horizontal="center" vertical="center"/>
      <protection locked="0"/>
    </xf>
    <xf numFmtId="0" fontId="7" fillId="0" borderId="2" xfId="19" applyNumberFormat="1" applyFont="1" applyFill="1" applyBorder="1" applyAlignment="1" applyProtection="1">
      <alignment vertical="center" wrapText="1"/>
      <protection locked="0"/>
    </xf>
    <xf numFmtId="0" fontId="7" fillId="0" borderId="2" xfId="19" applyNumberFormat="1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Fill="1" applyBorder="1" applyAlignment="1">
      <alignment horizontal="center" vertical="center"/>
    </xf>
    <xf numFmtId="15" fontId="7" fillId="0" borderId="2" xfId="19" applyNumberFormat="1" applyFont="1" applyFill="1" applyBorder="1" applyAlignment="1" applyProtection="1">
      <alignment horizontal="center" vertical="center" wrapText="1"/>
      <protection locked="0"/>
    </xf>
    <xf numFmtId="173" fontId="7" fillId="0" borderId="2" xfId="19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Alignment="1">
      <alignment vertical="center"/>
    </xf>
    <xf numFmtId="0" fontId="5" fillId="3" borderId="5" xfId="19" applyNumberFormat="1" applyFont="1" applyFill="1" applyBorder="1" applyAlignment="1" applyProtection="1">
      <alignment vertical="center"/>
      <protection hidden="1"/>
    </xf>
    <xf numFmtId="0" fontId="5" fillId="3" borderId="6" xfId="19" applyNumberFormat="1" applyFont="1" applyFill="1" applyBorder="1" applyAlignment="1" applyProtection="1">
      <alignment horizontal="center" vertical="center" wrapText="1"/>
      <protection hidden="1"/>
    </xf>
    <xf numFmtId="165" fontId="5" fillId="3" borderId="6" xfId="19" applyNumberFormat="1" applyFont="1" applyFill="1" applyBorder="1" applyAlignment="1" applyProtection="1">
      <alignment horizontal="center" vertical="center" wrapText="1"/>
      <protection hidden="1"/>
    </xf>
    <xf numFmtId="0" fontId="1" fillId="3" borderId="7" xfId="0" applyFont="1" applyFill="1" applyBorder="1" applyAlignment="1">
      <alignment horizontal="center" vertical="center"/>
    </xf>
    <xf numFmtId="0" fontId="32" fillId="0" borderId="0" xfId="0" applyFont="1"/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41" fontId="5" fillId="9" borderId="0" xfId="0" applyNumberFormat="1" applyFont="1" applyFill="1"/>
    <xf numFmtId="0" fontId="8" fillId="2" borderId="34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8" fillId="2" borderId="45" xfId="0" applyFont="1" applyFill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38" xfId="0" applyFont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15" fontId="7" fillId="0" borderId="38" xfId="0" applyNumberFormat="1" applyFont="1" applyBorder="1" applyAlignment="1">
      <alignment horizontal="center" vertical="center" wrapText="1"/>
    </xf>
    <xf numFmtId="41" fontId="7" fillId="4" borderId="38" xfId="0" applyNumberFormat="1" applyFont="1" applyFill="1" applyBorder="1" applyAlignment="1">
      <alignment horizontal="right" vertical="center" wrapText="1"/>
    </xf>
    <xf numFmtId="41" fontId="7" fillId="4" borderId="49" xfId="0" applyNumberFormat="1" applyFont="1" applyFill="1" applyBorder="1" applyAlignment="1">
      <alignment horizontal="right" vertical="center" wrapText="1"/>
    </xf>
    <xf numFmtId="0" fontId="7" fillId="0" borderId="46" xfId="0" applyFont="1" applyBorder="1" applyAlignment="1">
      <alignment vertical="center" wrapText="1"/>
    </xf>
    <xf numFmtId="169" fontId="7" fillId="0" borderId="38" xfId="0" applyNumberFormat="1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40" xfId="0" applyFont="1" applyBorder="1" applyAlignment="1">
      <alignment vertical="center" wrapText="1"/>
    </xf>
    <xf numFmtId="0" fontId="7" fillId="0" borderId="40" xfId="0" applyFont="1" applyBorder="1" applyAlignment="1">
      <alignment horizontal="center" vertical="center" wrapText="1"/>
    </xf>
    <xf numFmtId="0" fontId="5" fillId="3" borderId="42" xfId="0" applyFont="1" applyFill="1" applyBorder="1"/>
    <xf numFmtId="0" fontId="5" fillId="3" borderId="43" xfId="0" applyFont="1" applyFill="1" applyBorder="1" applyAlignment="1">
      <alignment horizontal="left" vertical="center"/>
    </xf>
    <xf numFmtId="0" fontId="5" fillId="3" borderId="43" xfId="0" applyFont="1" applyFill="1" applyBorder="1"/>
    <xf numFmtId="0" fontId="5" fillId="3" borderId="43" xfId="0" applyFont="1" applyFill="1" applyBorder="1" applyAlignment="1">
      <alignment horizontal="center" vertical="center"/>
    </xf>
    <xf numFmtId="1" fontId="5" fillId="3" borderId="43" xfId="0" applyNumberFormat="1" applyFont="1" applyFill="1" applyBorder="1" applyAlignment="1">
      <alignment horizontal="center" vertical="center"/>
    </xf>
    <xf numFmtId="41" fontId="5" fillId="3" borderId="43" xfId="0" applyNumberFormat="1" applyFont="1" applyFill="1" applyBorder="1"/>
    <xf numFmtId="41" fontId="5" fillId="3" borderId="44" xfId="0" applyNumberFormat="1" applyFont="1" applyFill="1" applyBorder="1"/>
    <xf numFmtId="41" fontId="5" fillId="3" borderId="47" xfId="0" applyNumberFormat="1" applyFont="1" applyFill="1" applyBorder="1"/>
    <xf numFmtId="169" fontId="7" fillId="0" borderId="2" xfId="0" applyNumberFormat="1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center" vertical="center"/>
    </xf>
    <xf numFmtId="172" fontId="7" fillId="0" borderId="6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41" fontId="7" fillId="4" borderId="6" xfId="0" applyNumberFormat="1" applyFont="1" applyFill="1" applyBorder="1" applyAlignment="1">
      <alignment horizontal="center" vertical="center" wrapText="1"/>
    </xf>
    <xf numFmtId="166" fontId="7" fillId="0" borderId="7" xfId="1" applyNumberFormat="1" applyFont="1" applyFill="1" applyBorder="1" applyAlignment="1">
      <alignment horizontal="center" vertical="center" wrapText="1"/>
    </xf>
    <xf numFmtId="41" fontId="7" fillId="0" borderId="6" xfId="0" applyNumberFormat="1" applyFont="1" applyFill="1" applyBorder="1" applyAlignment="1">
      <alignment horizontal="center" vertical="center" wrapText="1"/>
    </xf>
    <xf numFmtId="166" fontId="7" fillId="0" borderId="8" xfId="1" applyNumberFormat="1" applyFont="1" applyFill="1" applyBorder="1" applyAlignment="1">
      <alignment horizontal="center" vertical="center"/>
    </xf>
    <xf numFmtId="41" fontId="16" fillId="0" borderId="2" xfId="0" applyNumberFormat="1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" fillId="0" borderId="8" xfId="0" applyFont="1" applyBorder="1" applyAlignment="1">
      <alignment wrapText="1"/>
    </xf>
    <xf numFmtId="0" fontId="16" fillId="0" borderId="8" xfId="0" applyFont="1" applyBorder="1" applyAlignment="1">
      <alignment wrapText="1"/>
    </xf>
    <xf numFmtId="0" fontId="7" fillId="6" borderId="6" xfId="0" applyFont="1" applyFill="1" applyBorder="1" applyAlignment="1">
      <alignment horizontal="center" vertical="center"/>
    </xf>
    <xf numFmtId="169" fontId="7" fillId="0" borderId="6" xfId="0" applyNumberFormat="1" applyFont="1" applyFill="1" applyBorder="1" applyAlignment="1">
      <alignment horizontal="center" vertical="center"/>
    </xf>
    <xf numFmtId="1" fontId="7" fillId="0" borderId="6" xfId="0" applyNumberFormat="1" applyFont="1" applyFill="1" applyBorder="1" applyAlignment="1">
      <alignment horizontal="center" vertical="center"/>
    </xf>
    <xf numFmtId="0" fontId="8" fillId="2" borderId="31" xfId="19" applyNumberFormat="1" applyFont="1" applyFill="1" applyBorder="1" applyAlignment="1" applyProtection="1">
      <alignment horizontal="center" vertical="center" wrapText="1"/>
      <protection hidden="1"/>
    </xf>
    <xf numFmtId="41" fontId="5" fillId="0" borderId="0" xfId="8" applyNumberFormat="1" applyFont="1" applyFill="1" applyBorder="1" applyAlignment="1">
      <alignment horizontal="center" vertical="center"/>
    </xf>
    <xf numFmtId="0" fontId="17" fillId="0" borderId="52" xfId="8" applyFont="1" applyFill="1" applyBorder="1" applyAlignment="1">
      <alignment horizontal="center" vertical="center"/>
    </xf>
    <xf numFmtId="0" fontId="17" fillId="0" borderId="33" xfId="8" applyFont="1" applyFill="1" applyBorder="1" applyAlignment="1">
      <alignment horizontal="center" vertical="center"/>
    </xf>
    <xf numFmtId="0" fontId="8" fillId="6" borderId="32" xfId="8" applyFont="1" applyFill="1" applyBorder="1" applyAlignment="1">
      <alignment horizontal="center" vertical="center"/>
    </xf>
    <xf numFmtId="166" fontId="7" fillId="6" borderId="32" xfId="4" applyNumberFormat="1" applyFont="1" applyFill="1" applyBorder="1" applyAlignment="1">
      <alignment horizontal="center" vertical="center"/>
    </xf>
    <xf numFmtId="0" fontId="7" fillId="6" borderId="32" xfId="8" applyFont="1" applyFill="1" applyBorder="1" applyAlignment="1">
      <alignment horizontal="center" vertical="center"/>
    </xf>
    <xf numFmtId="0" fontId="17" fillId="6" borderId="32" xfId="8" applyFont="1" applyFill="1" applyBorder="1" applyAlignment="1">
      <alignment horizontal="center" vertical="center"/>
    </xf>
    <xf numFmtId="0" fontId="20" fillId="6" borderId="32" xfId="8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14" fillId="0" borderId="0" xfId="0" applyFont="1" applyFill="1" applyAlignment="1">
      <alignment horizontal="right" vertical="center"/>
    </xf>
    <xf numFmtId="169" fontId="7" fillId="0" borderId="38" xfId="0" applyNumberFormat="1" applyFont="1" applyBorder="1" applyAlignment="1">
      <alignment horizontal="center" vertical="center" wrapText="1"/>
    </xf>
    <xf numFmtId="169" fontId="7" fillId="0" borderId="40" xfId="0" applyNumberFormat="1" applyFont="1" applyBorder="1" applyAlignment="1">
      <alignment horizontal="center" vertical="center" wrapText="1"/>
    </xf>
    <xf numFmtId="41" fontId="7" fillId="4" borderId="38" xfId="0" applyNumberFormat="1" applyFont="1" applyFill="1" applyBorder="1" applyAlignment="1">
      <alignment horizontal="right" vertical="center" wrapText="1"/>
    </xf>
    <xf numFmtId="41" fontId="7" fillId="4" borderId="40" xfId="0" applyNumberFormat="1" applyFont="1" applyFill="1" applyBorder="1" applyAlignment="1">
      <alignment horizontal="right" vertical="center" wrapText="1"/>
    </xf>
    <xf numFmtId="41" fontId="7" fillId="4" borderId="49" xfId="0" applyNumberFormat="1" applyFont="1" applyFill="1" applyBorder="1" applyAlignment="1">
      <alignment horizontal="right" vertical="center" wrapText="1"/>
    </xf>
    <xf numFmtId="41" fontId="7" fillId="4" borderId="50" xfId="0" applyNumberFormat="1" applyFont="1" applyFill="1" applyBorder="1" applyAlignment="1">
      <alignment horizontal="right" vertical="center" wrapText="1"/>
    </xf>
    <xf numFmtId="0" fontId="7" fillId="0" borderId="46" xfId="0" applyFont="1" applyBorder="1" applyAlignment="1">
      <alignment vertical="center" wrapText="1"/>
    </xf>
    <xf numFmtId="0" fontId="7" fillId="0" borderId="51" xfId="0" applyFont="1" applyBorder="1" applyAlignment="1">
      <alignment vertical="center" wrapText="1"/>
    </xf>
  </cellXfs>
  <cellStyles count="22">
    <cellStyle name="Comma" xfId="1" builtinId="3"/>
    <cellStyle name="Comma 2" xfId="2"/>
    <cellStyle name="Comma 2 10" xfId="3"/>
    <cellStyle name="Comma 3" xfId="4"/>
    <cellStyle name="Comma 4" xfId="5"/>
    <cellStyle name="Currency" xfId="6" builtinId="4"/>
    <cellStyle name="Currency 7" xfId="7"/>
    <cellStyle name="Normal" xfId="0" builtinId="0"/>
    <cellStyle name="Normal 10" xfId="8"/>
    <cellStyle name="Normal 2" xfId="9"/>
    <cellStyle name="Normal 2 10" xfId="10"/>
    <cellStyle name="Normal 2 2" xfId="11"/>
    <cellStyle name="Normal 2 3" xfId="12"/>
    <cellStyle name="Normal 2 4" xfId="13"/>
    <cellStyle name="Normal 2 5" xfId="14"/>
    <cellStyle name="Normal 2 6" xfId="15"/>
    <cellStyle name="Normal 2 7" xfId="16"/>
    <cellStyle name="Normal 2 8" xfId="17"/>
    <cellStyle name="Normal 3" xfId="18"/>
    <cellStyle name="Normal 4" xfId="19"/>
    <cellStyle name="Percent" xfId="20" builtinId="5"/>
    <cellStyle name="Percent 2" xfId="21"/>
  </cellStyles>
  <dxfs count="160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kono/AppData/Roaming/Microsoft/Excel/TABLE%20B5%20-%202015-2016%20-%20Rev%2002%20-%20IPMP%20(30%20Jan%202015)%20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JECT LIST 2015-16 rev 03"/>
      <sheetName val="Basic Services List"/>
      <sheetName val="Baseline 1"/>
    </sheetNames>
    <sheetDataSet>
      <sheetData sheetId="0" refreshError="1"/>
      <sheetData sheetId="1" refreshError="1"/>
      <sheetData sheetId="2" refreshError="1">
        <row r="82">
          <cell r="AA82">
            <v>1979439.83</v>
          </cell>
        </row>
        <row r="244">
          <cell r="D244" t="str">
            <v>S</v>
          </cell>
          <cell r="E244">
            <v>800005421</v>
          </cell>
          <cell r="G244" t="str">
            <v>Capital Assets</v>
          </cell>
          <cell r="H244" t="str">
            <v>Nkangala</v>
          </cell>
          <cell r="I244" t="str">
            <v>Kwaggafontein East</v>
          </cell>
          <cell r="J244" t="str">
            <v>Thembisile Hani</v>
          </cell>
          <cell r="M244" t="str">
            <v>Dinaledi Schools</v>
          </cell>
          <cell r="AA244">
            <v>1928746.79</v>
          </cell>
        </row>
        <row r="258">
          <cell r="C258" t="str">
            <v>Mbombela Circuit Office</v>
          </cell>
          <cell r="G258" t="str">
            <v>Capital Assets</v>
          </cell>
          <cell r="H258" t="str">
            <v>Ehlanzeni</v>
          </cell>
          <cell r="I258" t="str">
            <v xml:space="preserve">Mbombela </v>
          </cell>
          <cell r="J258" t="str">
            <v>Mbombela</v>
          </cell>
          <cell r="M258" t="str">
            <v>Storm Damaged Schools</v>
          </cell>
        </row>
        <row r="310">
          <cell r="D310" t="str">
            <v>S</v>
          </cell>
          <cell r="G310" t="str">
            <v>Capital Assets</v>
          </cell>
          <cell r="H310" t="str">
            <v>Gert Sibande</v>
          </cell>
          <cell r="I310" t="str">
            <v>Breyten</v>
          </cell>
          <cell r="J310" t="str">
            <v>Msukaligwa</v>
          </cell>
          <cell r="AA310">
            <v>409345.77</v>
          </cell>
        </row>
        <row r="319">
          <cell r="D319" t="str">
            <v>S</v>
          </cell>
          <cell r="E319">
            <v>800021105</v>
          </cell>
          <cell r="G319" t="str">
            <v>Capital Assets</v>
          </cell>
          <cell r="H319" t="str">
            <v>Ehlanzeni</v>
          </cell>
          <cell r="I319" t="str">
            <v>Insikazi</v>
          </cell>
          <cell r="J319" t="str">
            <v>Mbombela</v>
          </cell>
          <cell r="AA319">
            <v>919940.46</v>
          </cell>
        </row>
        <row r="320">
          <cell r="D320" t="str">
            <v>S</v>
          </cell>
          <cell r="E320">
            <v>800003178</v>
          </cell>
          <cell r="G320" t="str">
            <v>Capital Assets</v>
          </cell>
          <cell r="H320" t="str">
            <v>Ehlanzeni</v>
          </cell>
          <cell r="I320" t="str">
            <v>Sikhulile</v>
          </cell>
          <cell r="J320" t="str">
            <v>Mbombela</v>
          </cell>
          <cell r="AA320">
            <v>2038543.3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E9"/>
  <sheetViews>
    <sheetView topLeftCell="C1" workbookViewId="0">
      <selection activeCell="E15" sqref="E15"/>
    </sheetView>
  </sheetViews>
  <sheetFormatPr defaultRowHeight="12.75"/>
  <cols>
    <col min="1" max="2" width="0" style="1" hidden="1" customWidth="1"/>
    <col min="3" max="3" width="35.140625" style="1" bestFit="1" customWidth="1"/>
    <col min="4" max="4" width="17.42578125" style="1" bestFit="1" customWidth="1"/>
    <col min="5" max="5" width="47" style="1" customWidth="1"/>
    <col min="6" max="16384" width="9.140625" style="1"/>
  </cols>
  <sheetData>
    <row r="1" spans="3:5" ht="16.5" thickBot="1">
      <c r="C1" s="316" t="s">
        <v>1418</v>
      </c>
    </row>
    <row r="2" spans="3:5" s="309" customFormat="1" ht="39" thickTop="1">
      <c r="C2" s="314" t="s">
        <v>1245</v>
      </c>
      <c r="D2" s="317" t="s">
        <v>1246</v>
      </c>
      <c r="E2" s="315" t="s">
        <v>1253</v>
      </c>
    </row>
    <row r="3" spans="3:5" ht="38.25">
      <c r="C3" s="517" t="s">
        <v>1250</v>
      </c>
      <c r="D3" s="516">
        <v>639674</v>
      </c>
      <c r="E3" s="518" t="s">
        <v>1415</v>
      </c>
    </row>
    <row r="4" spans="3:5" ht="25.5">
      <c r="C4" s="517" t="s">
        <v>1251</v>
      </c>
      <c r="D4" s="516">
        <v>398512</v>
      </c>
      <c r="E4" s="518" t="s">
        <v>1416</v>
      </c>
    </row>
    <row r="5" spans="3:5">
      <c r="C5" s="517" t="s">
        <v>1247</v>
      </c>
      <c r="D5" s="516">
        <v>72354</v>
      </c>
      <c r="E5" s="310" t="s">
        <v>1413</v>
      </c>
    </row>
    <row r="6" spans="3:5">
      <c r="C6" s="517" t="s">
        <v>1248</v>
      </c>
      <c r="D6" s="516">
        <v>118862</v>
      </c>
      <c r="E6" s="310" t="s">
        <v>1414</v>
      </c>
    </row>
    <row r="7" spans="3:5" ht="25.5">
      <c r="C7" s="517" t="s">
        <v>1249</v>
      </c>
      <c r="D7" s="516">
        <v>114735</v>
      </c>
      <c r="E7" s="519" t="s">
        <v>1417</v>
      </c>
    </row>
    <row r="8" spans="3:5" ht="13.5" thickBot="1">
      <c r="C8" s="311" t="s">
        <v>1252</v>
      </c>
      <c r="D8" s="312">
        <f>SUM(D3:D7)</f>
        <v>1344137</v>
      </c>
      <c r="E8" s="313"/>
    </row>
    <row r="9" spans="3:5" ht="13.5" thickTop="1"/>
  </sheetData>
  <pageMargins left="0.51" right="0.41" top="0.59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IV574"/>
  <sheetViews>
    <sheetView tabSelected="1" view="pageBreakPreview" zoomScaleNormal="80" zoomScaleSheetLayoutView="100" workbookViewId="0">
      <pane xSplit="2" ySplit="26" topLeftCell="D64" activePane="bottomRight" state="frozen"/>
      <selection pane="topRight" activeCell="C1" sqref="C1"/>
      <selection pane="bottomLeft" activeCell="A26" sqref="A26"/>
      <selection pane="bottomRight" activeCell="G66" sqref="G66"/>
    </sheetView>
  </sheetViews>
  <sheetFormatPr defaultRowHeight="11.25"/>
  <cols>
    <col min="1" max="1" width="4.5703125" style="115" customWidth="1"/>
    <col min="2" max="2" width="20.5703125" style="114" customWidth="1"/>
    <col min="3" max="3" width="11.85546875" style="115" hidden="1" customWidth="1"/>
    <col min="4" max="4" width="30.28515625" style="116" customWidth="1"/>
    <col min="5" max="5" width="15.5703125" style="115" hidden="1" customWidth="1"/>
    <col min="6" max="7" width="16.28515625" style="118" customWidth="1"/>
    <col min="8" max="8" width="16.28515625" style="115" customWidth="1"/>
    <col min="9" max="9" width="16.28515625" style="118" customWidth="1"/>
    <col min="10" max="10" width="10.5703125" style="214" customWidth="1"/>
    <col min="11" max="11" width="10.7109375" style="433" customWidth="1"/>
    <col min="12" max="15" width="10.7109375" style="214" customWidth="1"/>
    <col min="16" max="16" width="13.7109375" style="115" customWidth="1"/>
    <col min="17" max="18" width="13.7109375" style="118" customWidth="1"/>
    <col min="19" max="19" width="11.7109375" style="115" customWidth="1"/>
    <col min="20" max="20" width="18" style="115" hidden="1" customWidth="1"/>
    <col min="21" max="21" width="11.7109375" style="215" customWidth="1"/>
    <col min="22" max="22" width="11.7109375" style="130" hidden="1" customWidth="1"/>
    <col min="23" max="23" width="11.7109375" style="193" hidden="1" customWidth="1"/>
    <col min="24" max="24" width="12.5703125" style="194" customWidth="1"/>
    <col min="25" max="26" width="11.7109375" style="215" customWidth="1"/>
    <col min="27" max="27" width="16.5703125" style="216" bestFit="1" customWidth="1"/>
    <col min="28" max="29" width="24.42578125" style="147" customWidth="1"/>
    <col min="30" max="30" width="24" style="147" customWidth="1"/>
    <col min="31" max="31" width="24.42578125" style="147" customWidth="1"/>
    <col min="32" max="33" width="24" style="147" customWidth="1"/>
    <col min="34" max="34" width="9.85546875" style="113" bestFit="1" customWidth="1"/>
    <col min="35" max="35" width="9.140625" style="113"/>
    <col min="36" max="36" width="10.7109375" style="113" bestFit="1" customWidth="1"/>
    <col min="37" max="37" width="11.28515625" style="113" bestFit="1" customWidth="1"/>
    <col min="38" max="38" width="11.5703125" style="113" bestFit="1" customWidth="1"/>
    <col min="39" max="48" width="9.28515625" style="113" bestFit="1" customWidth="1"/>
    <col min="49" max="49" width="10.28515625" style="113" bestFit="1" customWidth="1"/>
    <col min="50" max="50" width="10.140625" style="113" bestFit="1" customWidth="1"/>
    <col min="51" max="51" width="10.28515625" style="113" bestFit="1" customWidth="1"/>
    <col min="52" max="53" width="10.140625" style="113" bestFit="1" customWidth="1"/>
    <col min="54" max="56" width="10.28515625" style="113" bestFit="1" customWidth="1"/>
    <col min="57" max="57" width="10.140625" style="113" bestFit="1" customWidth="1"/>
    <col min="58" max="58" width="10.28515625" style="113" bestFit="1" customWidth="1"/>
    <col min="59" max="59" width="10.7109375" style="113" bestFit="1" customWidth="1"/>
    <col min="60" max="62" width="10.28515625" style="113" bestFit="1" customWidth="1"/>
    <col min="63" max="74" width="10.42578125" style="113" bestFit="1" customWidth="1"/>
    <col min="75" max="16384" width="9.140625" style="113"/>
  </cols>
  <sheetData>
    <row r="1" spans="1:33" s="128" customFormat="1" hidden="1">
      <c r="A1" s="112"/>
      <c r="B1" s="114"/>
      <c r="C1" s="115"/>
      <c r="D1" s="121"/>
      <c r="E1" s="115"/>
      <c r="F1" s="118"/>
      <c r="G1" s="118"/>
      <c r="H1" s="384"/>
      <c r="I1" s="118"/>
      <c r="J1" s="122"/>
      <c r="K1" s="122"/>
      <c r="L1" s="122"/>
      <c r="M1" s="122"/>
      <c r="N1" s="122"/>
      <c r="O1" s="122"/>
      <c r="P1" s="115"/>
      <c r="Q1" s="118"/>
      <c r="R1" s="118"/>
      <c r="S1" s="123"/>
      <c r="T1" s="124" t="s">
        <v>1150</v>
      </c>
      <c r="U1" s="125">
        <f>SUM(U27:U560)</f>
        <v>8808807816.9774952</v>
      </c>
      <c r="V1" s="126"/>
      <c r="W1" s="125">
        <f>SUM(W27:W560)</f>
        <v>560778188.45367861</v>
      </c>
      <c r="X1" s="125">
        <f>SUBTOTAL(9,X3:X14)</f>
        <v>0</v>
      </c>
      <c r="Y1" s="125">
        <f>SUBTOTAL(9,Y3:Y14)</f>
        <v>0</v>
      </c>
      <c r="Z1" s="125">
        <f>SUBTOTAL(9,Z3:Z14)</f>
        <v>0</v>
      </c>
      <c r="AA1" s="127"/>
      <c r="AB1" s="136"/>
      <c r="AC1" s="136"/>
      <c r="AD1" s="136"/>
      <c r="AE1" s="136"/>
      <c r="AF1" s="136"/>
      <c r="AG1" s="136"/>
    </row>
    <row r="2" spans="1:33" s="128" customFormat="1" hidden="1">
      <c r="A2" s="119"/>
      <c r="B2" s="120"/>
      <c r="C2" s="119"/>
      <c r="D2" s="121"/>
      <c r="E2" s="120"/>
      <c r="F2" s="119"/>
      <c r="G2" s="119"/>
      <c r="H2" s="119"/>
      <c r="I2" s="119"/>
      <c r="J2" s="122"/>
      <c r="K2" s="122"/>
      <c r="L2" s="122"/>
      <c r="M2" s="122"/>
      <c r="N2" s="122"/>
      <c r="O2" s="122"/>
      <c r="P2" s="120"/>
      <c r="Q2" s="129"/>
      <c r="R2" s="129"/>
      <c r="S2" s="123"/>
      <c r="T2" s="123"/>
      <c r="U2" s="125"/>
      <c r="V2" s="130"/>
      <c r="W2" s="120"/>
      <c r="X2" s="131"/>
      <c r="Y2" s="131"/>
      <c r="Z2" s="120"/>
      <c r="AA2" s="132"/>
      <c r="AB2" s="217"/>
      <c r="AC2" s="217"/>
      <c r="AD2" s="217"/>
      <c r="AE2" s="217"/>
      <c r="AF2" s="217"/>
      <c r="AG2" s="217"/>
    </row>
    <row r="3" spans="1:33" s="128" customFormat="1" ht="11.25" hidden="1" customHeight="1">
      <c r="A3" s="119"/>
      <c r="B3" s="113"/>
      <c r="C3" s="119"/>
      <c r="D3" s="121"/>
      <c r="E3" s="119"/>
      <c r="F3" s="120"/>
      <c r="G3" s="120"/>
      <c r="H3" s="120"/>
      <c r="I3" s="120"/>
      <c r="J3" s="122"/>
      <c r="K3" s="122"/>
      <c r="L3" s="122"/>
      <c r="M3" s="133"/>
      <c r="N3" s="133"/>
      <c r="O3" s="133"/>
      <c r="P3" s="119"/>
      <c r="Q3" s="129"/>
      <c r="R3" s="129"/>
      <c r="S3" s="120"/>
      <c r="T3" s="134"/>
      <c r="U3" s="135" t="s">
        <v>1151</v>
      </c>
      <c r="V3" s="130"/>
      <c r="W3" s="136">
        <f>+W39+W52+W63+W64+W65+W66+W79+W96+W97+W98+W100+W102+W142+W144+W145+W147+W148+W149+W150+W151+W152+W153+W154+W155+W156+W157+W158+W159+W160+W161+W162+W163+W164+W165+W166+W167+W168+W169+W170+W171+W172+W173+W174+W175+W176+W177+W178+W179+W180+W181+W214+W215+W217+W221+W222+W223+W224+W225+W226+W227+W228+W229+W230+W231+W232+W233+W234+W235+W236+W237+W238+W239+W240+W241+W242+W243+W244+W245+W246+W247+W248+W251+W252+W253+W254+W255+W258+W261+W262+W271+W277+W278+W279+W280+W281+W282+W283+W284+W285+W286+W287+W288+W289+W290+W291+W292+W344+W345+W346+W347+W348+W349+W350+W351+W352+W464+W465+W466+W467+W468+W469+W470+W471+W472+W473+W474+W475+W476+W477+W478+W479</f>
        <v>160667163</v>
      </c>
      <c r="X3" s="136">
        <f>+X39+X63+X64+X65+X66+X96+X97+X212</f>
        <v>125761076</v>
      </c>
      <c r="Y3" s="136">
        <f>+Y39+Y63+Y64+Y65+Y66+Y96+Y97+Y212</f>
        <v>17197008.850146338</v>
      </c>
      <c r="Z3" s="136">
        <f>+Z39+Z63+Z64+Z65+Z66+Z96+Z97+Z212</f>
        <v>35012782.113658533</v>
      </c>
      <c r="AA3" s="137"/>
      <c r="AB3" s="136"/>
      <c r="AC3" s="136"/>
      <c r="AD3" s="136"/>
      <c r="AE3" s="136"/>
      <c r="AF3" s="136"/>
      <c r="AG3" s="136"/>
    </row>
    <row r="4" spans="1:33" s="128" customFormat="1" ht="33.75" hidden="1" customHeight="1">
      <c r="A4" s="138"/>
      <c r="B4" s="120"/>
      <c r="C4" s="119"/>
      <c r="D4" s="121"/>
      <c r="E4" s="139"/>
      <c r="F4" s="120"/>
      <c r="G4" s="120"/>
      <c r="H4" s="120"/>
      <c r="I4" s="120"/>
      <c r="J4" s="122"/>
      <c r="K4" s="122"/>
      <c r="L4" s="122"/>
      <c r="M4" s="133"/>
      <c r="N4" s="133"/>
      <c r="O4" s="133"/>
      <c r="P4" s="48"/>
      <c r="Q4" s="120"/>
      <c r="R4" s="120"/>
      <c r="S4" s="120"/>
      <c r="T4" s="134"/>
      <c r="U4" s="135" t="s">
        <v>136</v>
      </c>
      <c r="V4" s="131"/>
      <c r="W4" s="136">
        <f>+W30+W31+W32+W33+W34+W35+W36+W37+W38+W40+W41+W42+W46+W47+W48+W49+W50+W51+W53+W54+W80+W84+W105+W106+W107+W114+W250+W260+W544+W545+W548+W549+W550+W551+W552+W553+W554+W555+W556+W557+W558+W560</f>
        <v>87879192</v>
      </c>
      <c r="X4" s="140">
        <f>+X36+X47+X48+X49+X53+X54+X429+X105+X114</f>
        <v>174448736.20203501</v>
      </c>
      <c r="Y4" s="140">
        <f>+Y36+Y47+Y48+Y49+Y53+Y54+Y429+Y105+Y114</f>
        <v>54593545.006188169</v>
      </c>
      <c r="Z4" s="140">
        <f>+Z36+Z47+Z48+Z49+Z53+Z54+Z429+Z105+Z114</f>
        <v>36736945</v>
      </c>
      <c r="AA4" s="137"/>
      <c r="AB4" s="136"/>
      <c r="AC4" s="136"/>
      <c r="AD4" s="136"/>
      <c r="AE4" s="136"/>
      <c r="AF4" s="136"/>
      <c r="AG4" s="136"/>
    </row>
    <row r="5" spans="1:33" s="128" customFormat="1" ht="31.5" hidden="1" customHeight="1">
      <c r="A5" s="120"/>
      <c r="B5" s="120"/>
      <c r="C5" s="119"/>
      <c r="D5" s="121"/>
      <c r="E5" s="139"/>
      <c r="F5" s="120"/>
      <c r="G5" s="120"/>
      <c r="H5" s="120"/>
      <c r="I5" s="120"/>
      <c r="J5" s="122"/>
      <c r="K5" s="122"/>
      <c r="L5" s="122"/>
      <c r="M5" s="133"/>
      <c r="N5" s="133"/>
      <c r="O5" s="133"/>
      <c r="P5" s="48"/>
      <c r="Q5" s="120"/>
      <c r="R5" s="120"/>
      <c r="S5" s="120"/>
      <c r="T5" s="134"/>
      <c r="U5" s="135" t="s">
        <v>177</v>
      </c>
      <c r="V5" s="131"/>
      <c r="W5" s="136">
        <f>+W44+W45</f>
        <v>40078000</v>
      </c>
      <c r="X5" s="136">
        <f>+X44</f>
        <v>14841489</v>
      </c>
      <c r="Y5" s="136">
        <f>+Y44</f>
        <v>0</v>
      </c>
      <c r="Z5" s="136">
        <f>+Z44</f>
        <v>380373.98373983742</v>
      </c>
      <c r="AA5" s="137"/>
      <c r="AB5" s="136"/>
      <c r="AC5" s="136"/>
      <c r="AD5" s="136"/>
      <c r="AE5" s="136"/>
      <c r="AF5" s="136"/>
      <c r="AG5" s="136"/>
    </row>
    <row r="6" spans="1:33" s="128" customFormat="1" ht="31.5" hidden="1" customHeight="1">
      <c r="A6" s="120"/>
      <c r="B6" s="120"/>
      <c r="C6" s="119"/>
      <c r="D6" s="121"/>
      <c r="E6" s="139"/>
      <c r="F6" s="120"/>
      <c r="G6" s="120"/>
      <c r="H6" s="120"/>
      <c r="I6" s="120"/>
      <c r="J6" s="122"/>
      <c r="K6" s="122"/>
      <c r="L6" s="122"/>
      <c r="M6" s="133"/>
      <c r="N6" s="133"/>
      <c r="O6" s="133"/>
      <c r="P6" s="48"/>
      <c r="Q6" s="120"/>
      <c r="R6" s="120"/>
      <c r="S6" s="120"/>
      <c r="T6" s="134"/>
      <c r="U6" s="135" t="s">
        <v>116</v>
      </c>
      <c r="V6" s="131"/>
      <c r="W6" s="136">
        <f>+W27+W55+W56+W58+W59+W60+W62+W272</f>
        <v>75882446.659999996</v>
      </c>
      <c r="X6" s="136">
        <f>+X27+X56+X58+X59+X60+X62+X272+X438</f>
        <v>67999386.329999998</v>
      </c>
      <c r="Y6" s="136">
        <f>+Y27+Y56+Y58+Y59+Y60+Y62+Y272+Y438</f>
        <v>57583964.5</v>
      </c>
      <c r="Z6" s="136">
        <f>+Z27+Z56+Z58+Z59+Z60+Z62+Z272+Z438</f>
        <v>47756814.828252032</v>
      </c>
      <c r="AA6" s="137"/>
      <c r="AB6" s="136"/>
      <c r="AC6" s="136"/>
      <c r="AD6" s="136"/>
      <c r="AE6" s="136"/>
      <c r="AF6" s="136"/>
      <c r="AG6" s="136"/>
    </row>
    <row r="7" spans="1:33" s="128" customFormat="1" ht="11.25" hidden="1" customHeight="1">
      <c r="A7" s="120"/>
      <c r="B7" s="120"/>
      <c r="C7" s="119"/>
      <c r="D7" s="121"/>
      <c r="E7" s="139"/>
      <c r="F7" s="120"/>
      <c r="G7" s="120"/>
      <c r="H7" s="120"/>
      <c r="I7" s="120"/>
      <c r="J7" s="122"/>
      <c r="K7" s="122"/>
      <c r="L7" s="122"/>
      <c r="M7" s="133"/>
      <c r="N7" s="133"/>
      <c r="O7" s="133"/>
      <c r="P7" s="48"/>
      <c r="Q7" s="129"/>
      <c r="R7" s="129"/>
      <c r="S7" s="120"/>
      <c r="T7" s="134"/>
      <c r="U7" s="135" t="s">
        <v>130</v>
      </c>
      <c r="V7" s="131"/>
      <c r="W7" s="136">
        <f>+W29+W91</f>
        <v>13464000</v>
      </c>
      <c r="X7" s="136">
        <f>+X29+X91</f>
        <v>16784800</v>
      </c>
      <c r="Y7" s="136">
        <f>+Y29</f>
        <v>0</v>
      </c>
      <c r="Z7" s="136">
        <f>+Z29</f>
        <v>350000</v>
      </c>
      <c r="AA7" s="137"/>
      <c r="AB7" s="136"/>
      <c r="AC7" s="136"/>
      <c r="AD7" s="136"/>
      <c r="AE7" s="136"/>
      <c r="AF7" s="136"/>
      <c r="AG7" s="136"/>
    </row>
    <row r="8" spans="1:33" s="128" customFormat="1" ht="11.25" hidden="1" customHeight="1">
      <c r="A8" s="120"/>
      <c r="B8" s="120"/>
      <c r="C8" s="119"/>
      <c r="D8" s="121"/>
      <c r="E8" s="139"/>
      <c r="F8" s="120"/>
      <c r="G8" s="120"/>
      <c r="H8" s="120"/>
      <c r="I8" s="141"/>
      <c r="J8" s="122"/>
      <c r="K8" s="122"/>
      <c r="L8" s="122"/>
      <c r="M8" s="142"/>
      <c r="N8" s="142"/>
      <c r="O8" s="142"/>
      <c r="P8" s="48"/>
      <c r="Q8" s="141"/>
      <c r="R8" s="141"/>
      <c r="S8" s="120"/>
      <c r="T8" s="134"/>
      <c r="U8" s="135" t="s">
        <v>238</v>
      </c>
      <c r="V8" s="131"/>
      <c r="W8" s="136">
        <f>+W70+W443+W444+W445+W446+W447+W448+W449+W450+W451+W452+W453+W454+W455+W456+W457+W458+W459+W460+W461+W462</f>
        <v>1832203</v>
      </c>
      <c r="X8" s="140">
        <f>X70+X79+X443+X444+X445+X446+X447+X448+X449+X450+X451+X452</f>
        <v>6126549.2960000001</v>
      </c>
      <c r="Y8" s="140">
        <f>Y70+Y79+Y443+Y444+Y445+Y446+Y447+Y448+Y449+Y450+Y451+Y452</f>
        <v>0</v>
      </c>
      <c r="Z8" s="140">
        <f>Z70+Z79+Z443+Z444+Z445+Z446+Z447+Z448+Z449+Z450+Z451+Z452</f>
        <v>0</v>
      </c>
      <c r="AA8" s="137"/>
      <c r="AB8" s="136"/>
      <c r="AC8" s="136"/>
      <c r="AD8" s="136"/>
      <c r="AE8" s="136"/>
      <c r="AF8" s="136"/>
      <c r="AG8" s="136"/>
    </row>
    <row r="9" spans="1:33" s="128" customFormat="1" ht="31.5" hidden="1" customHeight="1">
      <c r="A9" s="120"/>
      <c r="B9" s="120"/>
      <c r="C9" s="119"/>
      <c r="D9" s="121"/>
      <c r="E9" s="139"/>
      <c r="F9" s="120"/>
      <c r="G9" s="120"/>
      <c r="H9" s="143"/>
      <c r="I9" s="141"/>
      <c r="J9" s="122"/>
      <c r="K9" s="122"/>
      <c r="L9" s="122"/>
      <c r="M9" s="120"/>
      <c r="N9" s="120"/>
      <c r="O9" s="120"/>
      <c r="P9" s="48"/>
      <c r="Q9" s="141"/>
      <c r="R9" s="141"/>
      <c r="S9" s="120"/>
      <c r="T9" s="134"/>
      <c r="U9" s="135" t="s">
        <v>216</v>
      </c>
      <c r="V9" s="131"/>
      <c r="W9" s="136">
        <f>+W61+W67+W82+W141+W143+W439+W440+W441+W442</f>
        <v>25600000</v>
      </c>
      <c r="X9" s="140">
        <f>+X61+X67+X141+X143+X439</f>
        <v>32002188</v>
      </c>
      <c r="Y9" s="140">
        <f>+Y61+Y67+Y141+Y143</f>
        <v>0</v>
      </c>
      <c r="Z9" s="140">
        <f>+Z61+Z67+Z141+Z143</f>
        <v>186751.70731707319</v>
      </c>
      <c r="AA9" s="137"/>
      <c r="AB9" s="136"/>
      <c r="AC9" s="136"/>
      <c r="AD9" s="136"/>
      <c r="AE9" s="136"/>
      <c r="AF9" s="136"/>
      <c r="AG9" s="136"/>
    </row>
    <row r="10" spans="1:33" s="128" customFormat="1" ht="31.5" hidden="1" customHeight="1">
      <c r="A10" s="120"/>
      <c r="B10" s="120"/>
      <c r="C10" s="119"/>
      <c r="D10" s="121"/>
      <c r="E10" s="139"/>
      <c r="F10" s="120"/>
      <c r="G10" s="120"/>
      <c r="H10" s="143"/>
      <c r="I10" s="141"/>
      <c r="J10" s="122"/>
      <c r="K10" s="122"/>
      <c r="L10" s="122"/>
      <c r="M10" s="120"/>
      <c r="N10" s="120"/>
      <c r="O10" s="120"/>
      <c r="P10" s="48"/>
      <c r="Q10" s="141"/>
      <c r="R10" s="141"/>
      <c r="S10" s="120"/>
      <c r="T10" s="134"/>
      <c r="U10" s="135" t="s">
        <v>808</v>
      </c>
      <c r="V10" s="131"/>
      <c r="W10" s="136">
        <f>+W374+W375+W376+W377+W378+W379+W380+W381+W382+W383+W384+W385+W386+W387+W402+W403+W404+W410+W411</f>
        <v>28067931.142000001</v>
      </c>
      <c r="X10" s="136">
        <f>+X402+X403+X404+X405+X406+X407+X408+X409+X410+X411+X412+X413+X414+X415+X416+X417+X418+X419+X420+X421+X422+X423+X424+X425+X560</f>
        <v>69414488.076554805</v>
      </c>
      <c r="Y10" s="136">
        <f>+Y402+Y403+Y404+Y405+Y406+Y407+Y408+Y409+Y410+Y411+Y412+Y413+Y414+Y415+Y416+Y417+Y418+Y419+Y420+Y421+Y422+Y423+Y424+Y425+Y560</f>
        <v>2822693.1778052002</v>
      </c>
      <c r="Z10" s="136">
        <f>+Z402+Z403+Z404+Z405+Z406+Z407+Z408+Z409+Z410+Z411+Z412+Z413+Z414+Z415+Z416+Z417+Z418+Z419+Z420+Z421+Z422+Z423+Z424+Z425+Z560</f>
        <v>568656.47</v>
      </c>
      <c r="AA10" s="137"/>
      <c r="AB10" s="136"/>
      <c r="AC10" s="136"/>
      <c r="AD10" s="136"/>
      <c r="AE10" s="136"/>
      <c r="AF10" s="136"/>
      <c r="AG10" s="136"/>
    </row>
    <row r="11" spans="1:33" s="128" customFormat="1" ht="32.25" hidden="1" customHeight="1" thickBot="1">
      <c r="A11" s="144"/>
      <c r="B11" s="144"/>
      <c r="C11" s="145"/>
      <c r="D11" s="121"/>
      <c r="E11" s="139"/>
      <c r="F11" s="120"/>
      <c r="G11" s="120"/>
      <c r="H11" s="143"/>
      <c r="I11" s="141"/>
      <c r="J11" s="122"/>
      <c r="K11" s="122"/>
      <c r="L11" s="122"/>
      <c r="M11" s="147"/>
      <c r="N11" s="147"/>
      <c r="O11" s="147"/>
      <c r="P11" s="146"/>
      <c r="Q11" s="141"/>
      <c r="R11" s="141"/>
      <c r="S11" s="120"/>
      <c r="T11" s="148"/>
      <c r="U11" s="135" t="s">
        <v>1152</v>
      </c>
      <c r="V11" s="131"/>
      <c r="W11" s="136">
        <f>+W69+W71+W72+W73+W74+W75+W76+W77+W78+W264+W265+W270+W364+W365+W366+W367+W368+W369+W370+W371+W372+W373</f>
        <v>2400092.6040000003</v>
      </c>
      <c r="X11" s="136">
        <f>+X69+X71+X72+X73+X74+X75+X76+X77+X78</f>
        <v>27731283.800000004</v>
      </c>
      <c r="Y11" s="136">
        <f>+Y69+Y71+Y72+Y73+Y74+Y75+Y76+Y77+Y78</f>
        <v>0</v>
      </c>
      <c r="Z11" s="136">
        <f>+Z69+Z71+Z72+Z73+Z74+Z75+Z76+Z77+Z78</f>
        <v>0</v>
      </c>
      <c r="AA11" s="137"/>
      <c r="AB11" s="136"/>
      <c r="AC11" s="136"/>
      <c r="AD11" s="136"/>
      <c r="AE11" s="136"/>
      <c r="AF11" s="136"/>
      <c r="AG11" s="136"/>
    </row>
    <row r="12" spans="1:33" s="128" customFormat="1" ht="11.25" hidden="1" customHeight="1">
      <c r="C12" s="123"/>
      <c r="D12" s="121"/>
      <c r="E12" s="139"/>
      <c r="F12" s="120"/>
      <c r="G12" s="120"/>
      <c r="H12" s="120"/>
      <c r="I12" s="120"/>
      <c r="J12" s="122"/>
      <c r="K12" s="122"/>
      <c r="L12" s="122"/>
      <c r="M12" s="147"/>
      <c r="N12" s="147"/>
      <c r="O12" s="147"/>
      <c r="P12" s="149"/>
      <c r="Q12" s="129"/>
      <c r="R12" s="129"/>
      <c r="S12" s="120"/>
      <c r="T12" s="134"/>
      <c r="U12" s="135" t="s">
        <v>123</v>
      </c>
      <c r="V12" s="131"/>
      <c r="W12" s="136">
        <f>+W43+W81+W83+W85+W86+W87+W88+W89+W90+W92+W94+W95+W99+W101+W103+W108+W110+W111+W112+W113+W115+W116+W117+W118+W119+W120+W121+W122+W123+W124+W125+W126+W127+W128+W129+W130+W131+W132+W133+W134+W136+W137+W140+W146+W182+W213+W218+W219+W220+W249+W256+W257+W259+W266+W267+W268+W273+W293+W294+W295+W296+W297+W298+W299+W300+W301+W302+W303+W304+W305+W306+W307+W308+W309+W310+W311+W312+W337+W338+W339+W340+W341+W342+W343+W388+W389+W390+W391+W392+W393+W394+W395+W396+W397+W398+W399+W400+W401+W480+W481+W482+W483+W484+W485+W486+W487+W488+W489+W490+W491+W492+W493+W494+W495+W496+W497+W498+W499+W500+W501+W502+W503+W504+W505+W506+W507+W508+W509+W510+W511+W512+W513+W514+W515</f>
        <v>11700000</v>
      </c>
      <c r="X12" s="136">
        <f>+X101</f>
        <v>7258770</v>
      </c>
      <c r="Y12" s="136">
        <f>+Y101</f>
        <v>0</v>
      </c>
      <c r="Z12" s="136">
        <f>+Z101</f>
        <v>72587.7</v>
      </c>
      <c r="AA12" s="137"/>
      <c r="AB12" s="136"/>
      <c r="AC12" s="136"/>
      <c r="AD12" s="136"/>
      <c r="AE12" s="136"/>
      <c r="AF12" s="136"/>
      <c r="AG12" s="136"/>
    </row>
    <row r="13" spans="1:33" s="128" customFormat="1" ht="11.25" hidden="1" customHeight="1">
      <c r="C13" s="123"/>
      <c r="D13" s="121"/>
      <c r="E13" s="139"/>
      <c r="F13" s="120"/>
      <c r="G13" s="120"/>
      <c r="H13" s="120"/>
      <c r="I13" s="120"/>
      <c r="J13" s="122"/>
      <c r="K13" s="122"/>
      <c r="L13" s="122"/>
      <c r="M13" s="147"/>
      <c r="N13" s="147"/>
      <c r="O13" s="147"/>
      <c r="P13" s="149"/>
      <c r="Q13" s="129"/>
      <c r="R13" s="129"/>
      <c r="S13" s="120"/>
      <c r="T13" s="134"/>
      <c r="U13" s="135" t="s">
        <v>124</v>
      </c>
      <c r="V13" s="131"/>
      <c r="W13" s="136">
        <f>+W353+W354+W355+W356+W357+W358+W359+W360+W361+W362+W363+W429+W430+W431+W432+W433+W434+W435+W436+W437+W438</f>
        <v>1856729.0476785717</v>
      </c>
      <c r="X13" s="136">
        <f>+X28+X386+X430+X431+X432</f>
        <v>389930784.31800008</v>
      </c>
      <c r="Y13" s="136">
        <f>+Y28+Y386+Y430+Y431+Y432</f>
        <v>587774756</v>
      </c>
      <c r="Z13" s="136">
        <f>+Z28+Z386+Z430+Z431+Z432</f>
        <v>51298299</v>
      </c>
      <c r="AA13" s="137"/>
      <c r="AB13" s="136"/>
      <c r="AC13" s="136"/>
      <c r="AD13" s="136"/>
      <c r="AE13" s="136"/>
      <c r="AF13" s="136"/>
      <c r="AG13" s="136"/>
    </row>
    <row r="14" spans="1:33" s="128" customFormat="1" ht="11.25" hidden="1" customHeight="1">
      <c r="C14" s="123"/>
      <c r="D14" s="121"/>
      <c r="E14" s="139"/>
      <c r="F14" s="120"/>
      <c r="G14" s="120"/>
      <c r="H14" s="120"/>
      <c r="I14" s="120"/>
      <c r="J14" s="122"/>
      <c r="K14" s="122"/>
      <c r="L14" s="122"/>
      <c r="M14" s="147"/>
      <c r="N14" s="147"/>
      <c r="O14" s="147"/>
      <c r="P14" s="149"/>
      <c r="Q14" s="129"/>
      <c r="R14" s="129"/>
      <c r="S14" s="120"/>
      <c r="T14" s="134"/>
      <c r="U14" s="135" t="s">
        <v>90</v>
      </c>
      <c r="V14" s="131"/>
      <c r="W14" s="136">
        <f>+W57+W68+W104+W274+W463</f>
        <v>36415715</v>
      </c>
      <c r="X14" s="140">
        <f>+X57+X68+X104+X274+X463</f>
        <v>29228010</v>
      </c>
      <c r="Y14" s="140">
        <f>+Y57+Y68+Y104+Y274+Y463</f>
        <v>86420000</v>
      </c>
      <c r="Z14" s="140">
        <f>+Z57+Z68+Z104+Z274+Z463</f>
        <v>91951600</v>
      </c>
      <c r="AA14" s="137"/>
      <c r="AB14" s="136"/>
      <c r="AC14" s="136"/>
      <c r="AD14" s="136"/>
      <c r="AE14" s="136"/>
      <c r="AF14" s="136"/>
      <c r="AG14" s="136"/>
    </row>
    <row r="15" spans="1:33" s="128" customFormat="1" hidden="1">
      <c r="C15" s="123"/>
      <c r="D15" s="121"/>
      <c r="E15" s="139"/>
      <c r="F15" s="120"/>
      <c r="G15" s="120"/>
      <c r="H15" s="120"/>
      <c r="I15" s="120"/>
      <c r="J15" s="122"/>
      <c r="K15" s="122"/>
      <c r="L15" s="122"/>
      <c r="M15" s="147"/>
      <c r="N15" s="147"/>
      <c r="O15" s="147"/>
      <c r="P15" s="149"/>
      <c r="Q15" s="129"/>
      <c r="R15" s="129"/>
      <c r="S15" s="134"/>
      <c r="T15" s="134"/>
      <c r="U15" s="134"/>
      <c r="V15" s="131"/>
      <c r="W15" s="136">
        <f>+W93+W109+W135+W138+W139+W183+W184+W185+W186+W187+W188+W189+W190+W191+W192+W193+W194+W195+W196+W197+W198+W199+W200+W201+W202+W203+W204+W205+W206+W207+W208+W209+W210+W211+W212+W216+W263+W269+W276+W313+W314+W315+W316+W317+W318+W319+W322+W323+W324+W325+W326+W327+W328+W329+W330+W331+W332+W333+W334+W335+W336+W516+W517+W518+W519+W520+W521+W522+W523+W524+W525+W526+W527+W528+W529+W530+W531+W532+W533+W534+W535+W536+W537+W538+W539+W540+W541+W542+W543</f>
        <v>3999998</v>
      </c>
      <c r="X15" s="136"/>
      <c r="Y15" s="136"/>
      <c r="Z15" s="136"/>
      <c r="AA15" s="137"/>
      <c r="AB15" s="136"/>
      <c r="AC15" s="136"/>
      <c r="AD15" s="136"/>
      <c r="AE15" s="136"/>
      <c r="AF15" s="136"/>
      <c r="AG15" s="136"/>
    </row>
    <row r="16" spans="1:33" s="128" customFormat="1" hidden="1">
      <c r="C16" s="123"/>
      <c r="D16" s="121"/>
      <c r="E16" s="139"/>
      <c r="F16" s="120"/>
      <c r="G16" s="120"/>
      <c r="H16" s="120"/>
      <c r="I16" s="120"/>
      <c r="J16" s="122"/>
      <c r="K16" s="122"/>
      <c r="L16" s="122"/>
      <c r="M16" s="147"/>
      <c r="N16" s="147"/>
      <c r="O16" s="147"/>
      <c r="P16" s="149"/>
      <c r="Q16" s="129"/>
      <c r="R16" s="129"/>
      <c r="S16" s="134"/>
      <c r="T16" s="134"/>
      <c r="U16" s="134"/>
      <c r="V16" s="131"/>
      <c r="W16" s="136">
        <f>+W275</f>
        <v>70934718</v>
      </c>
      <c r="X16" s="136"/>
      <c r="Y16" s="136"/>
      <c r="Z16" s="136"/>
      <c r="AA16" s="137"/>
      <c r="AB16" s="136"/>
      <c r="AC16" s="136"/>
      <c r="AD16" s="136"/>
      <c r="AE16" s="136"/>
      <c r="AF16" s="136"/>
      <c r="AG16" s="136"/>
    </row>
    <row r="17" spans="1:256" s="128" customFormat="1" ht="15" hidden="1" customHeight="1">
      <c r="C17" s="123"/>
      <c r="D17" s="121"/>
      <c r="E17" s="139"/>
      <c r="F17" s="120"/>
      <c r="G17" s="120"/>
      <c r="H17" s="120"/>
      <c r="I17" s="120"/>
      <c r="J17" s="122"/>
      <c r="K17" s="122"/>
      <c r="L17" s="122"/>
      <c r="M17" s="147"/>
      <c r="N17" s="147"/>
      <c r="O17" s="147"/>
      <c r="P17" s="149"/>
      <c r="Q17" s="129"/>
      <c r="R17" s="129"/>
      <c r="S17" s="150"/>
      <c r="T17" s="150"/>
      <c r="U17" s="151" t="s">
        <v>1153</v>
      </c>
      <c r="V17" s="152"/>
      <c r="W17" s="152">
        <f>SUBTOTAL(9,W3:W16)</f>
        <v>0</v>
      </c>
      <c r="X17" s="153" t="s">
        <v>1154</v>
      </c>
      <c r="Y17" s="153" t="s">
        <v>1155</v>
      </c>
      <c r="Z17" s="153" t="s">
        <v>1156</v>
      </c>
      <c r="AA17" s="154"/>
      <c r="AB17" s="218"/>
      <c r="AC17" s="218"/>
      <c r="AD17" s="218"/>
      <c r="AE17" s="218"/>
      <c r="AF17" s="218"/>
      <c r="AG17" s="218"/>
    </row>
    <row r="18" spans="1:256" s="128" customFormat="1" ht="15" hidden="1" customHeight="1">
      <c r="C18" s="123"/>
      <c r="D18" s="121"/>
      <c r="E18" s="139"/>
      <c r="F18" s="120"/>
      <c r="G18" s="120"/>
      <c r="H18" s="120"/>
      <c r="I18" s="120"/>
      <c r="J18" s="122"/>
      <c r="K18" s="122"/>
      <c r="L18" s="122"/>
      <c r="M18" s="147"/>
      <c r="N18" s="147"/>
      <c r="O18" s="147"/>
      <c r="P18" s="149"/>
      <c r="Q18" s="129"/>
      <c r="R18" s="129"/>
      <c r="S18" s="150"/>
      <c r="T18" s="150"/>
      <c r="U18" s="156" t="s">
        <v>1157</v>
      </c>
      <c r="V18" s="131"/>
      <c r="W18" s="155"/>
      <c r="X18" s="157">
        <v>824216000</v>
      </c>
      <c r="Y18" s="158" t="s">
        <v>83</v>
      </c>
      <c r="Z18" s="158" t="s">
        <v>83</v>
      </c>
      <c r="AA18" s="154"/>
      <c r="AB18" s="218"/>
      <c r="AC18" s="218"/>
      <c r="AD18" s="218"/>
      <c r="AE18" s="218"/>
      <c r="AF18" s="218"/>
      <c r="AG18" s="218"/>
    </row>
    <row r="19" spans="1:256" s="128" customFormat="1" ht="15" hidden="1" customHeight="1">
      <c r="C19" s="123"/>
      <c r="D19" s="121"/>
      <c r="E19" s="139"/>
      <c r="F19" s="120"/>
      <c r="G19" s="120"/>
      <c r="H19" s="120"/>
      <c r="I19" s="120"/>
      <c r="J19" s="122"/>
      <c r="K19" s="122"/>
      <c r="L19" s="122"/>
      <c r="M19" s="147"/>
      <c r="N19" s="147"/>
      <c r="O19" s="147"/>
      <c r="P19" s="149"/>
      <c r="Q19" s="129"/>
      <c r="R19" s="129"/>
      <c r="S19" s="150"/>
      <c r="T19" s="150"/>
      <c r="U19" s="156" t="s">
        <v>1158</v>
      </c>
      <c r="V19" s="131"/>
      <c r="W19" s="155"/>
      <c r="X19" s="157">
        <v>177127000</v>
      </c>
      <c r="Y19" s="158" t="s">
        <v>83</v>
      </c>
      <c r="Z19" s="158" t="s">
        <v>83</v>
      </c>
      <c r="AA19" s="154"/>
      <c r="AB19" s="218"/>
      <c r="AC19" s="218"/>
      <c r="AD19" s="218"/>
      <c r="AE19" s="218"/>
      <c r="AF19" s="218"/>
      <c r="AG19" s="218"/>
    </row>
    <row r="20" spans="1:256" s="128" customFormat="1" ht="15" customHeight="1">
      <c r="A20" s="390" t="s">
        <v>106</v>
      </c>
      <c r="C20" s="123"/>
      <c r="D20" s="121"/>
      <c r="E20" s="139"/>
      <c r="F20" s="119"/>
      <c r="G20" s="119"/>
      <c r="H20" s="119"/>
      <c r="I20" s="119"/>
      <c r="J20" s="122"/>
      <c r="K20" s="425"/>
      <c r="L20" s="122"/>
      <c r="M20" s="147"/>
      <c r="N20" s="147"/>
      <c r="O20" s="147"/>
      <c r="P20" s="149"/>
      <c r="Q20" s="129"/>
      <c r="R20" s="129"/>
      <c r="S20" s="415"/>
      <c r="T20" s="150"/>
      <c r="U20" s="416" t="s">
        <v>1159</v>
      </c>
      <c r="V20" s="131"/>
      <c r="W20" s="155"/>
      <c r="X20" s="417">
        <v>26700000</v>
      </c>
      <c r="Y20" s="418" t="s">
        <v>83</v>
      </c>
      <c r="Z20" s="418" t="s">
        <v>83</v>
      </c>
      <c r="AA20" s="137"/>
      <c r="AB20" s="136"/>
      <c r="AC20" s="136"/>
      <c r="AD20" s="136"/>
      <c r="AE20" s="136"/>
      <c r="AF20" s="136"/>
      <c r="AG20" s="136"/>
    </row>
    <row r="21" spans="1:256" s="128" customFormat="1" ht="15" customHeight="1">
      <c r="A21" s="391" t="s">
        <v>107</v>
      </c>
      <c r="C21" s="123"/>
      <c r="D21" s="121"/>
      <c r="E21" s="139"/>
      <c r="F21" s="119"/>
      <c r="G21" s="119"/>
      <c r="H21" s="119"/>
      <c r="I21" s="119"/>
      <c r="J21" s="122"/>
      <c r="K21" s="425"/>
      <c r="L21" s="122"/>
      <c r="M21" s="147"/>
      <c r="N21" s="147"/>
      <c r="O21" s="147"/>
      <c r="P21" s="149"/>
      <c r="Q21" s="129"/>
      <c r="R21" s="129"/>
      <c r="S21" s="415"/>
      <c r="T21" s="150"/>
      <c r="U21" s="416" t="s">
        <v>99</v>
      </c>
      <c r="V21" s="131"/>
      <c r="W21" s="155"/>
      <c r="X21" s="417">
        <f>SUBTOTAL(9,X18:X20)</f>
        <v>26700000</v>
      </c>
      <c r="Y21" s="418" t="s">
        <v>83</v>
      </c>
      <c r="Z21" s="418" t="s">
        <v>83</v>
      </c>
      <c r="AA21" s="137"/>
      <c r="AB21" s="136"/>
      <c r="AC21" s="136"/>
      <c r="AD21" s="136"/>
      <c r="AE21" s="136"/>
      <c r="AF21" s="136"/>
      <c r="AG21" s="136"/>
    </row>
    <row r="22" spans="1:256" s="128" customFormat="1" ht="15" customHeight="1" thickBot="1">
      <c r="A22" s="392" t="s">
        <v>1182</v>
      </c>
      <c r="C22" s="123"/>
      <c r="D22" s="121"/>
      <c r="E22" s="139"/>
      <c r="F22" s="119"/>
      <c r="G22" s="119"/>
      <c r="H22" s="119"/>
      <c r="I22" s="119"/>
      <c r="J22" s="122"/>
      <c r="K22" s="425"/>
      <c r="L22" s="122"/>
      <c r="M22" s="147"/>
      <c r="N22" s="147"/>
      <c r="O22" s="147"/>
      <c r="P22" s="149"/>
      <c r="Q22" s="129"/>
      <c r="R22" s="129"/>
      <c r="S22" s="150"/>
      <c r="T22" s="135" t="s">
        <v>1166</v>
      </c>
      <c r="U22" s="393">
        <f>SUBTOTAL(2,U27:U561)</f>
        <v>77</v>
      </c>
      <c r="V22" s="131"/>
      <c r="W22" s="155"/>
      <c r="X22" s="394">
        <f>SUBTOTAL(9,X27:X564)</f>
        <v>639673996.32603502</v>
      </c>
      <c r="Y22" s="394">
        <f>SUBTOTAL(9,Y27:Y564)</f>
        <v>183358505.14633453</v>
      </c>
      <c r="Z22" s="394">
        <f>SUBTOTAL(9,Z27:Z564)</f>
        <v>198368192.21861789</v>
      </c>
      <c r="AA22" s="137"/>
      <c r="AB22" s="136"/>
      <c r="AC22" s="136"/>
      <c r="AD22" s="136"/>
      <c r="AE22" s="136"/>
      <c r="AF22" s="136"/>
      <c r="AG22" s="136"/>
    </row>
    <row r="23" spans="1:256" s="128" customFormat="1" ht="15" hidden="1" customHeight="1" thickBot="1">
      <c r="A23" s="278"/>
      <c r="C23" s="123"/>
      <c r="D23" s="121"/>
      <c r="E23" s="139"/>
      <c r="F23" s="119"/>
      <c r="G23" s="119"/>
      <c r="H23" s="119"/>
      <c r="I23" s="119"/>
      <c r="J23" s="122"/>
      <c r="K23" s="122"/>
      <c r="L23" s="122"/>
      <c r="M23" s="147"/>
      <c r="N23" s="147"/>
      <c r="O23" s="147"/>
      <c r="P23" s="149"/>
      <c r="Q23" s="129"/>
      <c r="R23" s="129"/>
      <c r="S23" s="150"/>
      <c r="T23" s="135"/>
      <c r="U23" s="308"/>
      <c r="V23" s="131"/>
      <c r="W23" s="155"/>
      <c r="X23" s="308"/>
      <c r="Y23" s="308"/>
      <c r="Z23" s="308"/>
      <c r="AA23" s="154"/>
      <c r="AB23" s="218"/>
      <c r="AC23" s="218"/>
      <c r="AD23" s="218"/>
      <c r="AE23" s="218"/>
      <c r="AF23" s="218"/>
      <c r="AG23" s="218"/>
    </row>
    <row r="24" spans="1:256" s="128" customFormat="1" ht="15" customHeight="1" thickTop="1" thickBot="1">
      <c r="C24" s="123"/>
      <c r="D24" s="121"/>
      <c r="E24" s="139"/>
      <c r="F24" s="119"/>
      <c r="G24" s="119"/>
      <c r="H24" s="119"/>
      <c r="I24" s="119"/>
      <c r="J24" s="373"/>
      <c r="K24" s="426" t="s">
        <v>1285</v>
      </c>
      <c r="L24" s="374"/>
      <c r="M24" s="375"/>
      <c r="N24" s="376" t="s">
        <v>65</v>
      </c>
      <c r="O24" s="377"/>
      <c r="P24" s="149"/>
      <c r="Q24" s="129"/>
      <c r="R24" s="129"/>
      <c r="S24" s="159"/>
      <c r="T24" s="159"/>
      <c r="U24" s="150"/>
      <c r="V24" s="125"/>
      <c r="W24" s="136"/>
      <c r="X24" s="136"/>
      <c r="Y24" s="160"/>
      <c r="Z24" s="160"/>
      <c r="AA24" s="137"/>
      <c r="AB24" s="136"/>
      <c r="AC24" s="136"/>
      <c r="AD24" s="136"/>
      <c r="AE24" s="136"/>
      <c r="AF24" s="136"/>
      <c r="AG24" s="136"/>
    </row>
    <row r="25" spans="1:256" s="182" customFormat="1" ht="45.75" thickTop="1">
      <c r="A25" s="371" t="s">
        <v>1160</v>
      </c>
      <c r="B25" s="372" t="s">
        <v>1167</v>
      </c>
      <c r="C25" s="372" t="s">
        <v>1179</v>
      </c>
      <c r="D25" s="372" t="s">
        <v>1168</v>
      </c>
      <c r="E25" s="256" t="s">
        <v>77</v>
      </c>
      <c r="F25" s="372" t="s">
        <v>1294</v>
      </c>
      <c r="G25" s="372" t="s">
        <v>1169</v>
      </c>
      <c r="H25" s="372" t="s">
        <v>1174</v>
      </c>
      <c r="I25" s="378" t="s">
        <v>1170</v>
      </c>
      <c r="J25" s="379" t="s">
        <v>0</v>
      </c>
      <c r="K25" s="427" t="s">
        <v>1284</v>
      </c>
      <c r="L25" s="379" t="s">
        <v>104</v>
      </c>
      <c r="M25" s="379" t="s">
        <v>0</v>
      </c>
      <c r="N25" s="380" t="s">
        <v>1284</v>
      </c>
      <c r="O25" s="379" t="s">
        <v>104</v>
      </c>
      <c r="P25" s="372" t="s">
        <v>70</v>
      </c>
      <c r="Q25" s="372" t="s">
        <v>77</v>
      </c>
      <c r="R25" s="372" t="s">
        <v>1198</v>
      </c>
      <c r="S25" s="372" t="s">
        <v>1171</v>
      </c>
      <c r="T25" s="372" t="s">
        <v>1175</v>
      </c>
      <c r="U25" s="381" t="s">
        <v>1172</v>
      </c>
      <c r="V25" s="257"/>
      <c r="W25" s="257" t="s">
        <v>1161</v>
      </c>
      <c r="X25" s="381" t="s">
        <v>1176</v>
      </c>
      <c r="Y25" s="381" t="s">
        <v>1177</v>
      </c>
      <c r="Z25" s="381" t="s">
        <v>1178</v>
      </c>
      <c r="AA25" s="382" t="s">
        <v>1173</v>
      </c>
      <c r="AB25" s="383"/>
      <c r="AC25" s="137"/>
      <c r="AD25" s="137"/>
      <c r="AE25" s="137"/>
      <c r="AF25" s="137"/>
      <c r="AG25" s="137"/>
    </row>
    <row r="26" spans="1:256" s="225" customFormat="1" ht="21.75" customHeight="1">
      <c r="A26" s="162"/>
      <c r="B26" s="163"/>
      <c r="C26" s="164"/>
      <c r="D26" s="163"/>
      <c r="E26" s="164"/>
      <c r="F26" s="164"/>
      <c r="G26" s="164"/>
      <c r="H26" s="164"/>
      <c r="I26" s="164"/>
      <c r="J26" s="165"/>
      <c r="K26" s="428"/>
      <c r="L26" s="165"/>
      <c r="M26" s="165"/>
      <c r="N26" s="341"/>
      <c r="O26" s="165"/>
      <c r="P26" s="164"/>
      <c r="Q26" s="164"/>
      <c r="R26" s="164"/>
      <c r="S26" s="164"/>
      <c r="T26" s="164"/>
      <c r="U26" s="166"/>
      <c r="V26" s="168"/>
      <c r="W26" s="166"/>
      <c r="X26" s="258"/>
      <c r="Y26" s="258"/>
      <c r="Z26" s="258"/>
      <c r="AA26" s="167"/>
      <c r="AB26" s="137"/>
      <c r="AC26" s="137"/>
      <c r="AD26" s="137"/>
      <c r="AE26" s="137"/>
      <c r="AF26" s="137"/>
      <c r="AG26" s="137"/>
    </row>
    <row r="27" spans="1:256" s="182" customFormat="1" ht="90" hidden="1" customHeight="1">
      <c r="A27" s="101">
        <v>1</v>
      </c>
      <c r="B27" s="103" t="s">
        <v>112</v>
      </c>
      <c r="C27" s="104" t="s">
        <v>93</v>
      </c>
      <c r="D27" s="103" t="s">
        <v>117</v>
      </c>
      <c r="E27" s="104" t="s">
        <v>114</v>
      </c>
      <c r="F27" s="103" t="s">
        <v>93</v>
      </c>
      <c r="G27" s="106" t="s">
        <v>93</v>
      </c>
      <c r="H27" s="102" t="s">
        <v>93</v>
      </c>
      <c r="I27" s="103" t="s">
        <v>116</v>
      </c>
      <c r="J27" s="224">
        <v>41883</v>
      </c>
      <c r="K27" s="224"/>
      <c r="L27" s="224"/>
      <c r="M27" s="224">
        <v>42977</v>
      </c>
      <c r="N27" s="224"/>
      <c r="O27" s="224"/>
      <c r="P27" s="105" t="s">
        <v>113</v>
      </c>
      <c r="Q27" s="103" t="s">
        <v>115</v>
      </c>
      <c r="R27" s="105"/>
      <c r="S27" s="104" t="s">
        <v>118</v>
      </c>
      <c r="T27" s="104" t="s">
        <v>119</v>
      </c>
      <c r="U27" s="107">
        <f>+X27+Y27+Z27</f>
        <v>66200000</v>
      </c>
      <c r="V27" s="109">
        <v>8000000</v>
      </c>
      <c r="W27" s="110">
        <f>4212000</f>
        <v>4212000</v>
      </c>
      <c r="X27" s="259">
        <v>20200000</v>
      </c>
      <c r="Y27" s="259">
        <v>22000000</v>
      </c>
      <c r="Z27" s="259">
        <v>24000000</v>
      </c>
      <c r="AA27" s="111" t="s">
        <v>120</v>
      </c>
      <c r="AB27" s="219"/>
      <c r="AC27" s="219"/>
      <c r="AD27" s="219"/>
      <c r="AE27" s="219"/>
      <c r="AF27" s="219"/>
      <c r="AG27" s="100"/>
      <c r="AH27" s="97"/>
    </row>
    <row r="28" spans="1:256" s="182" customFormat="1" ht="90" hidden="1" customHeight="1">
      <c r="A28" s="101">
        <v>2</v>
      </c>
      <c r="B28" s="103" t="s">
        <v>121</v>
      </c>
      <c r="C28" s="104" t="s">
        <v>93</v>
      </c>
      <c r="D28" s="103" t="s">
        <v>125</v>
      </c>
      <c r="E28" s="104" t="s">
        <v>114</v>
      </c>
      <c r="F28" s="103" t="s">
        <v>93</v>
      </c>
      <c r="G28" s="106" t="s">
        <v>93</v>
      </c>
      <c r="H28" s="102" t="s">
        <v>93</v>
      </c>
      <c r="I28" s="103" t="s">
        <v>124</v>
      </c>
      <c r="J28" s="224">
        <v>42156</v>
      </c>
      <c r="K28" s="224"/>
      <c r="L28" s="224"/>
      <c r="M28" s="224">
        <v>42825</v>
      </c>
      <c r="N28" s="224"/>
      <c r="O28" s="224"/>
      <c r="P28" s="105" t="s">
        <v>122</v>
      </c>
      <c r="Q28" s="103" t="s">
        <v>123</v>
      </c>
      <c r="R28" s="105" t="s">
        <v>1180</v>
      </c>
      <c r="S28" s="104" t="s">
        <v>118</v>
      </c>
      <c r="T28" s="104" t="s">
        <v>126</v>
      </c>
      <c r="U28" s="110">
        <v>1025965988</v>
      </c>
      <c r="V28" s="109"/>
      <c r="W28" s="110"/>
      <c r="X28" s="259">
        <v>386892933</v>
      </c>
      <c r="Y28" s="259">
        <v>587774756</v>
      </c>
      <c r="Z28" s="259">
        <v>51298299</v>
      </c>
      <c r="AA28" s="111" t="s">
        <v>1204</v>
      </c>
      <c r="AB28" s="219"/>
      <c r="AC28" s="219"/>
      <c r="AD28" s="219"/>
      <c r="AE28" s="219"/>
      <c r="AF28" s="219"/>
      <c r="AG28" s="100"/>
      <c r="AH28" s="97"/>
    </row>
    <row r="29" spans="1:256" s="182" customFormat="1" ht="22.5">
      <c r="A29" s="346">
        <v>1</v>
      </c>
      <c r="B29" s="347" t="s">
        <v>127</v>
      </c>
      <c r="C29" s="348" t="s">
        <v>128</v>
      </c>
      <c r="D29" s="347" t="s">
        <v>131</v>
      </c>
      <c r="E29" s="104" t="s">
        <v>114</v>
      </c>
      <c r="F29" s="353" t="s">
        <v>88</v>
      </c>
      <c r="G29" s="353" t="s">
        <v>129</v>
      </c>
      <c r="H29" s="348" t="s">
        <v>97</v>
      </c>
      <c r="I29" s="353" t="s">
        <v>130</v>
      </c>
      <c r="J29" s="351" t="s">
        <v>83</v>
      </c>
      <c r="K29" s="352" t="s">
        <v>83</v>
      </c>
      <c r="L29" s="351" t="s">
        <v>83</v>
      </c>
      <c r="M29" s="351">
        <v>41646</v>
      </c>
      <c r="N29" s="352">
        <v>11</v>
      </c>
      <c r="O29" s="351">
        <v>41990</v>
      </c>
      <c r="P29" s="353" t="s">
        <v>113</v>
      </c>
      <c r="Q29" s="353" t="s">
        <v>123</v>
      </c>
      <c r="R29" s="353" t="s">
        <v>1181</v>
      </c>
      <c r="S29" s="348" t="s">
        <v>118</v>
      </c>
      <c r="T29" s="348" t="s">
        <v>119</v>
      </c>
      <c r="U29" s="354">
        <v>13464000</v>
      </c>
      <c r="V29" s="109">
        <v>4000000</v>
      </c>
      <c r="W29" s="110">
        <v>13464000</v>
      </c>
      <c r="X29" s="355">
        <v>1009800</v>
      </c>
      <c r="Y29" s="355">
        <v>0</v>
      </c>
      <c r="Z29" s="355">
        <v>350000</v>
      </c>
      <c r="AA29" s="356" t="s">
        <v>132</v>
      </c>
      <c r="AB29" s="357"/>
      <c r="AC29" s="357"/>
      <c r="AD29" s="357"/>
      <c r="AE29" s="357"/>
      <c r="AF29" s="357"/>
      <c r="AG29" s="147"/>
    </row>
    <row r="30" spans="1:256" s="229" customFormat="1" ht="90" hidden="1" customHeight="1">
      <c r="A30" s="101">
        <f t="shared" ref="A30:A35" si="0">+A29+1</f>
        <v>2</v>
      </c>
      <c r="B30" s="103" t="s">
        <v>133</v>
      </c>
      <c r="C30" s="104" t="s">
        <v>134</v>
      </c>
      <c r="D30" s="103" t="s">
        <v>137</v>
      </c>
      <c r="E30" s="104" t="s">
        <v>114</v>
      </c>
      <c r="F30" s="103" t="s">
        <v>84</v>
      </c>
      <c r="G30" s="106" t="s">
        <v>135</v>
      </c>
      <c r="H30" s="102" t="s">
        <v>96</v>
      </c>
      <c r="I30" s="103" t="s">
        <v>136</v>
      </c>
      <c r="J30" s="224">
        <v>42461</v>
      </c>
      <c r="K30" s="224"/>
      <c r="L30" s="224">
        <f t="shared" ref="L30:L62" si="1">J30+(K30*22)</f>
        <v>42461</v>
      </c>
      <c r="M30" s="224">
        <v>42916</v>
      </c>
      <c r="N30" s="224"/>
      <c r="O30" s="224">
        <f t="shared" ref="O30:O93" si="2">M30+(N30*22)</f>
        <v>42916</v>
      </c>
      <c r="P30" s="105" t="s">
        <v>122</v>
      </c>
      <c r="Q30" s="103" t="s">
        <v>115</v>
      </c>
      <c r="R30" s="103"/>
      <c r="S30" s="104" t="s">
        <v>138</v>
      </c>
      <c r="T30" s="104" t="s">
        <v>119</v>
      </c>
      <c r="U30" s="110">
        <v>38000000</v>
      </c>
      <c r="V30" s="109">
        <v>0</v>
      </c>
      <c r="W30" s="110">
        <v>0</v>
      </c>
      <c r="X30" s="259">
        <v>0</v>
      </c>
      <c r="Y30" s="259">
        <v>0</v>
      </c>
      <c r="Z30" s="259">
        <v>1900000</v>
      </c>
      <c r="AA30" s="226">
        <v>20000000</v>
      </c>
      <c r="AB30" s="219"/>
      <c r="AC30" s="219"/>
      <c r="AD30" s="219"/>
      <c r="AE30" s="219"/>
      <c r="AF30" s="219"/>
      <c r="AG30" s="100"/>
      <c r="AH30" s="227"/>
      <c r="AI30" s="228"/>
      <c r="AJ30" s="228"/>
      <c r="AK30" s="228"/>
      <c r="AL30" s="228"/>
      <c r="AM30" s="228"/>
      <c r="AN30" s="228"/>
      <c r="AO30" s="228"/>
      <c r="AP30" s="228"/>
      <c r="AQ30" s="228"/>
      <c r="AR30" s="228"/>
      <c r="AS30" s="228"/>
      <c r="AT30" s="228"/>
      <c r="AU30" s="228"/>
      <c r="AV30" s="228"/>
      <c r="AW30" s="228"/>
      <c r="AX30" s="228"/>
      <c r="AY30" s="228"/>
      <c r="AZ30" s="228"/>
      <c r="BA30" s="228"/>
      <c r="BB30" s="228"/>
      <c r="BC30" s="228"/>
      <c r="BD30" s="228"/>
      <c r="BE30" s="228"/>
      <c r="BF30" s="228"/>
      <c r="BG30" s="228"/>
      <c r="BH30" s="228"/>
      <c r="BI30" s="228"/>
      <c r="BJ30" s="228"/>
      <c r="BK30" s="228"/>
      <c r="BL30" s="228"/>
      <c r="BM30" s="228"/>
      <c r="BN30" s="228"/>
      <c r="BO30" s="228"/>
      <c r="BP30" s="228"/>
      <c r="BQ30" s="228"/>
      <c r="BR30" s="228"/>
      <c r="BS30" s="228"/>
      <c r="BT30" s="228"/>
      <c r="BU30" s="228"/>
      <c r="BV30" s="228"/>
      <c r="BW30" s="228"/>
      <c r="BX30" s="228"/>
      <c r="BY30" s="228"/>
      <c r="BZ30" s="228"/>
      <c r="CA30" s="228"/>
      <c r="CB30" s="228"/>
      <c r="CC30" s="228"/>
      <c r="CD30" s="228"/>
      <c r="CE30" s="228"/>
      <c r="CF30" s="228"/>
      <c r="CG30" s="228"/>
      <c r="CH30" s="228"/>
      <c r="CI30" s="228"/>
      <c r="CJ30" s="228"/>
      <c r="CK30" s="228"/>
      <c r="CL30" s="228"/>
      <c r="CM30" s="228"/>
      <c r="CN30" s="228"/>
      <c r="CO30" s="228"/>
      <c r="CP30" s="228"/>
      <c r="CQ30" s="228"/>
      <c r="CR30" s="228"/>
      <c r="CS30" s="228"/>
      <c r="CT30" s="228"/>
      <c r="CU30" s="228"/>
      <c r="CV30" s="228"/>
      <c r="CW30" s="228"/>
      <c r="CX30" s="228"/>
      <c r="CY30" s="228"/>
      <c r="CZ30" s="228"/>
      <c r="DA30" s="228"/>
      <c r="DB30" s="228"/>
      <c r="DC30" s="228"/>
      <c r="DD30" s="228"/>
      <c r="DE30" s="228"/>
      <c r="DF30" s="228"/>
      <c r="DG30" s="228"/>
      <c r="DH30" s="228"/>
      <c r="DI30" s="228"/>
      <c r="DJ30" s="228"/>
      <c r="DK30" s="228"/>
      <c r="DL30" s="228"/>
      <c r="DM30" s="228"/>
      <c r="DN30" s="228"/>
      <c r="DO30" s="228"/>
      <c r="DP30" s="228"/>
      <c r="DQ30" s="228"/>
      <c r="DR30" s="228"/>
      <c r="DS30" s="228"/>
      <c r="DT30" s="228"/>
      <c r="DU30" s="228"/>
      <c r="DV30" s="228"/>
      <c r="DW30" s="228"/>
      <c r="DX30" s="228"/>
      <c r="DY30" s="228"/>
      <c r="DZ30" s="228"/>
      <c r="EA30" s="228"/>
      <c r="EB30" s="228"/>
      <c r="EC30" s="228"/>
      <c r="ED30" s="228"/>
      <c r="EE30" s="228"/>
      <c r="EF30" s="228"/>
      <c r="EG30" s="228"/>
      <c r="EH30" s="228"/>
      <c r="EI30" s="228"/>
      <c r="EJ30" s="228"/>
      <c r="EK30" s="228"/>
      <c r="EL30" s="228"/>
      <c r="EM30" s="228"/>
      <c r="EN30" s="228"/>
      <c r="EO30" s="228"/>
      <c r="EP30" s="228"/>
      <c r="EQ30" s="228"/>
      <c r="ER30" s="228"/>
      <c r="ES30" s="228"/>
      <c r="ET30" s="228"/>
      <c r="EU30" s="228"/>
      <c r="EV30" s="228"/>
      <c r="EW30" s="228"/>
      <c r="EX30" s="228"/>
      <c r="EY30" s="228"/>
      <c r="EZ30" s="228"/>
      <c r="FA30" s="228"/>
      <c r="FB30" s="228"/>
      <c r="FC30" s="228"/>
      <c r="FD30" s="228"/>
      <c r="FE30" s="228"/>
      <c r="FF30" s="228"/>
      <c r="FG30" s="228"/>
      <c r="FH30" s="228"/>
      <c r="FI30" s="228"/>
      <c r="FJ30" s="228"/>
      <c r="FK30" s="228"/>
      <c r="FL30" s="228"/>
      <c r="FM30" s="228"/>
      <c r="FN30" s="228"/>
      <c r="FO30" s="228"/>
      <c r="FP30" s="228"/>
      <c r="FQ30" s="228"/>
      <c r="FR30" s="228"/>
      <c r="FS30" s="228"/>
      <c r="FT30" s="228"/>
      <c r="FU30" s="228"/>
      <c r="FV30" s="228"/>
      <c r="FW30" s="228"/>
      <c r="FX30" s="228"/>
      <c r="FY30" s="228"/>
      <c r="FZ30" s="228"/>
      <c r="GA30" s="228"/>
      <c r="GB30" s="228"/>
      <c r="GC30" s="228"/>
      <c r="GD30" s="228"/>
      <c r="GE30" s="228"/>
      <c r="GF30" s="228"/>
      <c r="GG30" s="228"/>
      <c r="GH30" s="228"/>
      <c r="GI30" s="228"/>
      <c r="GJ30" s="228"/>
      <c r="GK30" s="228"/>
      <c r="GL30" s="228"/>
      <c r="GM30" s="228"/>
      <c r="GN30" s="228"/>
      <c r="GO30" s="228"/>
      <c r="GP30" s="228"/>
      <c r="GQ30" s="228"/>
      <c r="GR30" s="228"/>
      <c r="GS30" s="228"/>
      <c r="GT30" s="228"/>
      <c r="GU30" s="228"/>
      <c r="GV30" s="228"/>
      <c r="GW30" s="228"/>
      <c r="GX30" s="228"/>
      <c r="GY30" s="228"/>
      <c r="GZ30" s="228"/>
      <c r="HA30" s="228"/>
      <c r="HB30" s="228"/>
      <c r="HC30" s="228"/>
      <c r="HD30" s="228"/>
      <c r="HE30" s="228"/>
      <c r="HF30" s="228"/>
      <c r="HG30" s="228"/>
      <c r="HH30" s="228"/>
      <c r="HI30" s="228"/>
      <c r="HJ30" s="228"/>
      <c r="HK30" s="228"/>
      <c r="HL30" s="228"/>
      <c r="HM30" s="228"/>
      <c r="HN30" s="228"/>
      <c r="HO30" s="228"/>
      <c r="HP30" s="228"/>
      <c r="HQ30" s="228"/>
      <c r="HR30" s="228"/>
      <c r="HS30" s="228"/>
      <c r="HT30" s="228"/>
      <c r="HU30" s="228"/>
      <c r="HV30" s="228"/>
      <c r="HW30" s="228"/>
      <c r="HX30" s="228"/>
      <c r="HY30" s="228"/>
      <c r="HZ30" s="228"/>
      <c r="IA30" s="228"/>
      <c r="IB30" s="228"/>
      <c r="IC30" s="228"/>
      <c r="ID30" s="228"/>
      <c r="IE30" s="228"/>
      <c r="IF30" s="228"/>
      <c r="IG30" s="228"/>
      <c r="IH30" s="228"/>
      <c r="II30" s="228"/>
      <c r="IJ30" s="228"/>
      <c r="IK30" s="228"/>
      <c r="IL30" s="228"/>
      <c r="IM30" s="228"/>
      <c r="IN30" s="228"/>
      <c r="IO30" s="228"/>
      <c r="IP30" s="228"/>
      <c r="IQ30" s="228"/>
      <c r="IR30" s="228"/>
      <c r="IS30" s="228"/>
      <c r="IT30" s="228"/>
      <c r="IU30" s="228"/>
      <c r="IV30" s="228"/>
    </row>
    <row r="31" spans="1:256" s="229" customFormat="1" ht="90" hidden="1" customHeight="1">
      <c r="A31" s="101">
        <f t="shared" si="0"/>
        <v>3</v>
      </c>
      <c r="B31" s="103" t="s">
        <v>139</v>
      </c>
      <c r="C31" s="104" t="s">
        <v>140</v>
      </c>
      <c r="D31" s="103" t="s">
        <v>142</v>
      </c>
      <c r="E31" s="104" t="s">
        <v>114</v>
      </c>
      <c r="F31" s="103" t="s">
        <v>141</v>
      </c>
      <c r="G31" s="106"/>
      <c r="H31" s="102" t="s">
        <v>3</v>
      </c>
      <c r="I31" s="103" t="s">
        <v>136</v>
      </c>
      <c r="J31" s="224">
        <v>42461</v>
      </c>
      <c r="K31" s="224"/>
      <c r="L31" s="224">
        <f t="shared" si="1"/>
        <v>42461</v>
      </c>
      <c r="M31" s="224">
        <v>42916</v>
      </c>
      <c r="N31" s="224"/>
      <c r="O31" s="224">
        <f t="shared" si="2"/>
        <v>42916</v>
      </c>
      <c r="P31" s="105" t="s">
        <v>122</v>
      </c>
      <c r="Q31" s="103" t="s">
        <v>115</v>
      </c>
      <c r="R31" s="103"/>
      <c r="S31" s="104" t="s">
        <v>143</v>
      </c>
      <c r="T31" s="104" t="s">
        <v>119</v>
      </c>
      <c r="U31" s="110">
        <v>36000000</v>
      </c>
      <c r="V31" s="109">
        <v>0</v>
      </c>
      <c r="W31" s="110">
        <v>0</v>
      </c>
      <c r="X31" s="259">
        <v>1800000</v>
      </c>
      <c r="Y31" s="260">
        <v>20200000</v>
      </c>
      <c r="Z31" s="259">
        <v>14000000</v>
      </c>
      <c r="AA31" s="226"/>
      <c r="AB31" s="219"/>
      <c r="AC31" s="219"/>
      <c r="AD31" s="219"/>
      <c r="AE31" s="219"/>
      <c r="AF31" s="219"/>
      <c r="AG31" s="100"/>
      <c r="AH31" s="230"/>
    </row>
    <row r="32" spans="1:256" s="229" customFormat="1" ht="90" hidden="1" customHeight="1">
      <c r="A32" s="101">
        <f t="shared" si="0"/>
        <v>4</v>
      </c>
      <c r="B32" s="103" t="s">
        <v>144</v>
      </c>
      <c r="C32" s="104" t="s">
        <v>134</v>
      </c>
      <c r="D32" s="103" t="s">
        <v>146</v>
      </c>
      <c r="E32" s="104" t="s">
        <v>114</v>
      </c>
      <c r="F32" s="103" t="s">
        <v>141</v>
      </c>
      <c r="G32" s="106" t="s">
        <v>145</v>
      </c>
      <c r="H32" s="102" t="s">
        <v>3</v>
      </c>
      <c r="I32" s="103" t="s">
        <v>136</v>
      </c>
      <c r="J32" s="224"/>
      <c r="K32" s="224"/>
      <c r="L32" s="224">
        <f t="shared" si="1"/>
        <v>0</v>
      </c>
      <c r="M32" s="224"/>
      <c r="N32" s="224"/>
      <c r="O32" s="224">
        <f t="shared" si="2"/>
        <v>0</v>
      </c>
      <c r="P32" s="105" t="s">
        <v>122</v>
      </c>
      <c r="Q32" s="103" t="s">
        <v>115</v>
      </c>
      <c r="R32" s="103"/>
      <c r="S32" s="104" t="s">
        <v>138</v>
      </c>
      <c r="T32" s="104" t="s">
        <v>119</v>
      </c>
      <c r="U32" s="110">
        <f>+(1823640+10*((1141850+1714473+2097122)/9)+3658606+1350713+4298671+14*(1022001/14)+1350000+600000+350000+750000+150000)*1.23*1.07</f>
        <v>27450501.497433338</v>
      </c>
      <c r="V32" s="109"/>
      <c r="W32" s="110">
        <v>0</v>
      </c>
      <c r="X32" s="259">
        <v>0</v>
      </c>
      <c r="Y32" s="259">
        <v>0</v>
      </c>
      <c r="Z32" s="259">
        <f>+U32*0.235*0.3</f>
        <v>1935260.3555690502</v>
      </c>
      <c r="AA32" s="226">
        <f>+U32-Z32-AB32</f>
        <v>25515241.141864289</v>
      </c>
      <c r="AB32" s="219"/>
      <c r="AC32" s="219"/>
      <c r="AD32" s="219"/>
      <c r="AE32" s="219"/>
      <c r="AF32" s="219"/>
      <c r="AG32" s="100"/>
      <c r="AH32" s="230"/>
    </row>
    <row r="33" spans="1:256" s="229" customFormat="1" ht="90" hidden="1" customHeight="1">
      <c r="A33" s="101">
        <f t="shared" si="0"/>
        <v>5</v>
      </c>
      <c r="B33" s="103" t="s">
        <v>147</v>
      </c>
      <c r="C33" s="104" t="s">
        <v>134</v>
      </c>
      <c r="D33" s="103" t="s">
        <v>149</v>
      </c>
      <c r="E33" s="104" t="s">
        <v>114</v>
      </c>
      <c r="F33" s="103" t="s">
        <v>141</v>
      </c>
      <c r="G33" s="106" t="s">
        <v>148</v>
      </c>
      <c r="H33" s="102" t="s">
        <v>3</v>
      </c>
      <c r="I33" s="103" t="s">
        <v>136</v>
      </c>
      <c r="J33" s="224"/>
      <c r="K33" s="224"/>
      <c r="L33" s="224">
        <f t="shared" si="1"/>
        <v>0</v>
      </c>
      <c r="M33" s="224"/>
      <c r="N33" s="224"/>
      <c r="O33" s="224">
        <f t="shared" si="2"/>
        <v>0</v>
      </c>
      <c r="P33" s="105" t="s">
        <v>122</v>
      </c>
      <c r="Q33" s="103" t="s">
        <v>115</v>
      </c>
      <c r="R33" s="103"/>
      <c r="S33" s="104" t="s">
        <v>138</v>
      </c>
      <c r="T33" s="104" t="s">
        <v>119</v>
      </c>
      <c r="U33" s="110">
        <f>+(1823640+12*((1141850+1714473+2097122)/9))*1.23*1.07</f>
        <v>11092397.889999999</v>
      </c>
      <c r="V33" s="109"/>
      <c r="W33" s="110">
        <v>0</v>
      </c>
      <c r="X33" s="259">
        <v>0</v>
      </c>
      <c r="Y33" s="259">
        <v>0</v>
      </c>
      <c r="Z33" s="259">
        <f>+U33*0.235*0.3</f>
        <v>782014.05124499986</v>
      </c>
      <c r="AA33" s="226">
        <f>+U33-Z33</f>
        <v>10310383.838754999</v>
      </c>
      <c r="AB33" s="219"/>
      <c r="AC33" s="219"/>
      <c r="AD33" s="219"/>
      <c r="AE33" s="219"/>
      <c r="AF33" s="219"/>
      <c r="AG33" s="100"/>
      <c r="AH33" s="230"/>
    </row>
    <row r="34" spans="1:256" s="229" customFormat="1" ht="90" hidden="1" customHeight="1">
      <c r="A34" s="101">
        <f t="shared" si="0"/>
        <v>6</v>
      </c>
      <c r="B34" s="103" t="s">
        <v>150</v>
      </c>
      <c r="C34" s="104" t="s">
        <v>134</v>
      </c>
      <c r="D34" s="103" t="s">
        <v>152</v>
      </c>
      <c r="E34" s="104" t="s">
        <v>114</v>
      </c>
      <c r="F34" s="103" t="s">
        <v>141</v>
      </c>
      <c r="G34" s="106" t="s">
        <v>151</v>
      </c>
      <c r="H34" s="102" t="s">
        <v>3</v>
      </c>
      <c r="I34" s="103" t="s">
        <v>136</v>
      </c>
      <c r="J34" s="224"/>
      <c r="K34" s="224"/>
      <c r="L34" s="224">
        <f t="shared" si="1"/>
        <v>0</v>
      </c>
      <c r="M34" s="224"/>
      <c r="N34" s="224"/>
      <c r="O34" s="224">
        <f t="shared" si="2"/>
        <v>0</v>
      </c>
      <c r="P34" s="105" t="s">
        <v>122</v>
      </c>
      <c r="Q34" s="103" t="s">
        <v>115</v>
      </c>
      <c r="R34" s="103"/>
      <c r="S34" s="104" t="s">
        <v>138</v>
      </c>
      <c r="T34" s="104" t="s">
        <v>119</v>
      </c>
      <c r="U34" s="110">
        <f>+(1823640)*1.23*1.07</f>
        <v>2400092.6040000003</v>
      </c>
      <c r="V34" s="109"/>
      <c r="W34" s="110">
        <v>0</v>
      </c>
      <c r="X34" s="259">
        <v>0</v>
      </c>
      <c r="Y34" s="259">
        <v>0</v>
      </c>
      <c r="Z34" s="259">
        <f>+U34*0.235*0.3</f>
        <v>169206.528582</v>
      </c>
      <c r="AA34" s="226">
        <f>+U34-Z34</f>
        <v>2230886.0754180001</v>
      </c>
      <c r="AB34" s="219"/>
      <c r="AC34" s="219"/>
      <c r="AD34" s="219"/>
      <c r="AE34" s="219"/>
      <c r="AF34" s="219"/>
      <c r="AG34" s="100"/>
      <c r="AH34" s="230"/>
    </row>
    <row r="35" spans="1:256" s="229" customFormat="1" ht="90" hidden="1" customHeight="1">
      <c r="A35" s="101">
        <f t="shared" si="0"/>
        <v>7</v>
      </c>
      <c r="B35" s="103" t="s">
        <v>153</v>
      </c>
      <c r="C35" s="104" t="s">
        <v>134</v>
      </c>
      <c r="D35" s="103" t="s">
        <v>154</v>
      </c>
      <c r="E35" s="104" t="s">
        <v>114</v>
      </c>
      <c r="F35" s="103" t="s">
        <v>141</v>
      </c>
      <c r="G35" s="106" t="s">
        <v>145</v>
      </c>
      <c r="H35" s="102" t="s">
        <v>3</v>
      </c>
      <c r="I35" s="103" t="s">
        <v>136</v>
      </c>
      <c r="J35" s="224">
        <v>42461</v>
      </c>
      <c r="K35" s="224"/>
      <c r="L35" s="224">
        <f t="shared" si="1"/>
        <v>42461</v>
      </c>
      <c r="M35" s="224">
        <v>42824</v>
      </c>
      <c r="N35" s="224"/>
      <c r="O35" s="224">
        <f t="shared" si="2"/>
        <v>42824</v>
      </c>
      <c r="P35" s="105" t="s">
        <v>122</v>
      </c>
      <c r="Q35" s="103" t="s">
        <v>115</v>
      </c>
      <c r="R35" s="103"/>
      <c r="S35" s="104" t="s">
        <v>143</v>
      </c>
      <c r="T35" s="104" t="s">
        <v>119</v>
      </c>
      <c r="U35" s="110">
        <v>34000000</v>
      </c>
      <c r="V35" s="109">
        <v>0</v>
      </c>
      <c r="W35" s="110">
        <v>0</v>
      </c>
      <c r="X35" s="259">
        <v>1700000</v>
      </c>
      <c r="Y35" s="260">
        <v>32300000</v>
      </c>
      <c r="Z35" s="259">
        <v>0</v>
      </c>
      <c r="AA35" s="226">
        <f>+U35*0.01/1.23</f>
        <v>276422.76422764227</v>
      </c>
      <c r="AB35" s="219"/>
      <c r="AC35" s="219"/>
      <c r="AD35" s="219"/>
      <c r="AE35" s="219"/>
      <c r="AF35" s="219"/>
      <c r="AG35" s="100"/>
      <c r="AH35" s="231"/>
      <c r="AI35" s="232"/>
      <c r="AJ35" s="232"/>
      <c r="AK35" s="232"/>
      <c r="AL35" s="232"/>
      <c r="AM35" s="232"/>
      <c r="AN35" s="232"/>
      <c r="AO35" s="232"/>
      <c r="AP35" s="232"/>
      <c r="AQ35" s="232"/>
      <c r="AR35" s="232"/>
      <c r="AS35" s="232"/>
      <c r="AT35" s="232"/>
      <c r="AU35" s="232"/>
      <c r="AV35" s="232"/>
      <c r="AW35" s="232"/>
      <c r="AX35" s="232"/>
      <c r="AY35" s="232"/>
      <c r="AZ35" s="232"/>
      <c r="BA35" s="232"/>
      <c r="BB35" s="232"/>
      <c r="BC35" s="232"/>
      <c r="BD35" s="232"/>
      <c r="BE35" s="232"/>
      <c r="BF35" s="232"/>
      <c r="BG35" s="232"/>
      <c r="BH35" s="232"/>
      <c r="BI35" s="232"/>
      <c r="BJ35" s="232"/>
      <c r="BK35" s="232"/>
      <c r="BL35" s="232"/>
      <c r="BM35" s="232"/>
      <c r="BN35" s="232"/>
      <c r="BO35" s="232"/>
      <c r="BP35" s="232"/>
      <c r="BQ35" s="232"/>
      <c r="BR35" s="232"/>
      <c r="BS35" s="232"/>
      <c r="BT35" s="232"/>
      <c r="BU35" s="232"/>
      <c r="BV35" s="232"/>
      <c r="BW35" s="232"/>
      <c r="BX35" s="232"/>
      <c r="BY35" s="232"/>
      <c r="BZ35" s="232"/>
      <c r="CA35" s="232"/>
      <c r="CB35" s="232"/>
      <c r="CC35" s="232"/>
      <c r="CD35" s="232"/>
      <c r="CE35" s="232"/>
      <c r="CF35" s="232"/>
      <c r="CG35" s="232"/>
      <c r="CH35" s="232"/>
      <c r="CI35" s="232"/>
      <c r="CJ35" s="232"/>
      <c r="CK35" s="232"/>
      <c r="CL35" s="232"/>
      <c r="CM35" s="232"/>
      <c r="CN35" s="232"/>
      <c r="CO35" s="232"/>
      <c r="CP35" s="232"/>
      <c r="CQ35" s="232"/>
      <c r="CR35" s="232"/>
      <c r="CS35" s="232"/>
      <c r="CT35" s="232"/>
      <c r="CU35" s="232"/>
      <c r="CV35" s="232"/>
      <c r="CW35" s="232"/>
      <c r="CX35" s="232"/>
      <c r="CY35" s="232"/>
      <c r="CZ35" s="232"/>
      <c r="DA35" s="232"/>
      <c r="DB35" s="232"/>
      <c r="DC35" s="232"/>
      <c r="DD35" s="232"/>
      <c r="DE35" s="232"/>
      <c r="DF35" s="232"/>
      <c r="DG35" s="232"/>
      <c r="DH35" s="232"/>
      <c r="DI35" s="232"/>
      <c r="DJ35" s="232"/>
      <c r="DK35" s="232"/>
      <c r="DL35" s="232"/>
      <c r="DM35" s="232"/>
      <c r="DN35" s="232"/>
      <c r="DO35" s="232"/>
      <c r="DP35" s="232"/>
      <c r="DQ35" s="232"/>
      <c r="DR35" s="232"/>
      <c r="DS35" s="232"/>
      <c r="DT35" s="232"/>
      <c r="DU35" s="232"/>
      <c r="DV35" s="232"/>
      <c r="DW35" s="232"/>
      <c r="DX35" s="232"/>
      <c r="DY35" s="232"/>
      <c r="DZ35" s="232"/>
      <c r="EA35" s="232"/>
      <c r="EB35" s="232"/>
      <c r="EC35" s="232"/>
      <c r="ED35" s="232"/>
      <c r="EE35" s="232"/>
      <c r="EF35" s="232"/>
      <c r="EG35" s="232"/>
      <c r="EH35" s="232"/>
      <c r="EI35" s="232"/>
      <c r="EJ35" s="232"/>
      <c r="EK35" s="232"/>
      <c r="EL35" s="232"/>
      <c r="EM35" s="232"/>
      <c r="EN35" s="232"/>
      <c r="EO35" s="232"/>
      <c r="EP35" s="232"/>
      <c r="EQ35" s="232"/>
      <c r="ER35" s="232"/>
      <c r="ES35" s="232"/>
      <c r="ET35" s="232"/>
      <c r="EU35" s="232"/>
      <c r="EV35" s="232"/>
      <c r="EW35" s="232"/>
      <c r="EX35" s="232"/>
      <c r="EY35" s="232"/>
      <c r="EZ35" s="232"/>
      <c r="FA35" s="232"/>
      <c r="FB35" s="232"/>
      <c r="FC35" s="232"/>
      <c r="FD35" s="232"/>
      <c r="FE35" s="232"/>
      <c r="FF35" s="232"/>
      <c r="FG35" s="232"/>
      <c r="FH35" s="232"/>
      <c r="FI35" s="232"/>
      <c r="FJ35" s="232"/>
      <c r="FK35" s="232"/>
      <c r="FL35" s="232"/>
      <c r="FM35" s="232"/>
      <c r="FN35" s="232"/>
      <c r="FO35" s="232"/>
      <c r="FP35" s="232"/>
      <c r="FQ35" s="232"/>
      <c r="FR35" s="232"/>
      <c r="FS35" s="232"/>
      <c r="FT35" s="232"/>
      <c r="FU35" s="232"/>
      <c r="FV35" s="232"/>
      <c r="FW35" s="232"/>
      <c r="FX35" s="232"/>
      <c r="FY35" s="232"/>
      <c r="FZ35" s="232"/>
      <c r="GA35" s="232"/>
      <c r="GB35" s="232"/>
      <c r="GC35" s="232"/>
      <c r="GD35" s="232"/>
      <c r="GE35" s="232"/>
      <c r="GF35" s="232"/>
      <c r="GG35" s="232"/>
      <c r="GH35" s="232"/>
      <c r="GI35" s="232"/>
      <c r="GJ35" s="232"/>
      <c r="GK35" s="232"/>
      <c r="GL35" s="232"/>
      <c r="GM35" s="232"/>
      <c r="GN35" s="232"/>
      <c r="GO35" s="232"/>
      <c r="GP35" s="232"/>
      <c r="GQ35" s="232"/>
      <c r="GR35" s="232"/>
      <c r="GS35" s="232"/>
      <c r="GT35" s="232"/>
      <c r="GU35" s="232"/>
      <c r="GV35" s="232"/>
      <c r="GW35" s="232"/>
      <c r="GX35" s="232"/>
      <c r="GY35" s="232"/>
      <c r="GZ35" s="232"/>
      <c r="HA35" s="232"/>
      <c r="HB35" s="232"/>
      <c r="HC35" s="232"/>
      <c r="HD35" s="232"/>
      <c r="HE35" s="232"/>
      <c r="HF35" s="232"/>
      <c r="HG35" s="232"/>
      <c r="HH35" s="232"/>
      <c r="HI35" s="232"/>
      <c r="HJ35" s="232"/>
      <c r="HK35" s="232"/>
      <c r="HL35" s="232"/>
      <c r="HM35" s="232"/>
      <c r="HN35" s="232"/>
      <c r="HO35" s="232"/>
      <c r="HP35" s="232"/>
      <c r="HQ35" s="232"/>
      <c r="HR35" s="232"/>
      <c r="HS35" s="232"/>
      <c r="HT35" s="232"/>
      <c r="HU35" s="232"/>
      <c r="HV35" s="232"/>
      <c r="HW35" s="232"/>
      <c r="HX35" s="232"/>
      <c r="HY35" s="232"/>
      <c r="HZ35" s="232"/>
      <c r="IA35" s="232"/>
      <c r="IB35" s="232"/>
      <c r="IC35" s="232"/>
      <c r="ID35" s="232"/>
      <c r="IE35" s="232"/>
      <c r="IF35" s="232"/>
      <c r="IG35" s="232"/>
      <c r="IH35" s="232"/>
      <c r="II35" s="232"/>
      <c r="IJ35" s="232"/>
      <c r="IK35" s="232"/>
      <c r="IL35" s="232"/>
      <c r="IM35" s="232"/>
      <c r="IN35" s="232"/>
      <c r="IO35" s="232"/>
      <c r="IP35" s="232"/>
      <c r="IQ35" s="232"/>
      <c r="IR35" s="232"/>
      <c r="IS35" s="232"/>
      <c r="IT35" s="232"/>
      <c r="IU35" s="232"/>
      <c r="IV35" s="232"/>
    </row>
    <row r="36" spans="1:256" s="182" customFormat="1" ht="45">
      <c r="A36" s="346">
        <v>2</v>
      </c>
      <c r="B36" s="347" t="s">
        <v>1295</v>
      </c>
      <c r="C36" s="348" t="s">
        <v>134</v>
      </c>
      <c r="D36" s="347" t="s">
        <v>156</v>
      </c>
      <c r="E36" s="104" t="s">
        <v>114</v>
      </c>
      <c r="F36" s="353" t="s">
        <v>84</v>
      </c>
      <c r="G36" s="353" t="s">
        <v>155</v>
      </c>
      <c r="H36" s="348" t="s">
        <v>14</v>
      </c>
      <c r="I36" s="353" t="s">
        <v>136</v>
      </c>
      <c r="J36" s="351" t="s">
        <v>83</v>
      </c>
      <c r="K36" s="352" t="s">
        <v>83</v>
      </c>
      <c r="L36" s="351" t="s">
        <v>83</v>
      </c>
      <c r="M36" s="351">
        <v>41933</v>
      </c>
      <c r="N36" s="352">
        <v>7</v>
      </c>
      <c r="O36" s="351">
        <v>42174</v>
      </c>
      <c r="P36" s="353" t="s">
        <v>122</v>
      </c>
      <c r="Q36" s="353" t="s">
        <v>115</v>
      </c>
      <c r="R36" s="353" t="s">
        <v>65</v>
      </c>
      <c r="S36" s="348" t="s">
        <v>118</v>
      </c>
      <c r="T36" s="348" t="s">
        <v>119</v>
      </c>
      <c r="U36" s="354">
        <v>39463000</v>
      </c>
      <c r="V36" s="109">
        <v>12000000</v>
      </c>
      <c r="W36" s="110">
        <v>0</v>
      </c>
      <c r="X36" s="355">
        <v>32376000</v>
      </c>
      <c r="Y36" s="355">
        <f>+U36-X36</f>
        <v>7087000</v>
      </c>
      <c r="Z36" s="355">
        <v>0</v>
      </c>
      <c r="AA36" s="356" t="s">
        <v>132</v>
      </c>
      <c r="AB36" s="357"/>
      <c r="AC36" s="357"/>
      <c r="AD36" s="357"/>
      <c r="AE36" s="357"/>
      <c r="AF36" s="357"/>
      <c r="AG36" s="147"/>
    </row>
    <row r="37" spans="1:256" s="229" customFormat="1" ht="90" hidden="1" customHeight="1">
      <c r="A37" s="101">
        <f>+A36+1</f>
        <v>3</v>
      </c>
      <c r="B37" s="103" t="s">
        <v>157</v>
      </c>
      <c r="C37" s="104" t="s">
        <v>140</v>
      </c>
      <c r="D37" s="103" t="s">
        <v>159</v>
      </c>
      <c r="E37" s="104" t="s">
        <v>114</v>
      </c>
      <c r="F37" s="103" t="s">
        <v>84</v>
      </c>
      <c r="G37" s="106" t="s">
        <v>158</v>
      </c>
      <c r="H37" s="102" t="s">
        <v>96</v>
      </c>
      <c r="I37" s="103" t="s">
        <v>136</v>
      </c>
      <c r="J37" s="224">
        <v>42461</v>
      </c>
      <c r="K37" s="224"/>
      <c r="L37" s="224">
        <f t="shared" si="1"/>
        <v>42461</v>
      </c>
      <c r="M37" s="224">
        <v>42916</v>
      </c>
      <c r="N37" s="224"/>
      <c r="O37" s="224">
        <f t="shared" si="2"/>
        <v>42916</v>
      </c>
      <c r="P37" s="105" t="s">
        <v>122</v>
      </c>
      <c r="Q37" s="103" t="s">
        <v>115</v>
      </c>
      <c r="R37" s="103"/>
      <c r="S37" s="104" t="s">
        <v>138</v>
      </c>
      <c r="T37" s="104" t="s">
        <v>119</v>
      </c>
      <c r="U37" s="110">
        <v>46000000</v>
      </c>
      <c r="V37" s="109">
        <v>0</v>
      </c>
      <c r="W37" s="110">
        <v>0</v>
      </c>
      <c r="X37" s="259">
        <v>0</v>
      </c>
      <c r="Y37" s="260">
        <v>2300000</v>
      </c>
      <c r="Z37" s="259">
        <v>24600000</v>
      </c>
      <c r="AA37" s="226">
        <v>19100000</v>
      </c>
      <c r="AB37" s="219"/>
      <c r="AC37" s="219"/>
      <c r="AD37" s="219"/>
      <c r="AE37" s="219"/>
      <c r="AF37" s="219"/>
      <c r="AG37" s="100"/>
      <c r="AH37" s="227"/>
      <c r="AI37" s="228"/>
      <c r="AJ37" s="228"/>
      <c r="AK37" s="228"/>
      <c r="AL37" s="228"/>
      <c r="AM37" s="228"/>
      <c r="AN37" s="228"/>
      <c r="AO37" s="228"/>
      <c r="AP37" s="228"/>
      <c r="AQ37" s="228"/>
      <c r="AR37" s="228"/>
      <c r="AS37" s="228"/>
      <c r="AT37" s="228"/>
      <c r="AU37" s="228"/>
      <c r="AV37" s="228"/>
      <c r="AW37" s="228"/>
      <c r="AX37" s="228"/>
      <c r="AY37" s="228"/>
      <c r="AZ37" s="228"/>
      <c r="BA37" s="228"/>
      <c r="BB37" s="228"/>
      <c r="BC37" s="228"/>
      <c r="BD37" s="228"/>
      <c r="BE37" s="228"/>
      <c r="BF37" s="228"/>
      <c r="BG37" s="228"/>
      <c r="BH37" s="228"/>
      <c r="BI37" s="228"/>
      <c r="BJ37" s="228"/>
      <c r="BK37" s="228"/>
      <c r="BL37" s="228"/>
      <c r="BM37" s="228"/>
      <c r="BN37" s="228"/>
      <c r="BO37" s="228"/>
      <c r="BP37" s="228"/>
      <c r="BQ37" s="228"/>
      <c r="BR37" s="228"/>
      <c r="BS37" s="228"/>
      <c r="BT37" s="228"/>
      <c r="BU37" s="228"/>
      <c r="BV37" s="228"/>
      <c r="BW37" s="228"/>
      <c r="BX37" s="228"/>
      <c r="BY37" s="228"/>
      <c r="BZ37" s="228"/>
      <c r="CA37" s="228"/>
      <c r="CB37" s="228"/>
      <c r="CC37" s="228"/>
      <c r="CD37" s="228"/>
      <c r="CE37" s="228"/>
      <c r="CF37" s="228"/>
      <c r="CG37" s="228"/>
      <c r="CH37" s="228"/>
      <c r="CI37" s="228"/>
      <c r="CJ37" s="228"/>
      <c r="CK37" s="228"/>
      <c r="CL37" s="228"/>
      <c r="CM37" s="228"/>
      <c r="CN37" s="228"/>
      <c r="CO37" s="228"/>
      <c r="CP37" s="228"/>
      <c r="CQ37" s="228"/>
      <c r="CR37" s="228"/>
      <c r="CS37" s="228"/>
      <c r="CT37" s="228"/>
      <c r="CU37" s="228"/>
      <c r="CV37" s="228"/>
      <c r="CW37" s="228"/>
      <c r="CX37" s="228"/>
      <c r="CY37" s="228"/>
      <c r="CZ37" s="228"/>
      <c r="DA37" s="228"/>
      <c r="DB37" s="228"/>
      <c r="DC37" s="228"/>
      <c r="DD37" s="228"/>
      <c r="DE37" s="228"/>
      <c r="DF37" s="228"/>
      <c r="DG37" s="228"/>
      <c r="DH37" s="228"/>
      <c r="DI37" s="228"/>
      <c r="DJ37" s="228"/>
      <c r="DK37" s="228"/>
      <c r="DL37" s="228"/>
      <c r="DM37" s="228"/>
      <c r="DN37" s="228"/>
      <c r="DO37" s="228"/>
      <c r="DP37" s="228"/>
      <c r="DQ37" s="228"/>
      <c r="DR37" s="228"/>
      <c r="DS37" s="228"/>
      <c r="DT37" s="228"/>
      <c r="DU37" s="228"/>
      <c r="DV37" s="228"/>
      <c r="DW37" s="228"/>
      <c r="DX37" s="228"/>
      <c r="DY37" s="228"/>
      <c r="DZ37" s="228"/>
      <c r="EA37" s="228"/>
      <c r="EB37" s="228"/>
      <c r="EC37" s="228"/>
      <c r="ED37" s="228"/>
      <c r="EE37" s="228"/>
      <c r="EF37" s="228"/>
      <c r="EG37" s="228"/>
      <c r="EH37" s="228"/>
      <c r="EI37" s="228"/>
      <c r="EJ37" s="228"/>
      <c r="EK37" s="228"/>
      <c r="EL37" s="228"/>
      <c r="EM37" s="228"/>
      <c r="EN37" s="228"/>
      <c r="EO37" s="228"/>
      <c r="EP37" s="228"/>
      <c r="EQ37" s="228"/>
      <c r="ER37" s="228"/>
      <c r="ES37" s="228"/>
      <c r="ET37" s="228"/>
      <c r="EU37" s="228"/>
      <c r="EV37" s="228"/>
      <c r="EW37" s="228"/>
      <c r="EX37" s="228"/>
      <c r="EY37" s="228"/>
      <c r="EZ37" s="228"/>
      <c r="FA37" s="228"/>
      <c r="FB37" s="228"/>
      <c r="FC37" s="228"/>
      <c r="FD37" s="228"/>
      <c r="FE37" s="228"/>
      <c r="FF37" s="228"/>
      <c r="FG37" s="228"/>
      <c r="FH37" s="228"/>
      <c r="FI37" s="228"/>
      <c r="FJ37" s="228"/>
      <c r="FK37" s="228"/>
      <c r="FL37" s="228"/>
      <c r="FM37" s="228"/>
      <c r="FN37" s="228"/>
      <c r="FO37" s="228"/>
      <c r="FP37" s="228"/>
      <c r="FQ37" s="228"/>
      <c r="FR37" s="228"/>
      <c r="FS37" s="228"/>
      <c r="FT37" s="228"/>
      <c r="FU37" s="228"/>
      <c r="FV37" s="228"/>
      <c r="FW37" s="228"/>
      <c r="FX37" s="228"/>
      <c r="FY37" s="228"/>
      <c r="FZ37" s="228"/>
      <c r="GA37" s="228"/>
      <c r="GB37" s="228"/>
      <c r="GC37" s="228"/>
      <c r="GD37" s="228"/>
      <c r="GE37" s="228"/>
      <c r="GF37" s="228"/>
      <c r="GG37" s="228"/>
      <c r="GH37" s="228"/>
      <c r="GI37" s="228"/>
      <c r="GJ37" s="228"/>
      <c r="GK37" s="228"/>
      <c r="GL37" s="228"/>
      <c r="GM37" s="228"/>
      <c r="GN37" s="228"/>
      <c r="GO37" s="228"/>
      <c r="GP37" s="228"/>
      <c r="GQ37" s="228"/>
      <c r="GR37" s="228"/>
      <c r="GS37" s="228"/>
      <c r="GT37" s="228"/>
      <c r="GU37" s="228"/>
      <c r="GV37" s="228"/>
      <c r="GW37" s="228"/>
      <c r="GX37" s="228"/>
      <c r="GY37" s="228"/>
      <c r="GZ37" s="228"/>
      <c r="HA37" s="228"/>
      <c r="HB37" s="228"/>
      <c r="HC37" s="228"/>
      <c r="HD37" s="228"/>
      <c r="HE37" s="228"/>
      <c r="HF37" s="228"/>
      <c r="HG37" s="228"/>
      <c r="HH37" s="228"/>
      <c r="HI37" s="228"/>
      <c r="HJ37" s="228"/>
      <c r="HK37" s="228"/>
      <c r="HL37" s="228"/>
      <c r="HM37" s="228"/>
      <c r="HN37" s="228"/>
      <c r="HO37" s="228"/>
      <c r="HP37" s="228"/>
      <c r="HQ37" s="228"/>
      <c r="HR37" s="228"/>
      <c r="HS37" s="228"/>
      <c r="HT37" s="228"/>
      <c r="HU37" s="228"/>
      <c r="HV37" s="228"/>
      <c r="HW37" s="228"/>
      <c r="HX37" s="228"/>
      <c r="HY37" s="228"/>
      <c r="HZ37" s="228"/>
      <c r="IA37" s="228"/>
      <c r="IB37" s="228"/>
      <c r="IC37" s="228"/>
      <c r="ID37" s="228"/>
      <c r="IE37" s="228"/>
      <c r="IF37" s="228"/>
      <c r="IG37" s="228"/>
      <c r="IH37" s="228"/>
      <c r="II37" s="228"/>
      <c r="IJ37" s="228"/>
      <c r="IK37" s="228"/>
      <c r="IL37" s="228"/>
      <c r="IM37" s="228"/>
      <c r="IN37" s="228"/>
      <c r="IO37" s="228"/>
      <c r="IP37" s="228"/>
      <c r="IQ37" s="228"/>
      <c r="IR37" s="228"/>
      <c r="IS37" s="228"/>
      <c r="IT37" s="228"/>
      <c r="IU37" s="228"/>
      <c r="IV37" s="228"/>
    </row>
    <row r="38" spans="1:256" s="229" customFormat="1" ht="90" hidden="1" customHeight="1">
      <c r="A38" s="101">
        <f>+A37+1</f>
        <v>4</v>
      </c>
      <c r="B38" s="103" t="s">
        <v>14</v>
      </c>
      <c r="C38" s="104" t="s">
        <v>134</v>
      </c>
      <c r="D38" s="103" t="s">
        <v>160</v>
      </c>
      <c r="E38" s="104" t="s">
        <v>114</v>
      </c>
      <c r="F38" s="103" t="s">
        <v>84</v>
      </c>
      <c r="G38" s="106" t="s">
        <v>14</v>
      </c>
      <c r="H38" s="102" t="s">
        <v>14</v>
      </c>
      <c r="I38" s="103" t="s">
        <v>136</v>
      </c>
      <c r="J38" s="224">
        <v>42461</v>
      </c>
      <c r="K38" s="224"/>
      <c r="L38" s="224">
        <f t="shared" si="1"/>
        <v>42461</v>
      </c>
      <c r="M38" s="224">
        <v>42916</v>
      </c>
      <c r="N38" s="224"/>
      <c r="O38" s="224">
        <f t="shared" si="2"/>
        <v>42916</v>
      </c>
      <c r="P38" s="105" t="s">
        <v>122</v>
      </c>
      <c r="Q38" s="103" t="s">
        <v>115</v>
      </c>
      <c r="R38" s="103"/>
      <c r="S38" s="104" t="s">
        <v>138</v>
      </c>
      <c r="T38" s="104" t="s">
        <v>119</v>
      </c>
      <c r="U38" s="110">
        <v>42000000</v>
      </c>
      <c r="V38" s="109">
        <v>0</v>
      </c>
      <c r="W38" s="110">
        <v>0</v>
      </c>
      <c r="X38" s="259">
        <v>0</v>
      </c>
      <c r="Y38" s="259">
        <v>0</v>
      </c>
      <c r="Z38" s="259">
        <v>2300000</v>
      </c>
      <c r="AA38" s="226">
        <v>24600000</v>
      </c>
      <c r="AB38" s="219"/>
      <c r="AC38" s="219"/>
      <c r="AD38" s="219"/>
      <c r="AE38" s="219"/>
      <c r="AF38" s="219"/>
      <c r="AG38" s="100"/>
      <c r="AH38" s="231"/>
      <c r="AI38" s="232"/>
      <c r="AJ38" s="232"/>
      <c r="AK38" s="232"/>
      <c r="AL38" s="232"/>
      <c r="AM38" s="232"/>
      <c r="AN38" s="232"/>
      <c r="AO38" s="232"/>
      <c r="AP38" s="232"/>
      <c r="AQ38" s="232"/>
      <c r="AR38" s="232"/>
      <c r="AS38" s="232"/>
      <c r="AT38" s="232"/>
      <c r="AU38" s="232"/>
      <c r="AV38" s="232"/>
      <c r="AW38" s="232"/>
      <c r="AX38" s="232"/>
      <c r="AY38" s="232"/>
      <c r="AZ38" s="232"/>
      <c r="BA38" s="232"/>
      <c r="BB38" s="232"/>
      <c r="BC38" s="232"/>
      <c r="BD38" s="232"/>
      <c r="BE38" s="232"/>
      <c r="BF38" s="232"/>
      <c r="BG38" s="232"/>
      <c r="BH38" s="232"/>
      <c r="BI38" s="232"/>
      <c r="BJ38" s="232"/>
      <c r="BK38" s="232"/>
      <c r="BL38" s="232"/>
      <c r="BM38" s="232"/>
      <c r="BN38" s="232"/>
      <c r="BO38" s="232"/>
      <c r="BP38" s="232"/>
      <c r="BQ38" s="232"/>
      <c r="BR38" s="232"/>
      <c r="BS38" s="232"/>
      <c r="BT38" s="232"/>
      <c r="BU38" s="232"/>
      <c r="BV38" s="232"/>
      <c r="BW38" s="232"/>
      <c r="BX38" s="232"/>
      <c r="BY38" s="232"/>
      <c r="BZ38" s="232"/>
      <c r="CA38" s="232"/>
      <c r="CB38" s="232"/>
      <c r="CC38" s="232"/>
      <c r="CD38" s="232"/>
      <c r="CE38" s="232"/>
      <c r="CF38" s="232"/>
      <c r="CG38" s="232"/>
      <c r="CH38" s="232"/>
      <c r="CI38" s="232"/>
      <c r="CJ38" s="232"/>
      <c r="CK38" s="232"/>
      <c r="CL38" s="232"/>
      <c r="CM38" s="232"/>
      <c r="CN38" s="232"/>
      <c r="CO38" s="232"/>
      <c r="CP38" s="232"/>
      <c r="CQ38" s="232"/>
      <c r="CR38" s="232"/>
      <c r="CS38" s="232"/>
      <c r="CT38" s="232"/>
      <c r="CU38" s="232"/>
      <c r="CV38" s="232"/>
      <c r="CW38" s="232"/>
      <c r="CX38" s="232"/>
      <c r="CY38" s="232"/>
      <c r="CZ38" s="232"/>
      <c r="DA38" s="232"/>
      <c r="DB38" s="232"/>
      <c r="DC38" s="232"/>
      <c r="DD38" s="232"/>
      <c r="DE38" s="232"/>
      <c r="DF38" s="232"/>
      <c r="DG38" s="232"/>
      <c r="DH38" s="232"/>
      <c r="DI38" s="232"/>
      <c r="DJ38" s="232"/>
      <c r="DK38" s="232"/>
      <c r="DL38" s="232"/>
      <c r="DM38" s="232"/>
      <c r="DN38" s="232"/>
      <c r="DO38" s="232"/>
      <c r="DP38" s="232"/>
      <c r="DQ38" s="232"/>
      <c r="DR38" s="232"/>
      <c r="DS38" s="232"/>
      <c r="DT38" s="232"/>
      <c r="DU38" s="232"/>
      <c r="DV38" s="232"/>
      <c r="DW38" s="232"/>
      <c r="DX38" s="232"/>
      <c r="DY38" s="232"/>
      <c r="DZ38" s="232"/>
      <c r="EA38" s="232"/>
      <c r="EB38" s="232"/>
      <c r="EC38" s="232"/>
      <c r="ED38" s="232"/>
      <c r="EE38" s="232"/>
      <c r="EF38" s="232"/>
      <c r="EG38" s="232"/>
      <c r="EH38" s="232"/>
      <c r="EI38" s="232"/>
      <c r="EJ38" s="232"/>
      <c r="EK38" s="232"/>
      <c r="EL38" s="232"/>
      <c r="EM38" s="232"/>
      <c r="EN38" s="232"/>
      <c r="EO38" s="232"/>
      <c r="EP38" s="232"/>
      <c r="EQ38" s="232"/>
      <c r="ER38" s="232"/>
      <c r="ES38" s="232"/>
      <c r="ET38" s="232"/>
      <c r="EU38" s="232"/>
      <c r="EV38" s="232"/>
      <c r="EW38" s="232"/>
      <c r="EX38" s="232"/>
      <c r="EY38" s="232"/>
      <c r="EZ38" s="232"/>
      <c r="FA38" s="232"/>
      <c r="FB38" s="232"/>
      <c r="FC38" s="232"/>
      <c r="FD38" s="232"/>
      <c r="FE38" s="232"/>
      <c r="FF38" s="232"/>
      <c r="FG38" s="232"/>
      <c r="FH38" s="232"/>
      <c r="FI38" s="232"/>
      <c r="FJ38" s="232"/>
      <c r="FK38" s="232"/>
      <c r="FL38" s="232"/>
      <c r="FM38" s="232"/>
      <c r="FN38" s="232"/>
      <c r="FO38" s="232"/>
      <c r="FP38" s="232"/>
      <c r="FQ38" s="232"/>
      <c r="FR38" s="232"/>
      <c r="FS38" s="232"/>
      <c r="FT38" s="232"/>
      <c r="FU38" s="232"/>
      <c r="FV38" s="232"/>
      <c r="FW38" s="232"/>
      <c r="FX38" s="232"/>
      <c r="FY38" s="232"/>
      <c r="FZ38" s="232"/>
      <c r="GA38" s="232"/>
      <c r="GB38" s="232"/>
      <c r="GC38" s="232"/>
      <c r="GD38" s="232"/>
      <c r="GE38" s="232"/>
      <c r="GF38" s="232"/>
      <c r="GG38" s="232"/>
      <c r="GH38" s="232"/>
      <c r="GI38" s="232"/>
      <c r="GJ38" s="232"/>
      <c r="GK38" s="232"/>
      <c r="GL38" s="232"/>
      <c r="GM38" s="232"/>
      <c r="GN38" s="232"/>
      <c r="GO38" s="232"/>
      <c r="GP38" s="232"/>
      <c r="GQ38" s="232"/>
      <c r="GR38" s="232"/>
      <c r="GS38" s="232"/>
      <c r="GT38" s="232"/>
      <c r="GU38" s="232"/>
      <c r="GV38" s="232"/>
      <c r="GW38" s="232"/>
      <c r="GX38" s="232"/>
      <c r="GY38" s="232"/>
      <c r="GZ38" s="232"/>
      <c r="HA38" s="232"/>
      <c r="HB38" s="232"/>
      <c r="HC38" s="232"/>
      <c r="HD38" s="232"/>
      <c r="HE38" s="232"/>
      <c r="HF38" s="232"/>
      <c r="HG38" s="232"/>
      <c r="HH38" s="232"/>
      <c r="HI38" s="232"/>
      <c r="HJ38" s="232"/>
      <c r="HK38" s="232"/>
      <c r="HL38" s="232"/>
      <c r="HM38" s="232"/>
      <c r="HN38" s="232"/>
      <c r="HO38" s="232"/>
      <c r="HP38" s="232"/>
      <c r="HQ38" s="232"/>
      <c r="HR38" s="232"/>
      <c r="HS38" s="232"/>
      <c r="HT38" s="232"/>
      <c r="HU38" s="232"/>
      <c r="HV38" s="232"/>
      <c r="HW38" s="232"/>
      <c r="HX38" s="232"/>
      <c r="HY38" s="232"/>
      <c r="HZ38" s="232"/>
      <c r="IA38" s="232"/>
      <c r="IB38" s="232"/>
      <c r="IC38" s="232"/>
      <c r="ID38" s="232"/>
      <c r="IE38" s="232"/>
      <c r="IF38" s="232"/>
      <c r="IG38" s="232"/>
      <c r="IH38" s="232"/>
      <c r="II38" s="232"/>
      <c r="IJ38" s="232"/>
      <c r="IK38" s="232"/>
      <c r="IL38" s="232"/>
      <c r="IM38" s="232"/>
      <c r="IN38" s="232"/>
      <c r="IO38" s="232"/>
      <c r="IP38" s="232"/>
      <c r="IQ38" s="232"/>
      <c r="IR38" s="232"/>
      <c r="IS38" s="232"/>
      <c r="IT38" s="232"/>
      <c r="IU38" s="232"/>
      <c r="IV38" s="232"/>
    </row>
    <row r="39" spans="1:256" s="182" customFormat="1" ht="33.75">
      <c r="A39" s="346">
        <f>+A36+1</f>
        <v>3</v>
      </c>
      <c r="B39" s="347" t="s">
        <v>1296</v>
      </c>
      <c r="C39" s="348" t="s">
        <v>138</v>
      </c>
      <c r="D39" s="347" t="s">
        <v>163</v>
      </c>
      <c r="E39" s="104" t="s">
        <v>114</v>
      </c>
      <c r="F39" s="353" t="s">
        <v>91</v>
      </c>
      <c r="G39" s="353" t="s">
        <v>161</v>
      </c>
      <c r="H39" s="348" t="s">
        <v>31</v>
      </c>
      <c r="I39" s="353" t="s">
        <v>162</v>
      </c>
      <c r="J39" s="351" t="s">
        <v>83</v>
      </c>
      <c r="K39" s="352" t="s">
        <v>83</v>
      </c>
      <c r="L39" s="351" t="s">
        <v>83</v>
      </c>
      <c r="M39" s="351">
        <v>41883</v>
      </c>
      <c r="N39" s="352">
        <v>11</v>
      </c>
      <c r="O39" s="351">
        <v>42247</v>
      </c>
      <c r="P39" s="353" t="s">
        <v>122</v>
      </c>
      <c r="Q39" s="353" t="s">
        <v>115</v>
      </c>
      <c r="R39" s="353" t="s">
        <v>65</v>
      </c>
      <c r="S39" s="348" t="s">
        <v>118</v>
      </c>
      <c r="T39" s="348" t="s">
        <v>119</v>
      </c>
      <c r="U39" s="354">
        <v>42846000</v>
      </c>
      <c r="V39" s="109">
        <f>1252413.82+3000000</f>
        <v>4252413.82</v>
      </c>
      <c r="W39" s="110">
        <v>28323000</v>
      </c>
      <c r="X39" s="355">
        <v>28479492</v>
      </c>
      <c r="Y39" s="355">
        <v>8766508</v>
      </c>
      <c r="Z39" s="355">
        <f>+U39*0.01/1.23</f>
        <v>348341.46341463417</v>
      </c>
      <c r="AA39" s="356" t="s">
        <v>132</v>
      </c>
      <c r="AB39" s="357"/>
      <c r="AC39" s="357"/>
      <c r="AD39" s="357"/>
      <c r="AE39" s="357"/>
      <c r="AF39" s="357"/>
      <c r="AG39" s="147"/>
    </row>
    <row r="40" spans="1:256" s="229" customFormat="1" ht="90" hidden="1" customHeight="1">
      <c r="A40" s="101">
        <f>+A39+1</f>
        <v>4</v>
      </c>
      <c r="B40" s="103" t="s">
        <v>164</v>
      </c>
      <c r="C40" s="104" t="s">
        <v>140</v>
      </c>
      <c r="D40" s="103" t="s">
        <v>166</v>
      </c>
      <c r="E40" s="104" t="s">
        <v>114</v>
      </c>
      <c r="F40" s="103" t="s">
        <v>84</v>
      </c>
      <c r="G40" s="106" t="s">
        <v>165</v>
      </c>
      <c r="H40" s="102" t="s">
        <v>96</v>
      </c>
      <c r="I40" s="103" t="s">
        <v>136</v>
      </c>
      <c r="J40" s="224">
        <v>42461</v>
      </c>
      <c r="K40" s="224"/>
      <c r="L40" s="224">
        <f t="shared" si="1"/>
        <v>42461</v>
      </c>
      <c r="M40" s="224">
        <v>42916</v>
      </c>
      <c r="N40" s="224"/>
      <c r="O40" s="224">
        <f t="shared" si="2"/>
        <v>42916</v>
      </c>
      <c r="P40" s="105" t="s">
        <v>122</v>
      </c>
      <c r="Q40" s="103" t="s">
        <v>115</v>
      </c>
      <c r="R40" s="103"/>
      <c r="S40" s="104" t="s">
        <v>138</v>
      </c>
      <c r="T40" s="104" t="s">
        <v>119</v>
      </c>
      <c r="U40" s="110">
        <v>40000000</v>
      </c>
      <c r="V40" s="109">
        <v>0</v>
      </c>
      <c r="W40" s="110">
        <v>0</v>
      </c>
      <c r="X40" s="259">
        <v>0</v>
      </c>
      <c r="Y40" s="259">
        <v>0</v>
      </c>
      <c r="Z40" s="259">
        <v>2000000</v>
      </c>
      <c r="AA40" s="226">
        <v>20400000</v>
      </c>
      <c r="AB40" s="219"/>
      <c r="AC40" s="219"/>
      <c r="AD40" s="219"/>
      <c r="AE40" s="219"/>
      <c r="AF40" s="219"/>
      <c r="AG40" s="100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8"/>
      <c r="AS40" s="228"/>
      <c r="AT40" s="228"/>
      <c r="AU40" s="228"/>
      <c r="AV40" s="228"/>
      <c r="AW40" s="228"/>
      <c r="AX40" s="228"/>
      <c r="AY40" s="228"/>
      <c r="AZ40" s="228"/>
      <c r="BA40" s="228"/>
      <c r="BB40" s="228"/>
      <c r="BC40" s="228"/>
      <c r="BD40" s="228"/>
      <c r="BE40" s="228"/>
      <c r="BF40" s="228"/>
      <c r="BG40" s="228"/>
      <c r="BH40" s="228"/>
      <c r="BI40" s="228"/>
      <c r="BJ40" s="228"/>
      <c r="BK40" s="228"/>
      <c r="BL40" s="228"/>
      <c r="BM40" s="228"/>
      <c r="BN40" s="228"/>
      <c r="BO40" s="228"/>
      <c r="BP40" s="228"/>
      <c r="BQ40" s="228"/>
      <c r="BR40" s="228"/>
      <c r="BS40" s="228"/>
      <c r="BT40" s="228"/>
      <c r="BU40" s="228"/>
      <c r="BV40" s="228"/>
      <c r="BW40" s="228"/>
      <c r="BX40" s="228"/>
      <c r="BY40" s="228"/>
      <c r="BZ40" s="228"/>
      <c r="CA40" s="228"/>
      <c r="CB40" s="228"/>
      <c r="CC40" s="228"/>
      <c r="CD40" s="228"/>
      <c r="CE40" s="228"/>
      <c r="CF40" s="228"/>
      <c r="CG40" s="228"/>
      <c r="CH40" s="228"/>
      <c r="CI40" s="228"/>
      <c r="CJ40" s="228"/>
      <c r="CK40" s="228"/>
      <c r="CL40" s="228"/>
      <c r="CM40" s="228"/>
      <c r="CN40" s="228"/>
      <c r="CO40" s="228"/>
      <c r="CP40" s="228"/>
      <c r="CQ40" s="228"/>
      <c r="CR40" s="228"/>
      <c r="CS40" s="228"/>
      <c r="CT40" s="228"/>
      <c r="CU40" s="228"/>
      <c r="CV40" s="228"/>
      <c r="CW40" s="228"/>
      <c r="CX40" s="228"/>
      <c r="CY40" s="228"/>
      <c r="CZ40" s="228"/>
      <c r="DA40" s="228"/>
      <c r="DB40" s="228"/>
      <c r="DC40" s="228"/>
      <c r="DD40" s="228"/>
      <c r="DE40" s="228"/>
      <c r="DF40" s="228"/>
      <c r="DG40" s="228"/>
      <c r="DH40" s="228"/>
      <c r="DI40" s="228"/>
      <c r="DJ40" s="228"/>
      <c r="DK40" s="228"/>
      <c r="DL40" s="228"/>
      <c r="DM40" s="228"/>
      <c r="DN40" s="228"/>
      <c r="DO40" s="228"/>
      <c r="DP40" s="228"/>
      <c r="DQ40" s="228"/>
      <c r="DR40" s="228"/>
      <c r="DS40" s="228"/>
      <c r="DT40" s="228"/>
      <c r="DU40" s="228"/>
      <c r="DV40" s="228"/>
      <c r="DW40" s="228"/>
      <c r="DX40" s="228"/>
      <c r="DY40" s="228"/>
      <c r="DZ40" s="228"/>
      <c r="EA40" s="228"/>
      <c r="EB40" s="228"/>
      <c r="EC40" s="228"/>
      <c r="ED40" s="228"/>
      <c r="EE40" s="228"/>
      <c r="EF40" s="228"/>
      <c r="EG40" s="228"/>
      <c r="EH40" s="228"/>
      <c r="EI40" s="228"/>
      <c r="EJ40" s="228"/>
      <c r="EK40" s="228"/>
      <c r="EL40" s="228"/>
      <c r="EM40" s="228"/>
      <c r="EN40" s="228"/>
      <c r="EO40" s="228"/>
      <c r="EP40" s="228"/>
      <c r="EQ40" s="228"/>
      <c r="ER40" s="228"/>
      <c r="ES40" s="228"/>
      <c r="ET40" s="228"/>
      <c r="EU40" s="228"/>
      <c r="EV40" s="228"/>
      <c r="EW40" s="228"/>
      <c r="EX40" s="228"/>
      <c r="EY40" s="228"/>
      <c r="EZ40" s="228"/>
      <c r="FA40" s="228"/>
      <c r="FB40" s="228"/>
      <c r="FC40" s="228"/>
      <c r="FD40" s="228"/>
      <c r="FE40" s="228"/>
      <c r="FF40" s="228"/>
      <c r="FG40" s="228"/>
      <c r="FH40" s="228"/>
      <c r="FI40" s="228"/>
      <c r="FJ40" s="228"/>
      <c r="FK40" s="228"/>
      <c r="FL40" s="228"/>
      <c r="FM40" s="228"/>
      <c r="FN40" s="228"/>
      <c r="FO40" s="228"/>
      <c r="FP40" s="228"/>
      <c r="FQ40" s="228"/>
      <c r="FR40" s="228"/>
      <c r="FS40" s="228"/>
      <c r="FT40" s="228"/>
      <c r="FU40" s="228"/>
      <c r="FV40" s="228"/>
      <c r="FW40" s="228"/>
      <c r="FX40" s="228"/>
      <c r="FY40" s="228"/>
      <c r="FZ40" s="228"/>
      <c r="GA40" s="228"/>
      <c r="GB40" s="228"/>
      <c r="GC40" s="228"/>
      <c r="GD40" s="228"/>
      <c r="GE40" s="228"/>
      <c r="GF40" s="228"/>
      <c r="GG40" s="228"/>
      <c r="GH40" s="228"/>
      <c r="GI40" s="228"/>
      <c r="GJ40" s="228"/>
      <c r="GK40" s="228"/>
      <c r="GL40" s="228"/>
      <c r="GM40" s="228"/>
      <c r="GN40" s="228"/>
      <c r="GO40" s="228"/>
      <c r="GP40" s="228"/>
      <c r="GQ40" s="228"/>
      <c r="GR40" s="228"/>
      <c r="GS40" s="228"/>
      <c r="GT40" s="228"/>
      <c r="GU40" s="228"/>
      <c r="GV40" s="228"/>
      <c r="GW40" s="228"/>
      <c r="GX40" s="228"/>
      <c r="GY40" s="228"/>
      <c r="GZ40" s="228"/>
      <c r="HA40" s="228"/>
      <c r="HB40" s="228"/>
      <c r="HC40" s="228"/>
      <c r="HD40" s="228"/>
      <c r="HE40" s="228"/>
      <c r="HF40" s="228"/>
      <c r="HG40" s="228"/>
      <c r="HH40" s="228"/>
      <c r="HI40" s="228"/>
      <c r="HJ40" s="228"/>
      <c r="HK40" s="228"/>
      <c r="HL40" s="228"/>
      <c r="HM40" s="228"/>
      <c r="HN40" s="228"/>
      <c r="HO40" s="228"/>
      <c r="HP40" s="228"/>
      <c r="HQ40" s="228"/>
      <c r="HR40" s="228"/>
      <c r="HS40" s="228"/>
      <c r="HT40" s="228"/>
      <c r="HU40" s="228"/>
      <c r="HV40" s="228"/>
      <c r="HW40" s="228"/>
      <c r="HX40" s="228"/>
      <c r="HY40" s="228"/>
      <c r="HZ40" s="228"/>
      <c r="IA40" s="228"/>
      <c r="IB40" s="228"/>
      <c r="IC40" s="228"/>
      <c r="ID40" s="228"/>
      <c r="IE40" s="228"/>
      <c r="IF40" s="228"/>
      <c r="IG40" s="228"/>
      <c r="IH40" s="228"/>
      <c r="II40" s="228"/>
      <c r="IJ40" s="228"/>
      <c r="IK40" s="228"/>
      <c r="IL40" s="228"/>
      <c r="IM40" s="228"/>
      <c r="IN40" s="228"/>
      <c r="IO40" s="228"/>
      <c r="IP40" s="228"/>
      <c r="IQ40" s="228"/>
      <c r="IR40" s="228"/>
      <c r="IS40" s="228"/>
      <c r="IT40" s="228"/>
      <c r="IU40" s="228"/>
      <c r="IV40" s="228"/>
    </row>
    <row r="41" spans="1:256" s="229" customFormat="1" ht="90" hidden="1" customHeight="1">
      <c r="A41" s="101">
        <f>+A40+1</f>
        <v>5</v>
      </c>
      <c r="B41" s="103" t="s">
        <v>167</v>
      </c>
      <c r="C41" s="104" t="s">
        <v>140</v>
      </c>
      <c r="D41" s="103" t="s">
        <v>168</v>
      </c>
      <c r="E41" s="104" t="s">
        <v>114</v>
      </c>
      <c r="F41" s="103" t="s">
        <v>84</v>
      </c>
      <c r="G41" s="106" t="s">
        <v>165</v>
      </c>
      <c r="H41" s="102" t="s">
        <v>96</v>
      </c>
      <c r="I41" s="103" t="s">
        <v>136</v>
      </c>
      <c r="J41" s="224">
        <v>42461</v>
      </c>
      <c r="K41" s="224"/>
      <c r="L41" s="224">
        <f t="shared" si="1"/>
        <v>42461</v>
      </c>
      <c r="M41" s="224">
        <v>42916</v>
      </c>
      <c r="N41" s="224"/>
      <c r="O41" s="224">
        <f t="shared" si="2"/>
        <v>42916</v>
      </c>
      <c r="P41" s="105" t="s">
        <v>122</v>
      </c>
      <c r="Q41" s="103" t="s">
        <v>115</v>
      </c>
      <c r="R41" s="103"/>
      <c r="S41" s="104" t="s">
        <v>143</v>
      </c>
      <c r="T41" s="104" t="s">
        <v>119</v>
      </c>
      <c r="U41" s="110">
        <v>46000000</v>
      </c>
      <c r="V41" s="109">
        <v>0</v>
      </c>
      <c r="W41" s="110">
        <v>0</v>
      </c>
      <c r="X41" s="259">
        <v>2300000</v>
      </c>
      <c r="Y41" s="260">
        <v>20000000</v>
      </c>
      <c r="Z41" s="259">
        <v>23700000</v>
      </c>
      <c r="AA41" s="226"/>
      <c r="AB41" s="219"/>
      <c r="AC41" s="219"/>
      <c r="AD41" s="219"/>
      <c r="AE41" s="219"/>
      <c r="AF41" s="219"/>
      <c r="AG41" s="100"/>
      <c r="AH41" s="230"/>
    </row>
    <row r="42" spans="1:256" s="229" customFormat="1" ht="90" hidden="1" customHeight="1">
      <c r="A42" s="101">
        <f>+A41+1</f>
        <v>6</v>
      </c>
      <c r="B42" s="103" t="s">
        <v>169</v>
      </c>
      <c r="C42" s="104" t="s">
        <v>134</v>
      </c>
      <c r="D42" s="103" t="s">
        <v>170</v>
      </c>
      <c r="E42" s="104" t="s">
        <v>114</v>
      </c>
      <c r="F42" s="103" t="s">
        <v>84</v>
      </c>
      <c r="G42" s="106" t="s">
        <v>14</v>
      </c>
      <c r="H42" s="102" t="s">
        <v>14</v>
      </c>
      <c r="I42" s="103" t="s">
        <v>136</v>
      </c>
      <c r="J42" s="224">
        <v>42826</v>
      </c>
      <c r="K42" s="224"/>
      <c r="L42" s="224">
        <f t="shared" si="1"/>
        <v>42826</v>
      </c>
      <c r="M42" s="224">
        <v>43281</v>
      </c>
      <c r="N42" s="224"/>
      <c r="O42" s="224">
        <f t="shared" si="2"/>
        <v>43281</v>
      </c>
      <c r="P42" s="105" t="s">
        <v>122</v>
      </c>
      <c r="Q42" s="103" t="s">
        <v>115</v>
      </c>
      <c r="R42" s="103"/>
      <c r="S42" s="104" t="s">
        <v>138</v>
      </c>
      <c r="T42" s="104" t="s">
        <v>119</v>
      </c>
      <c r="U42" s="110">
        <v>40000000</v>
      </c>
      <c r="V42" s="109">
        <v>0</v>
      </c>
      <c r="W42" s="110">
        <v>0</v>
      </c>
      <c r="X42" s="259">
        <v>0</v>
      </c>
      <c r="Y42" s="260">
        <f>+U42*0.235*0.3</f>
        <v>2820000</v>
      </c>
      <c r="Z42" s="259">
        <f>+U42-Y42-AA42</f>
        <v>34380000</v>
      </c>
      <c r="AA42" s="226">
        <f>+U42*0.07</f>
        <v>2800000.0000000005</v>
      </c>
      <c r="AB42" s="219"/>
      <c r="AC42" s="219"/>
      <c r="AD42" s="219"/>
      <c r="AE42" s="219"/>
      <c r="AF42" s="219"/>
      <c r="AG42" s="100"/>
      <c r="AH42" s="230"/>
    </row>
    <row r="43" spans="1:256" s="229" customFormat="1" ht="90" hidden="1" customHeight="1">
      <c r="A43" s="101">
        <f>+A42+1</f>
        <v>7</v>
      </c>
      <c r="B43" s="103" t="s">
        <v>171</v>
      </c>
      <c r="C43" s="104" t="s">
        <v>134</v>
      </c>
      <c r="D43" s="103" t="s">
        <v>174</v>
      </c>
      <c r="E43" s="104" t="s">
        <v>114</v>
      </c>
      <c r="F43" s="103" t="s">
        <v>88</v>
      </c>
      <c r="G43" s="106" t="s">
        <v>172</v>
      </c>
      <c r="H43" s="102" t="s">
        <v>95</v>
      </c>
      <c r="I43" s="103" t="s">
        <v>173</v>
      </c>
      <c r="J43" s="224">
        <v>42826</v>
      </c>
      <c r="K43" s="224"/>
      <c r="L43" s="224">
        <f t="shared" si="1"/>
        <v>42826</v>
      </c>
      <c r="M43" s="224">
        <v>43189</v>
      </c>
      <c r="N43" s="224"/>
      <c r="O43" s="224">
        <f t="shared" si="2"/>
        <v>43189</v>
      </c>
      <c r="P43" s="105" t="s">
        <v>122</v>
      </c>
      <c r="Q43" s="103" t="s">
        <v>123</v>
      </c>
      <c r="R43" s="103"/>
      <c r="S43" s="104" t="s">
        <v>138</v>
      </c>
      <c r="T43" s="104" t="s">
        <v>119</v>
      </c>
      <c r="U43" s="110">
        <v>25000000</v>
      </c>
      <c r="V43" s="109">
        <v>0</v>
      </c>
      <c r="W43" s="110">
        <v>0</v>
      </c>
      <c r="X43" s="259">
        <v>0</v>
      </c>
      <c r="Y43" s="260">
        <v>1250000</v>
      </c>
      <c r="Z43" s="259">
        <v>24700000</v>
      </c>
      <c r="AA43" s="226">
        <v>0</v>
      </c>
      <c r="AB43" s="219"/>
      <c r="AC43" s="219"/>
      <c r="AD43" s="219"/>
      <c r="AE43" s="219"/>
      <c r="AF43" s="219"/>
      <c r="AG43" s="100"/>
      <c r="AH43" s="231"/>
      <c r="AI43" s="232"/>
      <c r="AJ43" s="232"/>
      <c r="AK43" s="232"/>
      <c r="AL43" s="232"/>
      <c r="AM43" s="232"/>
      <c r="AN43" s="232"/>
      <c r="AO43" s="232"/>
      <c r="AP43" s="232"/>
      <c r="AQ43" s="232"/>
      <c r="AR43" s="232"/>
      <c r="AS43" s="232"/>
      <c r="AT43" s="232"/>
      <c r="AU43" s="232"/>
      <c r="AV43" s="232"/>
      <c r="AW43" s="232"/>
      <c r="AX43" s="232"/>
      <c r="AY43" s="232"/>
      <c r="AZ43" s="232"/>
      <c r="BA43" s="232"/>
      <c r="BB43" s="232"/>
      <c r="BC43" s="232"/>
      <c r="BD43" s="232"/>
      <c r="BE43" s="232"/>
      <c r="BF43" s="232"/>
      <c r="BG43" s="232"/>
      <c r="BH43" s="232"/>
      <c r="BI43" s="232"/>
      <c r="BJ43" s="232"/>
      <c r="BK43" s="232"/>
      <c r="BL43" s="232"/>
      <c r="BM43" s="232"/>
      <c r="BN43" s="232"/>
      <c r="BO43" s="232"/>
      <c r="BP43" s="232"/>
      <c r="BQ43" s="232"/>
      <c r="BR43" s="232"/>
      <c r="BS43" s="232"/>
      <c r="BT43" s="232"/>
      <c r="BU43" s="232"/>
      <c r="BV43" s="232"/>
      <c r="BW43" s="232"/>
      <c r="BX43" s="232"/>
      <c r="BY43" s="232"/>
      <c r="BZ43" s="232"/>
      <c r="CA43" s="232"/>
      <c r="CB43" s="232"/>
      <c r="CC43" s="232"/>
      <c r="CD43" s="232"/>
      <c r="CE43" s="232"/>
      <c r="CF43" s="232"/>
      <c r="CG43" s="232"/>
      <c r="CH43" s="232"/>
      <c r="CI43" s="232"/>
      <c r="CJ43" s="232"/>
      <c r="CK43" s="232"/>
      <c r="CL43" s="232"/>
      <c r="CM43" s="232"/>
      <c r="CN43" s="232"/>
      <c r="CO43" s="232"/>
      <c r="CP43" s="232"/>
      <c r="CQ43" s="232"/>
      <c r="CR43" s="232"/>
      <c r="CS43" s="232"/>
      <c r="CT43" s="232"/>
      <c r="CU43" s="232"/>
      <c r="CV43" s="232"/>
      <c r="CW43" s="232"/>
      <c r="CX43" s="232"/>
      <c r="CY43" s="232"/>
      <c r="CZ43" s="232"/>
      <c r="DA43" s="232"/>
      <c r="DB43" s="232"/>
      <c r="DC43" s="232"/>
      <c r="DD43" s="232"/>
      <c r="DE43" s="232"/>
      <c r="DF43" s="232"/>
      <c r="DG43" s="232"/>
      <c r="DH43" s="232"/>
      <c r="DI43" s="232"/>
      <c r="DJ43" s="232"/>
      <c r="DK43" s="232"/>
      <c r="DL43" s="232"/>
      <c r="DM43" s="232"/>
      <c r="DN43" s="232"/>
      <c r="DO43" s="232"/>
      <c r="DP43" s="232"/>
      <c r="DQ43" s="232"/>
      <c r="DR43" s="232"/>
      <c r="DS43" s="232"/>
      <c r="DT43" s="232"/>
      <c r="DU43" s="232"/>
      <c r="DV43" s="232"/>
      <c r="DW43" s="232"/>
      <c r="DX43" s="232"/>
      <c r="DY43" s="232"/>
      <c r="DZ43" s="232"/>
      <c r="EA43" s="232"/>
      <c r="EB43" s="232"/>
      <c r="EC43" s="232"/>
      <c r="ED43" s="232"/>
      <c r="EE43" s="232"/>
      <c r="EF43" s="232"/>
      <c r="EG43" s="232"/>
      <c r="EH43" s="232"/>
      <c r="EI43" s="232"/>
      <c r="EJ43" s="232"/>
      <c r="EK43" s="232"/>
      <c r="EL43" s="232"/>
      <c r="EM43" s="232"/>
      <c r="EN43" s="232"/>
      <c r="EO43" s="232"/>
      <c r="EP43" s="232"/>
      <c r="EQ43" s="232"/>
      <c r="ER43" s="232"/>
      <c r="ES43" s="232"/>
      <c r="ET43" s="232"/>
      <c r="EU43" s="232"/>
      <c r="EV43" s="232"/>
      <c r="EW43" s="232"/>
      <c r="EX43" s="232"/>
      <c r="EY43" s="232"/>
      <c r="EZ43" s="232"/>
      <c r="FA43" s="232"/>
      <c r="FB43" s="232"/>
      <c r="FC43" s="232"/>
      <c r="FD43" s="232"/>
      <c r="FE43" s="232"/>
      <c r="FF43" s="232"/>
      <c r="FG43" s="232"/>
      <c r="FH43" s="232"/>
      <c r="FI43" s="232"/>
      <c r="FJ43" s="232"/>
      <c r="FK43" s="232"/>
      <c r="FL43" s="232"/>
      <c r="FM43" s="232"/>
      <c r="FN43" s="232"/>
      <c r="FO43" s="232"/>
      <c r="FP43" s="232"/>
      <c r="FQ43" s="232"/>
      <c r="FR43" s="232"/>
      <c r="FS43" s="232"/>
      <c r="FT43" s="232"/>
      <c r="FU43" s="232"/>
      <c r="FV43" s="232"/>
      <c r="FW43" s="232"/>
      <c r="FX43" s="232"/>
      <c r="FY43" s="232"/>
      <c r="FZ43" s="232"/>
      <c r="GA43" s="232"/>
      <c r="GB43" s="232"/>
      <c r="GC43" s="232"/>
      <c r="GD43" s="232"/>
      <c r="GE43" s="232"/>
      <c r="GF43" s="232"/>
      <c r="GG43" s="232"/>
      <c r="GH43" s="232"/>
      <c r="GI43" s="232"/>
      <c r="GJ43" s="232"/>
      <c r="GK43" s="232"/>
      <c r="GL43" s="232"/>
      <c r="GM43" s="232"/>
      <c r="GN43" s="232"/>
      <c r="GO43" s="232"/>
      <c r="GP43" s="232"/>
      <c r="GQ43" s="232"/>
      <c r="GR43" s="232"/>
      <c r="GS43" s="232"/>
      <c r="GT43" s="232"/>
      <c r="GU43" s="232"/>
      <c r="GV43" s="232"/>
      <c r="GW43" s="232"/>
      <c r="GX43" s="232"/>
      <c r="GY43" s="232"/>
      <c r="GZ43" s="232"/>
      <c r="HA43" s="232"/>
      <c r="HB43" s="232"/>
      <c r="HC43" s="232"/>
      <c r="HD43" s="232"/>
      <c r="HE43" s="232"/>
      <c r="HF43" s="232"/>
      <c r="HG43" s="232"/>
      <c r="HH43" s="232"/>
      <c r="HI43" s="232"/>
      <c r="HJ43" s="232"/>
      <c r="HK43" s="232"/>
      <c r="HL43" s="232"/>
      <c r="HM43" s="232"/>
      <c r="HN43" s="232"/>
      <c r="HO43" s="232"/>
      <c r="HP43" s="232"/>
      <c r="HQ43" s="232"/>
      <c r="HR43" s="232"/>
      <c r="HS43" s="232"/>
      <c r="HT43" s="232"/>
      <c r="HU43" s="232"/>
      <c r="HV43" s="232"/>
      <c r="HW43" s="232"/>
      <c r="HX43" s="232"/>
      <c r="HY43" s="232"/>
      <c r="HZ43" s="232"/>
      <c r="IA43" s="232"/>
      <c r="IB43" s="232"/>
      <c r="IC43" s="232"/>
      <c r="ID43" s="232"/>
      <c r="IE43" s="232"/>
      <c r="IF43" s="232"/>
      <c r="IG43" s="232"/>
      <c r="IH43" s="232"/>
      <c r="II43" s="232"/>
      <c r="IJ43" s="232"/>
      <c r="IK43" s="232"/>
      <c r="IL43" s="232"/>
      <c r="IM43" s="232"/>
      <c r="IN43" s="232"/>
      <c r="IO43" s="232"/>
      <c r="IP43" s="232"/>
      <c r="IQ43" s="232"/>
      <c r="IR43" s="232"/>
      <c r="IS43" s="232"/>
      <c r="IT43" s="232"/>
      <c r="IU43" s="232"/>
      <c r="IV43" s="232"/>
    </row>
    <row r="44" spans="1:256" s="182" customFormat="1" ht="45">
      <c r="A44" s="346">
        <f>+A37+1</f>
        <v>4</v>
      </c>
      <c r="B44" s="347" t="s">
        <v>1297</v>
      </c>
      <c r="C44" s="348" t="s">
        <v>175</v>
      </c>
      <c r="D44" s="347" t="s">
        <v>178</v>
      </c>
      <c r="E44" s="104" t="s">
        <v>114</v>
      </c>
      <c r="F44" s="353" t="s">
        <v>88</v>
      </c>
      <c r="G44" s="353" t="s">
        <v>176</v>
      </c>
      <c r="H44" s="348" t="s">
        <v>23</v>
      </c>
      <c r="I44" s="353" t="s">
        <v>177</v>
      </c>
      <c r="J44" s="351" t="s">
        <v>83</v>
      </c>
      <c r="K44" s="352" t="s">
        <v>83</v>
      </c>
      <c r="L44" s="351" t="s">
        <v>83</v>
      </c>
      <c r="M44" s="351">
        <v>41505</v>
      </c>
      <c r="N44" s="352" t="s">
        <v>1201</v>
      </c>
      <c r="O44" s="351" t="s">
        <v>1201</v>
      </c>
      <c r="P44" s="353" t="s">
        <v>122</v>
      </c>
      <c r="Q44" s="353" t="s">
        <v>115</v>
      </c>
      <c r="R44" s="353" t="s">
        <v>1181</v>
      </c>
      <c r="S44" s="348" t="s">
        <v>118</v>
      </c>
      <c r="T44" s="348" t="s">
        <v>119</v>
      </c>
      <c r="U44" s="354">
        <f>46786000</f>
        <v>46786000</v>
      </c>
      <c r="V44" s="109">
        <v>5000000</v>
      </c>
      <c r="W44" s="110">
        <v>40078000</v>
      </c>
      <c r="X44" s="355">
        <v>14841489</v>
      </c>
      <c r="Y44" s="355">
        <v>0</v>
      </c>
      <c r="Z44" s="355">
        <f>+U44*0.01/1.23</f>
        <v>380373.98373983742</v>
      </c>
      <c r="AA44" s="356" t="s">
        <v>132</v>
      </c>
      <c r="AB44" s="357"/>
      <c r="AC44" s="357"/>
      <c r="AD44" s="357"/>
      <c r="AE44" s="357"/>
      <c r="AF44" s="357"/>
      <c r="AG44" s="147"/>
    </row>
    <row r="45" spans="1:256" s="229" customFormat="1" ht="90" hidden="1" customHeight="1">
      <c r="A45" s="346">
        <f>+A44+1</f>
        <v>5</v>
      </c>
      <c r="B45" s="347" t="s">
        <v>179</v>
      </c>
      <c r="C45" s="348" t="s">
        <v>175</v>
      </c>
      <c r="D45" s="347" t="s">
        <v>181</v>
      </c>
      <c r="E45" s="348" t="s">
        <v>114</v>
      </c>
      <c r="F45" s="347" t="s">
        <v>84</v>
      </c>
      <c r="G45" s="349" t="s">
        <v>14</v>
      </c>
      <c r="H45" s="350" t="s">
        <v>14</v>
      </c>
      <c r="I45" s="347" t="s">
        <v>177</v>
      </c>
      <c r="J45" s="351" t="s">
        <v>87</v>
      </c>
      <c r="K45" s="351"/>
      <c r="L45" s="351" t="e">
        <f t="shared" si="1"/>
        <v>#VALUE!</v>
      </c>
      <c r="M45" s="351" t="s">
        <v>87</v>
      </c>
      <c r="N45" s="351"/>
      <c r="O45" s="351" t="e">
        <f t="shared" si="2"/>
        <v>#VALUE!</v>
      </c>
      <c r="P45" s="353" t="s">
        <v>113</v>
      </c>
      <c r="Q45" s="347" t="s">
        <v>115</v>
      </c>
      <c r="R45" s="347"/>
      <c r="S45" s="348" t="s">
        <v>143</v>
      </c>
      <c r="T45" s="348" t="s">
        <v>119</v>
      </c>
      <c r="U45" s="354">
        <v>250000000</v>
      </c>
      <c r="V45" s="168">
        <v>3000000</v>
      </c>
      <c r="W45" s="354">
        <v>0</v>
      </c>
      <c r="X45" s="355">
        <f>9222610+120000000</f>
        <v>129222610</v>
      </c>
      <c r="Y45" s="410">
        <f>+U45-W45-X45-Z45</f>
        <v>65777390</v>
      </c>
      <c r="Z45" s="355">
        <v>55000000</v>
      </c>
      <c r="AA45" s="515" t="s">
        <v>132</v>
      </c>
      <c r="AB45" s="357"/>
      <c r="AC45" s="357"/>
      <c r="AD45" s="357"/>
      <c r="AE45" s="357"/>
      <c r="AF45" s="357"/>
      <c r="AG45" s="147"/>
      <c r="AH45" s="228"/>
      <c r="AI45" s="228"/>
      <c r="AJ45" s="228"/>
      <c r="AK45" s="228"/>
      <c r="AL45" s="228"/>
      <c r="AM45" s="228"/>
      <c r="AN45" s="228"/>
      <c r="AO45" s="228"/>
      <c r="AP45" s="228"/>
      <c r="AQ45" s="228"/>
      <c r="AR45" s="228"/>
      <c r="AS45" s="228"/>
      <c r="AT45" s="228"/>
      <c r="AU45" s="228"/>
      <c r="AV45" s="228"/>
      <c r="AW45" s="228"/>
      <c r="AX45" s="228"/>
      <c r="AY45" s="228"/>
      <c r="AZ45" s="228"/>
      <c r="BA45" s="228"/>
      <c r="BB45" s="228"/>
      <c r="BC45" s="228"/>
      <c r="BD45" s="228"/>
      <c r="BE45" s="228"/>
      <c r="BF45" s="228"/>
      <c r="BG45" s="228"/>
      <c r="BH45" s="228"/>
      <c r="BI45" s="228"/>
      <c r="BJ45" s="228"/>
      <c r="BK45" s="228"/>
      <c r="BL45" s="228"/>
      <c r="BM45" s="228"/>
      <c r="BN45" s="228"/>
      <c r="BO45" s="228"/>
      <c r="BP45" s="228"/>
      <c r="BQ45" s="228"/>
      <c r="BR45" s="228"/>
      <c r="BS45" s="228"/>
      <c r="BT45" s="228"/>
      <c r="BU45" s="228"/>
      <c r="BV45" s="228"/>
      <c r="BW45" s="228"/>
      <c r="BX45" s="228"/>
      <c r="BY45" s="228"/>
      <c r="BZ45" s="228"/>
      <c r="CA45" s="228"/>
      <c r="CB45" s="228"/>
      <c r="CC45" s="228"/>
      <c r="CD45" s="228"/>
      <c r="CE45" s="228"/>
      <c r="CF45" s="228"/>
      <c r="CG45" s="228"/>
      <c r="CH45" s="228"/>
      <c r="CI45" s="228"/>
      <c r="CJ45" s="228"/>
      <c r="CK45" s="228"/>
      <c r="CL45" s="228"/>
      <c r="CM45" s="228"/>
      <c r="CN45" s="228"/>
      <c r="CO45" s="228"/>
      <c r="CP45" s="228"/>
      <c r="CQ45" s="228"/>
      <c r="CR45" s="228"/>
      <c r="CS45" s="228"/>
      <c r="CT45" s="228"/>
      <c r="CU45" s="228"/>
      <c r="CV45" s="228"/>
      <c r="CW45" s="228"/>
      <c r="CX45" s="228"/>
      <c r="CY45" s="228"/>
      <c r="CZ45" s="228"/>
      <c r="DA45" s="228"/>
      <c r="DB45" s="228"/>
      <c r="DC45" s="228"/>
      <c r="DD45" s="228"/>
      <c r="DE45" s="228"/>
      <c r="DF45" s="228"/>
      <c r="DG45" s="228"/>
      <c r="DH45" s="228"/>
      <c r="DI45" s="228"/>
      <c r="DJ45" s="228"/>
      <c r="DK45" s="228"/>
      <c r="DL45" s="228"/>
      <c r="DM45" s="228"/>
      <c r="DN45" s="228"/>
      <c r="DO45" s="228"/>
      <c r="DP45" s="228"/>
      <c r="DQ45" s="228"/>
      <c r="DR45" s="228"/>
      <c r="DS45" s="228"/>
      <c r="DT45" s="228"/>
      <c r="DU45" s="228"/>
      <c r="DV45" s="228"/>
      <c r="DW45" s="228"/>
      <c r="DX45" s="228"/>
      <c r="DY45" s="228"/>
      <c r="DZ45" s="228"/>
      <c r="EA45" s="228"/>
      <c r="EB45" s="228"/>
      <c r="EC45" s="228"/>
      <c r="ED45" s="228"/>
      <c r="EE45" s="228"/>
      <c r="EF45" s="228"/>
      <c r="EG45" s="228"/>
      <c r="EH45" s="228"/>
      <c r="EI45" s="228"/>
      <c r="EJ45" s="228"/>
      <c r="EK45" s="228"/>
      <c r="EL45" s="228"/>
      <c r="EM45" s="228"/>
      <c r="EN45" s="228"/>
      <c r="EO45" s="228"/>
      <c r="EP45" s="228"/>
      <c r="EQ45" s="228"/>
      <c r="ER45" s="228"/>
      <c r="ES45" s="228"/>
      <c r="ET45" s="228"/>
      <c r="EU45" s="228"/>
      <c r="EV45" s="228"/>
      <c r="EW45" s="228"/>
      <c r="EX45" s="228"/>
      <c r="EY45" s="228"/>
      <c r="EZ45" s="228"/>
      <c r="FA45" s="228"/>
      <c r="FB45" s="228"/>
      <c r="FC45" s="228"/>
      <c r="FD45" s="228"/>
      <c r="FE45" s="228"/>
      <c r="FF45" s="228"/>
      <c r="FG45" s="228"/>
      <c r="FH45" s="228"/>
      <c r="FI45" s="228"/>
      <c r="FJ45" s="228"/>
      <c r="FK45" s="228"/>
      <c r="FL45" s="228"/>
      <c r="FM45" s="228"/>
      <c r="FN45" s="228"/>
      <c r="FO45" s="228"/>
      <c r="FP45" s="228"/>
      <c r="FQ45" s="228"/>
      <c r="FR45" s="228"/>
      <c r="FS45" s="228"/>
      <c r="FT45" s="228"/>
      <c r="FU45" s="228"/>
      <c r="FV45" s="228"/>
      <c r="FW45" s="228"/>
      <c r="FX45" s="228"/>
      <c r="FY45" s="228"/>
      <c r="FZ45" s="228"/>
      <c r="GA45" s="228"/>
      <c r="GB45" s="228"/>
      <c r="GC45" s="228"/>
      <c r="GD45" s="228"/>
      <c r="GE45" s="228"/>
      <c r="GF45" s="228"/>
      <c r="GG45" s="228"/>
      <c r="GH45" s="228"/>
      <c r="GI45" s="228"/>
      <c r="GJ45" s="228"/>
      <c r="GK45" s="228"/>
      <c r="GL45" s="228"/>
      <c r="GM45" s="228"/>
      <c r="GN45" s="228"/>
      <c r="GO45" s="228"/>
      <c r="GP45" s="228"/>
      <c r="GQ45" s="228"/>
      <c r="GR45" s="228"/>
      <c r="GS45" s="228"/>
      <c r="GT45" s="228"/>
      <c r="GU45" s="228"/>
      <c r="GV45" s="228"/>
      <c r="GW45" s="228"/>
      <c r="GX45" s="228"/>
      <c r="GY45" s="228"/>
      <c r="GZ45" s="228"/>
      <c r="HA45" s="228"/>
      <c r="HB45" s="228"/>
      <c r="HC45" s="228"/>
      <c r="HD45" s="228"/>
      <c r="HE45" s="228"/>
      <c r="HF45" s="228"/>
      <c r="HG45" s="228"/>
      <c r="HH45" s="228"/>
      <c r="HI45" s="228"/>
      <c r="HJ45" s="228"/>
      <c r="HK45" s="228"/>
      <c r="HL45" s="228"/>
      <c r="HM45" s="228"/>
      <c r="HN45" s="228"/>
      <c r="HO45" s="228"/>
      <c r="HP45" s="228"/>
      <c r="HQ45" s="228"/>
      <c r="HR45" s="228"/>
      <c r="HS45" s="228"/>
      <c r="HT45" s="228"/>
      <c r="HU45" s="228"/>
      <c r="HV45" s="228"/>
      <c r="HW45" s="228"/>
      <c r="HX45" s="228"/>
      <c r="HY45" s="228"/>
      <c r="HZ45" s="228"/>
      <c r="IA45" s="228"/>
      <c r="IB45" s="228"/>
      <c r="IC45" s="228"/>
      <c r="ID45" s="228"/>
      <c r="IE45" s="228"/>
      <c r="IF45" s="228"/>
      <c r="IG45" s="228"/>
      <c r="IH45" s="228"/>
      <c r="II45" s="228"/>
      <c r="IJ45" s="228"/>
      <c r="IK45" s="228"/>
      <c r="IL45" s="228"/>
      <c r="IM45" s="228"/>
      <c r="IN45" s="228"/>
      <c r="IO45" s="228"/>
      <c r="IP45" s="228"/>
      <c r="IQ45" s="228"/>
      <c r="IR45" s="228"/>
      <c r="IS45" s="228"/>
      <c r="IT45" s="228"/>
      <c r="IU45" s="228"/>
      <c r="IV45" s="228"/>
    </row>
    <row r="46" spans="1:256" s="229" customFormat="1" ht="90" hidden="1" customHeight="1">
      <c r="A46" s="101">
        <f>+A45+1</f>
        <v>6</v>
      </c>
      <c r="B46" s="103" t="s">
        <v>182</v>
      </c>
      <c r="C46" s="104" t="s">
        <v>140</v>
      </c>
      <c r="D46" s="103" t="s">
        <v>183</v>
      </c>
      <c r="E46" s="104" t="s">
        <v>114</v>
      </c>
      <c r="F46" s="103" t="s">
        <v>84</v>
      </c>
      <c r="G46" s="106" t="s">
        <v>135</v>
      </c>
      <c r="H46" s="102" t="s">
        <v>96</v>
      </c>
      <c r="I46" s="103" t="s">
        <v>136</v>
      </c>
      <c r="J46" s="279">
        <v>42461</v>
      </c>
      <c r="K46" s="279"/>
      <c r="L46" s="279">
        <f t="shared" si="1"/>
        <v>42461</v>
      </c>
      <c r="M46" s="279">
        <v>42916</v>
      </c>
      <c r="N46" s="279"/>
      <c r="O46" s="279">
        <f t="shared" si="2"/>
        <v>42916</v>
      </c>
      <c r="P46" s="105" t="s">
        <v>122</v>
      </c>
      <c r="Q46" s="103" t="s">
        <v>115</v>
      </c>
      <c r="R46" s="103"/>
      <c r="S46" s="104" t="s">
        <v>143</v>
      </c>
      <c r="T46" s="104" t="s">
        <v>119</v>
      </c>
      <c r="U46" s="110">
        <v>48000000</v>
      </c>
      <c r="V46" s="109">
        <v>0</v>
      </c>
      <c r="W46" s="110">
        <v>0</v>
      </c>
      <c r="X46" s="259">
        <v>2400000</v>
      </c>
      <c r="Y46" s="260">
        <v>21125000</v>
      </c>
      <c r="Z46" s="259">
        <v>24475000</v>
      </c>
      <c r="AA46" s="226">
        <v>0</v>
      </c>
      <c r="AB46" s="219"/>
      <c r="AC46" s="219"/>
      <c r="AD46" s="219"/>
      <c r="AE46" s="219"/>
      <c r="AF46" s="219"/>
      <c r="AG46" s="100"/>
      <c r="AH46" s="231"/>
      <c r="AI46" s="232"/>
      <c r="AJ46" s="232"/>
      <c r="AK46" s="232"/>
      <c r="AL46" s="232">
        <f>SUM(BK46:BV46)</f>
        <v>15199999.999999998</v>
      </c>
      <c r="AM46" s="232"/>
      <c r="AN46" s="232"/>
      <c r="AO46" s="232"/>
      <c r="AP46" s="232"/>
      <c r="AQ46" s="232"/>
      <c r="AR46" s="232"/>
      <c r="AS46" s="232"/>
      <c r="AT46" s="232"/>
      <c r="AU46" s="232"/>
      <c r="AV46" s="232"/>
      <c r="AW46" s="232"/>
      <c r="AX46" s="232"/>
      <c r="AY46" s="232"/>
      <c r="AZ46" s="232"/>
      <c r="BA46" s="232"/>
      <c r="BB46" s="232"/>
      <c r="BC46" s="232"/>
      <c r="BD46" s="232"/>
      <c r="BE46" s="232"/>
      <c r="BF46" s="232"/>
      <c r="BG46" s="232"/>
      <c r="BH46" s="232"/>
      <c r="BI46" s="232"/>
      <c r="BJ46" s="232"/>
      <c r="BK46" s="232">
        <v>1266666.6666666667</v>
      </c>
      <c r="BL46" s="232">
        <v>1266666.6666666667</v>
      </c>
      <c r="BM46" s="232">
        <v>1266666.6666666667</v>
      </c>
      <c r="BN46" s="232">
        <v>1266666.6666666667</v>
      </c>
      <c r="BO46" s="232">
        <v>1266666.6666666667</v>
      </c>
      <c r="BP46" s="232">
        <v>1266666.6666666667</v>
      </c>
      <c r="BQ46" s="232">
        <v>1266666.6666666667</v>
      </c>
      <c r="BR46" s="232">
        <v>1266666.6666666667</v>
      </c>
      <c r="BS46" s="232">
        <v>1266666.6666666667</v>
      </c>
      <c r="BT46" s="232">
        <v>1266666.6666666667</v>
      </c>
      <c r="BU46" s="232">
        <v>1266666.6666666667</v>
      </c>
      <c r="BV46" s="232">
        <v>1266666.6666666667</v>
      </c>
      <c r="BW46" s="232"/>
      <c r="BX46" s="232"/>
      <c r="BY46" s="232"/>
      <c r="BZ46" s="232"/>
      <c r="CA46" s="232"/>
      <c r="CB46" s="232"/>
      <c r="CC46" s="232"/>
      <c r="CD46" s="232"/>
      <c r="CE46" s="232"/>
      <c r="CF46" s="232"/>
      <c r="CG46" s="232"/>
      <c r="CH46" s="232"/>
      <c r="CI46" s="232"/>
      <c r="CJ46" s="232"/>
      <c r="CK46" s="232"/>
      <c r="CL46" s="232"/>
      <c r="CM46" s="232"/>
      <c r="CN46" s="232"/>
      <c r="CO46" s="232"/>
      <c r="CP46" s="232"/>
      <c r="CQ46" s="232"/>
      <c r="CR46" s="232"/>
      <c r="CS46" s="232"/>
      <c r="CT46" s="232"/>
      <c r="CU46" s="232"/>
      <c r="CV46" s="232"/>
      <c r="CW46" s="232"/>
      <c r="CX46" s="232"/>
      <c r="CY46" s="232"/>
      <c r="CZ46" s="232"/>
      <c r="DA46" s="232"/>
      <c r="DB46" s="232"/>
      <c r="DC46" s="232"/>
      <c r="DD46" s="232"/>
      <c r="DE46" s="232"/>
      <c r="DF46" s="232"/>
      <c r="DG46" s="232"/>
      <c r="DH46" s="232"/>
      <c r="DI46" s="232"/>
      <c r="DJ46" s="232"/>
      <c r="DK46" s="232"/>
      <c r="DL46" s="232"/>
      <c r="DM46" s="232"/>
      <c r="DN46" s="232"/>
      <c r="DO46" s="232"/>
      <c r="DP46" s="232"/>
      <c r="DQ46" s="232"/>
      <c r="DR46" s="232"/>
      <c r="DS46" s="232"/>
      <c r="DT46" s="232"/>
      <c r="DU46" s="232"/>
      <c r="DV46" s="232"/>
      <c r="DW46" s="232"/>
      <c r="DX46" s="232"/>
      <c r="DY46" s="232"/>
      <c r="DZ46" s="232"/>
      <c r="EA46" s="232"/>
      <c r="EB46" s="232"/>
      <c r="EC46" s="232"/>
      <c r="ED46" s="232"/>
      <c r="EE46" s="232"/>
      <c r="EF46" s="232"/>
      <c r="EG46" s="232"/>
      <c r="EH46" s="232"/>
      <c r="EI46" s="232"/>
      <c r="EJ46" s="232"/>
      <c r="EK46" s="232"/>
      <c r="EL46" s="232"/>
      <c r="EM46" s="232"/>
      <c r="EN46" s="232"/>
      <c r="EO46" s="232"/>
      <c r="EP46" s="232"/>
      <c r="EQ46" s="232"/>
      <c r="ER46" s="232"/>
      <c r="ES46" s="232"/>
      <c r="ET46" s="232"/>
      <c r="EU46" s="232"/>
      <c r="EV46" s="232"/>
      <c r="EW46" s="232"/>
      <c r="EX46" s="232"/>
      <c r="EY46" s="232"/>
      <c r="EZ46" s="232"/>
      <c r="FA46" s="232"/>
      <c r="FB46" s="232"/>
      <c r="FC46" s="232"/>
      <c r="FD46" s="232"/>
      <c r="FE46" s="232"/>
      <c r="FF46" s="232"/>
      <c r="FG46" s="232"/>
      <c r="FH46" s="232"/>
      <c r="FI46" s="232"/>
      <c r="FJ46" s="232"/>
      <c r="FK46" s="232"/>
      <c r="FL46" s="232"/>
      <c r="FM46" s="232"/>
      <c r="FN46" s="232"/>
      <c r="FO46" s="232"/>
      <c r="FP46" s="232"/>
      <c r="FQ46" s="232"/>
      <c r="FR46" s="232"/>
      <c r="FS46" s="232"/>
      <c r="FT46" s="232"/>
      <c r="FU46" s="232"/>
      <c r="FV46" s="232"/>
      <c r="FW46" s="232"/>
      <c r="FX46" s="232"/>
      <c r="FY46" s="232"/>
      <c r="FZ46" s="232"/>
      <c r="GA46" s="232"/>
      <c r="GB46" s="232"/>
      <c r="GC46" s="232"/>
      <c r="GD46" s="232"/>
      <c r="GE46" s="232"/>
      <c r="GF46" s="232"/>
      <c r="GG46" s="232"/>
      <c r="GH46" s="232"/>
      <c r="GI46" s="232"/>
      <c r="GJ46" s="232"/>
      <c r="GK46" s="232"/>
      <c r="GL46" s="232"/>
      <c r="GM46" s="232"/>
      <c r="GN46" s="232"/>
      <c r="GO46" s="232"/>
      <c r="GP46" s="232"/>
      <c r="GQ46" s="232"/>
      <c r="GR46" s="232"/>
      <c r="GS46" s="232"/>
      <c r="GT46" s="232"/>
      <c r="GU46" s="232"/>
      <c r="GV46" s="232"/>
      <c r="GW46" s="232"/>
      <c r="GX46" s="232"/>
      <c r="GY46" s="232"/>
      <c r="GZ46" s="232"/>
      <c r="HA46" s="232"/>
      <c r="HB46" s="232"/>
      <c r="HC46" s="232"/>
      <c r="HD46" s="232"/>
      <c r="HE46" s="232"/>
      <c r="HF46" s="232"/>
      <c r="HG46" s="232"/>
      <c r="HH46" s="232"/>
      <c r="HI46" s="232"/>
      <c r="HJ46" s="232"/>
      <c r="HK46" s="232"/>
      <c r="HL46" s="232"/>
      <c r="HM46" s="232"/>
      <c r="HN46" s="232"/>
      <c r="HO46" s="232"/>
      <c r="HP46" s="232"/>
      <c r="HQ46" s="232"/>
      <c r="HR46" s="232"/>
      <c r="HS46" s="232"/>
      <c r="HT46" s="232"/>
      <c r="HU46" s="232"/>
      <c r="HV46" s="232"/>
      <c r="HW46" s="232"/>
      <c r="HX46" s="232"/>
      <c r="HY46" s="232"/>
      <c r="HZ46" s="232"/>
      <c r="IA46" s="232"/>
      <c r="IB46" s="232"/>
      <c r="IC46" s="232"/>
      <c r="ID46" s="232"/>
      <c r="IE46" s="232"/>
      <c r="IF46" s="232"/>
      <c r="IG46" s="232"/>
      <c r="IH46" s="232"/>
      <c r="II46" s="232"/>
      <c r="IJ46" s="232"/>
      <c r="IK46" s="232"/>
      <c r="IL46" s="232"/>
      <c r="IM46" s="232"/>
      <c r="IN46" s="232"/>
      <c r="IO46" s="232"/>
      <c r="IP46" s="232"/>
      <c r="IQ46" s="232"/>
      <c r="IR46" s="232"/>
      <c r="IS46" s="232"/>
      <c r="IT46" s="232"/>
      <c r="IU46" s="232"/>
      <c r="IV46" s="232"/>
    </row>
    <row r="47" spans="1:256" s="182" customFormat="1" ht="56.25">
      <c r="A47" s="346">
        <f>+A40+1</f>
        <v>5</v>
      </c>
      <c r="B47" s="347" t="s">
        <v>1298</v>
      </c>
      <c r="C47" s="348" t="s">
        <v>140</v>
      </c>
      <c r="D47" s="347" t="s">
        <v>184</v>
      </c>
      <c r="E47" s="104" t="s">
        <v>114</v>
      </c>
      <c r="F47" s="353" t="s">
        <v>84</v>
      </c>
      <c r="G47" s="353" t="s">
        <v>14</v>
      </c>
      <c r="H47" s="348" t="s">
        <v>14</v>
      </c>
      <c r="I47" s="353" t="s">
        <v>136</v>
      </c>
      <c r="J47" s="351" t="s">
        <v>83</v>
      </c>
      <c r="K47" s="352" t="s">
        <v>83</v>
      </c>
      <c r="L47" s="351" t="s">
        <v>83</v>
      </c>
      <c r="M47" s="504">
        <v>42020</v>
      </c>
      <c r="N47" s="505">
        <v>12</v>
      </c>
      <c r="O47" s="504">
        <v>42388</v>
      </c>
      <c r="P47" s="353" t="s">
        <v>122</v>
      </c>
      <c r="Q47" s="353" t="s">
        <v>115</v>
      </c>
      <c r="R47" s="353" t="s">
        <v>65</v>
      </c>
      <c r="S47" s="348" t="s">
        <v>118</v>
      </c>
      <c r="T47" s="348" t="s">
        <v>119</v>
      </c>
      <c r="U47" s="354">
        <v>70000000</v>
      </c>
      <c r="V47" s="109">
        <v>0</v>
      </c>
      <c r="W47" s="110">
        <v>0</v>
      </c>
      <c r="X47" s="355">
        <v>39759087</v>
      </c>
      <c r="Y47" s="355">
        <v>23597302</v>
      </c>
      <c r="Z47" s="355">
        <v>0</v>
      </c>
      <c r="AA47" s="356" t="s">
        <v>132</v>
      </c>
      <c r="AB47" s="357"/>
      <c r="AC47" s="357"/>
      <c r="AD47" s="357"/>
      <c r="AE47" s="357"/>
      <c r="AF47" s="357"/>
      <c r="AG47" s="147"/>
    </row>
    <row r="48" spans="1:256" s="182" customFormat="1" ht="56.25">
      <c r="A48" s="346">
        <f>+A41+1</f>
        <v>6</v>
      </c>
      <c r="B48" s="347" t="s">
        <v>1299</v>
      </c>
      <c r="C48" s="348" t="s">
        <v>140</v>
      </c>
      <c r="D48" s="347" t="s">
        <v>184</v>
      </c>
      <c r="E48" s="104" t="s">
        <v>114</v>
      </c>
      <c r="F48" s="353" t="s">
        <v>84</v>
      </c>
      <c r="G48" s="353" t="s">
        <v>14</v>
      </c>
      <c r="H48" s="348" t="s">
        <v>14</v>
      </c>
      <c r="I48" s="353" t="s">
        <v>136</v>
      </c>
      <c r="J48" s="351" t="s">
        <v>83</v>
      </c>
      <c r="K48" s="352" t="s">
        <v>83</v>
      </c>
      <c r="L48" s="351" t="s">
        <v>83</v>
      </c>
      <c r="M48" s="358">
        <v>41369</v>
      </c>
      <c r="N48" s="359" t="s">
        <v>1201</v>
      </c>
      <c r="O48" s="358" t="s">
        <v>1201</v>
      </c>
      <c r="P48" s="353" t="s">
        <v>122</v>
      </c>
      <c r="Q48" s="353" t="s">
        <v>115</v>
      </c>
      <c r="R48" s="353" t="s">
        <v>65</v>
      </c>
      <c r="S48" s="348" t="s">
        <v>118</v>
      </c>
      <c r="T48" s="348" t="s">
        <v>119</v>
      </c>
      <c r="U48" s="354">
        <v>48857000</v>
      </c>
      <c r="V48" s="109">
        <v>13000000</v>
      </c>
      <c r="W48" s="110">
        <f>39294000-X48</f>
        <v>26798192</v>
      </c>
      <c r="X48" s="355">
        <v>12495808</v>
      </c>
      <c r="Y48" s="355">
        <v>0</v>
      </c>
      <c r="Z48" s="355">
        <f>+U48*0.01</f>
        <v>488570</v>
      </c>
      <c r="AA48" s="356" t="s">
        <v>132</v>
      </c>
      <c r="AB48" s="357"/>
      <c r="AC48" s="357"/>
      <c r="AD48" s="357"/>
      <c r="AE48" s="357"/>
      <c r="AF48" s="357"/>
      <c r="AG48" s="147"/>
    </row>
    <row r="49" spans="1:256" s="182" customFormat="1" ht="56.25">
      <c r="A49" s="346">
        <f>+A42+1</f>
        <v>7</v>
      </c>
      <c r="B49" s="347" t="s">
        <v>1300</v>
      </c>
      <c r="C49" s="348" t="s">
        <v>140</v>
      </c>
      <c r="D49" s="347" t="s">
        <v>186</v>
      </c>
      <c r="E49" s="104" t="s">
        <v>114</v>
      </c>
      <c r="F49" s="353" t="s">
        <v>88</v>
      </c>
      <c r="G49" s="353" t="s">
        <v>185</v>
      </c>
      <c r="H49" s="348" t="s">
        <v>97</v>
      </c>
      <c r="I49" s="353" t="s">
        <v>136</v>
      </c>
      <c r="J49" s="351" t="s">
        <v>83</v>
      </c>
      <c r="K49" s="352" t="s">
        <v>83</v>
      </c>
      <c r="L49" s="351" t="s">
        <v>83</v>
      </c>
      <c r="M49" s="351">
        <v>41205</v>
      </c>
      <c r="N49" s="352" t="s">
        <v>1201</v>
      </c>
      <c r="O49" s="351" t="s">
        <v>1201</v>
      </c>
      <c r="P49" s="353" t="s">
        <v>122</v>
      </c>
      <c r="Q49" s="353" t="s">
        <v>115</v>
      </c>
      <c r="R49" s="353" t="s">
        <v>65</v>
      </c>
      <c r="S49" s="348" t="s">
        <v>118</v>
      </c>
      <c r="T49" s="348" t="s">
        <v>119</v>
      </c>
      <c r="U49" s="354">
        <v>45489000</v>
      </c>
      <c r="V49" s="109">
        <f>9187000+17500000</f>
        <v>26687000</v>
      </c>
      <c r="W49" s="110">
        <v>13809000</v>
      </c>
      <c r="X49" s="355">
        <v>5000000</v>
      </c>
      <c r="Y49" s="355">
        <f>+U49*0.01/1.23</f>
        <v>369829.26829268294</v>
      </c>
      <c r="Z49" s="355">
        <v>0</v>
      </c>
      <c r="AA49" s="356" t="s">
        <v>132</v>
      </c>
      <c r="AB49" s="357"/>
      <c r="AC49" s="357"/>
      <c r="AD49" s="357"/>
      <c r="AE49" s="357"/>
      <c r="AF49" s="357"/>
      <c r="AG49" s="147"/>
    </row>
    <row r="50" spans="1:256" s="229" customFormat="1" ht="90" hidden="1" customHeight="1">
      <c r="A50" s="101">
        <f>+A49+1</f>
        <v>8</v>
      </c>
      <c r="B50" s="103" t="s">
        <v>187</v>
      </c>
      <c r="C50" s="104" t="s">
        <v>134</v>
      </c>
      <c r="D50" s="103" t="s">
        <v>190</v>
      </c>
      <c r="E50" s="104" t="s">
        <v>114</v>
      </c>
      <c r="F50" s="103" t="s">
        <v>91</v>
      </c>
      <c r="G50" s="106" t="s">
        <v>188</v>
      </c>
      <c r="H50" s="102" t="s">
        <v>189</v>
      </c>
      <c r="I50" s="103" t="s">
        <v>136</v>
      </c>
      <c r="J50" s="224">
        <v>42461</v>
      </c>
      <c r="K50" s="224"/>
      <c r="L50" s="224">
        <f t="shared" si="1"/>
        <v>42461</v>
      </c>
      <c r="M50" s="224">
        <v>42916</v>
      </c>
      <c r="N50" s="224"/>
      <c r="O50" s="224">
        <f t="shared" si="2"/>
        <v>42916</v>
      </c>
      <c r="P50" s="105" t="s">
        <v>122</v>
      </c>
      <c r="Q50" s="103" t="s">
        <v>115</v>
      </c>
      <c r="R50" s="103"/>
      <c r="S50" s="104" t="s">
        <v>143</v>
      </c>
      <c r="T50" s="104" t="s">
        <v>119</v>
      </c>
      <c r="U50" s="110">
        <v>42000000</v>
      </c>
      <c r="V50" s="109">
        <v>0</v>
      </c>
      <c r="W50" s="110">
        <v>0</v>
      </c>
      <c r="X50" s="259">
        <f>+U50*0.235*0.3</f>
        <v>2961000</v>
      </c>
      <c r="Y50" s="260">
        <f>+U50-X50</f>
        <v>39039000</v>
      </c>
      <c r="Z50" s="259">
        <f>+U50*0.06</f>
        <v>2520000</v>
      </c>
      <c r="AA50" s="226">
        <v>0</v>
      </c>
      <c r="AB50" s="219"/>
      <c r="AC50" s="219"/>
      <c r="AD50" s="219"/>
      <c r="AE50" s="219"/>
      <c r="AF50" s="219"/>
      <c r="AG50" s="100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8"/>
      <c r="AS50" s="228"/>
      <c r="AT50" s="228"/>
      <c r="AU50" s="228"/>
      <c r="AV50" s="228"/>
      <c r="AW50" s="228"/>
      <c r="AX50" s="228"/>
      <c r="AY50" s="228"/>
      <c r="AZ50" s="228"/>
      <c r="BA50" s="228"/>
      <c r="BB50" s="228"/>
      <c r="BC50" s="228"/>
      <c r="BD50" s="228"/>
      <c r="BE50" s="228"/>
      <c r="BF50" s="228"/>
      <c r="BG50" s="228"/>
      <c r="BH50" s="228"/>
      <c r="BI50" s="228"/>
      <c r="BJ50" s="228"/>
      <c r="BK50" s="228"/>
      <c r="BL50" s="228"/>
      <c r="BM50" s="228"/>
      <c r="BN50" s="228"/>
      <c r="BO50" s="228"/>
      <c r="BP50" s="228"/>
      <c r="BQ50" s="228"/>
      <c r="BR50" s="228"/>
      <c r="BS50" s="228"/>
      <c r="BT50" s="228"/>
      <c r="BU50" s="228"/>
      <c r="BV50" s="228"/>
      <c r="BW50" s="228"/>
      <c r="BX50" s="228"/>
      <c r="BY50" s="228"/>
      <c r="BZ50" s="228"/>
      <c r="CA50" s="228"/>
      <c r="CB50" s="228"/>
      <c r="CC50" s="228"/>
      <c r="CD50" s="228"/>
      <c r="CE50" s="228"/>
      <c r="CF50" s="228"/>
      <c r="CG50" s="228"/>
      <c r="CH50" s="228"/>
      <c r="CI50" s="228"/>
      <c r="CJ50" s="228"/>
      <c r="CK50" s="228"/>
      <c r="CL50" s="228"/>
      <c r="CM50" s="228"/>
      <c r="CN50" s="228"/>
      <c r="CO50" s="228"/>
      <c r="CP50" s="228"/>
      <c r="CQ50" s="228"/>
      <c r="CR50" s="228"/>
      <c r="CS50" s="228"/>
      <c r="CT50" s="228"/>
      <c r="CU50" s="228"/>
      <c r="CV50" s="228"/>
      <c r="CW50" s="228"/>
      <c r="CX50" s="228"/>
      <c r="CY50" s="228"/>
      <c r="CZ50" s="228"/>
      <c r="DA50" s="228"/>
      <c r="DB50" s="228"/>
      <c r="DC50" s="228"/>
      <c r="DD50" s="228"/>
      <c r="DE50" s="228"/>
      <c r="DF50" s="228"/>
      <c r="DG50" s="228"/>
      <c r="DH50" s="228"/>
      <c r="DI50" s="228"/>
      <c r="DJ50" s="228"/>
      <c r="DK50" s="228"/>
      <c r="DL50" s="228"/>
      <c r="DM50" s="228"/>
      <c r="DN50" s="228"/>
      <c r="DO50" s="228"/>
      <c r="DP50" s="228"/>
      <c r="DQ50" s="228"/>
      <c r="DR50" s="228"/>
      <c r="DS50" s="228"/>
      <c r="DT50" s="228"/>
      <c r="DU50" s="228"/>
      <c r="DV50" s="228"/>
      <c r="DW50" s="228"/>
      <c r="DX50" s="228"/>
      <c r="DY50" s="228"/>
      <c r="DZ50" s="228"/>
      <c r="EA50" s="228"/>
      <c r="EB50" s="228"/>
      <c r="EC50" s="228"/>
      <c r="ED50" s="228"/>
      <c r="EE50" s="228"/>
      <c r="EF50" s="228"/>
      <c r="EG50" s="228"/>
      <c r="EH50" s="228"/>
      <c r="EI50" s="228"/>
      <c r="EJ50" s="228"/>
      <c r="EK50" s="228"/>
      <c r="EL50" s="228"/>
      <c r="EM50" s="228"/>
      <c r="EN50" s="228"/>
      <c r="EO50" s="228"/>
      <c r="EP50" s="228"/>
      <c r="EQ50" s="228"/>
      <c r="ER50" s="228"/>
      <c r="ES50" s="228"/>
      <c r="ET50" s="228"/>
      <c r="EU50" s="228"/>
      <c r="EV50" s="228"/>
      <c r="EW50" s="228"/>
      <c r="EX50" s="228"/>
      <c r="EY50" s="228"/>
      <c r="EZ50" s="228"/>
      <c r="FA50" s="228"/>
      <c r="FB50" s="228"/>
      <c r="FC50" s="228"/>
      <c r="FD50" s="228"/>
      <c r="FE50" s="228"/>
      <c r="FF50" s="228"/>
      <c r="FG50" s="228"/>
      <c r="FH50" s="228"/>
      <c r="FI50" s="228"/>
      <c r="FJ50" s="228"/>
      <c r="FK50" s="228"/>
      <c r="FL50" s="228"/>
      <c r="FM50" s="228"/>
      <c r="FN50" s="228"/>
      <c r="FO50" s="228"/>
      <c r="FP50" s="228"/>
      <c r="FQ50" s="228"/>
      <c r="FR50" s="228"/>
      <c r="FS50" s="228"/>
      <c r="FT50" s="228"/>
      <c r="FU50" s="228"/>
      <c r="FV50" s="228"/>
      <c r="FW50" s="228"/>
      <c r="FX50" s="228"/>
      <c r="FY50" s="228"/>
      <c r="FZ50" s="228"/>
      <c r="GA50" s="228"/>
      <c r="GB50" s="228"/>
      <c r="GC50" s="228"/>
      <c r="GD50" s="228"/>
      <c r="GE50" s="228"/>
      <c r="GF50" s="228"/>
      <c r="GG50" s="228"/>
      <c r="GH50" s="228"/>
      <c r="GI50" s="228"/>
      <c r="GJ50" s="228"/>
      <c r="GK50" s="228"/>
      <c r="GL50" s="228"/>
      <c r="GM50" s="228"/>
      <c r="GN50" s="228"/>
      <c r="GO50" s="228"/>
      <c r="GP50" s="228"/>
      <c r="GQ50" s="228"/>
      <c r="GR50" s="228"/>
      <c r="GS50" s="228"/>
      <c r="GT50" s="228"/>
      <c r="GU50" s="228"/>
      <c r="GV50" s="228"/>
      <c r="GW50" s="228"/>
      <c r="GX50" s="228"/>
      <c r="GY50" s="228"/>
      <c r="GZ50" s="228"/>
      <c r="HA50" s="228"/>
      <c r="HB50" s="228"/>
      <c r="HC50" s="228"/>
      <c r="HD50" s="228"/>
      <c r="HE50" s="228"/>
      <c r="HF50" s="228"/>
      <c r="HG50" s="228"/>
      <c r="HH50" s="228"/>
      <c r="HI50" s="228"/>
      <c r="HJ50" s="228"/>
      <c r="HK50" s="228"/>
      <c r="HL50" s="228"/>
      <c r="HM50" s="228"/>
      <c r="HN50" s="228"/>
      <c r="HO50" s="228"/>
      <c r="HP50" s="228"/>
      <c r="HQ50" s="228"/>
      <c r="HR50" s="228"/>
      <c r="HS50" s="228"/>
      <c r="HT50" s="228"/>
      <c r="HU50" s="228"/>
      <c r="HV50" s="228"/>
      <c r="HW50" s="228"/>
      <c r="HX50" s="228"/>
      <c r="HY50" s="228"/>
      <c r="HZ50" s="228"/>
      <c r="IA50" s="228"/>
      <c r="IB50" s="228"/>
      <c r="IC50" s="228"/>
      <c r="ID50" s="228"/>
      <c r="IE50" s="228"/>
      <c r="IF50" s="228"/>
      <c r="IG50" s="228"/>
      <c r="IH50" s="228"/>
      <c r="II50" s="228"/>
      <c r="IJ50" s="228"/>
      <c r="IK50" s="228"/>
      <c r="IL50" s="228"/>
      <c r="IM50" s="228"/>
      <c r="IN50" s="228"/>
      <c r="IO50" s="228"/>
      <c r="IP50" s="228"/>
      <c r="IQ50" s="228"/>
      <c r="IR50" s="228"/>
      <c r="IS50" s="228"/>
      <c r="IT50" s="228"/>
      <c r="IU50" s="228"/>
      <c r="IV50" s="228"/>
    </row>
    <row r="51" spans="1:256" s="229" customFormat="1" ht="90" hidden="1" customHeight="1">
      <c r="A51" s="101">
        <f>+A50+1</f>
        <v>9</v>
      </c>
      <c r="B51" s="103" t="s">
        <v>191</v>
      </c>
      <c r="C51" s="104" t="s">
        <v>140</v>
      </c>
      <c r="D51" s="103" t="s">
        <v>192</v>
      </c>
      <c r="E51" s="104" t="s">
        <v>114</v>
      </c>
      <c r="F51" s="103" t="s">
        <v>84</v>
      </c>
      <c r="G51" s="106" t="s">
        <v>191</v>
      </c>
      <c r="H51" s="102" t="s">
        <v>14</v>
      </c>
      <c r="I51" s="103" t="s">
        <v>136</v>
      </c>
      <c r="J51" s="224">
        <v>42095</v>
      </c>
      <c r="K51" s="224"/>
      <c r="L51" s="224">
        <f t="shared" si="1"/>
        <v>42095</v>
      </c>
      <c r="M51" s="224">
        <v>42551</v>
      </c>
      <c r="N51" s="224"/>
      <c r="O51" s="224">
        <f t="shared" si="2"/>
        <v>42551</v>
      </c>
      <c r="P51" s="105" t="s">
        <v>122</v>
      </c>
      <c r="Q51" s="103" t="s">
        <v>115</v>
      </c>
      <c r="R51" s="103"/>
      <c r="S51" s="104" t="s">
        <v>143</v>
      </c>
      <c r="T51" s="104" t="s">
        <v>119</v>
      </c>
      <c r="U51" s="110">
        <v>47933162</v>
      </c>
      <c r="V51" s="109">
        <v>0</v>
      </c>
      <c r="W51" s="110">
        <v>0</v>
      </c>
      <c r="X51" s="259">
        <f>+U51*0.235*0.3</f>
        <v>3379287.9209999996</v>
      </c>
      <c r="Y51" s="260">
        <f>+U51-X51</f>
        <v>44553874.079000004</v>
      </c>
      <c r="Z51" s="259">
        <f>+U51*0.06</f>
        <v>2875989.7199999997</v>
      </c>
      <c r="AA51" s="226">
        <v>0</v>
      </c>
      <c r="AB51" s="219"/>
      <c r="AC51" s="219"/>
      <c r="AD51" s="219"/>
      <c r="AE51" s="219"/>
      <c r="AF51" s="219"/>
      <c r="AG51" s="100"/>
      <c r="AH51" s="230"/>
    </row>
    <row r="52" spans="1:256" s="229" customFormat="1" ht="90" hidden="1" customHeight="1">
      <c r="A52" s="101">
        <f>+A51+1</f>
        <v>10</v>
      </c>
      <c r="B52" s="103" t="s">
        <v>193</v>
      </c>
      <c r="C52" s="104" t="s">
        <v>134</v>
      </c>
      <c r="D52" s="103" t="s">
        <v>194</v>
      </c>
      <c r="E52" s="104" t="s">
        <v>114</v>
      </c>
      <c r="F52" s="103" t="s">
        <v>88</v>
      </c>
      <c r="G52" s="106" t="s">
        <v>185</v>
      </c>
      <c r="H52" s="102" t="s">
        <v>97</v>
      </c>
      <c r="I52" s="103" t="s">
        <v>162</v>
      </c>
      <c r="J52" s="224">
        <v>42461</v>
      </c>
      <c r="K52" s="224"/>
      <c r="L52" s="224">
        <f t="shared" si="1"/>
        <v>42461</v>
      </c>
      <c r="M52" s="224">
        <v>42824</v>
      </c>
      <c r="N52" s="224"/>
      <c r="O52" s="224">
        <f t="shared" si="2"/>
        <v>42824</v>
      </c>
      <c r="P52" s="105" t="s">
        <v>122</v>
      </c>
      <c r="Q52" s="103" t="s">
        <v>115</v>
      </c>
      <c r="R52" s="103"/>
      <c r="S52" s="104" t="s">
        <v>143</v>
      </c>
      <c r="T52" s="104" t="s">
        <v>119</v>
      </c>
      <c r="U52" s="110">
        <v>8400462</v>
      </c>
      <c r="V52" s="109"/>
      <c r="W52" s="110">
        <v>0</v>
      </c>
      <c r="X52" s="259">
        <v>856000</v>
      </c>
      <c r="Y52" s="260">
        <f>+U52-X52-Z52</f>
        <v>7123154</v>
      </c>
      <c r="Z52" s="259">
        <v>421308</v>
      </c>
      <c r="AA52" s="226">
        <v>0</v>
      </c>
      <c r="AB52" s="219"/>
      <c r="AC52" s="219"/>
      <c r="AD52" s="219"/>
      <c r="AE52" s="219"/>
      <c r="AF52" s="219"/>
      <c r="AG52" s="100"/>
      <c r="AH52" s="231"/>
      <c r="AI52" s="232"/>
      <c r="AJ52" s="232"/>
      <c r="AK52" s="232"/>
      <c r="AL52" s="232">
        <v>151791.13539769273</v>
      </c>
      <c r="AM52" s="232">
        <v>252985.22566282121</v>
      </c>
      <c r="AN52" s="232">
        <v>354179.31592794979</v>
      </c>
      <c r="AO52" s="232">
        <v>455373.40619307873</v>
      </c>
      <c r="AP52" s="232">
        <v>556567.49645820609</v>
      </c>
      <c r="AQ52" s="232">
        <v>657761.58672333579</v>
      </c>
      <c r="AR52" s="232">
        <v>758955.67698846338</v>
      </c>
      <c r="AS52" s="232">
        <v>860149.76725359308</v>
      </c>
      <c r="AT52" s="232">
        <v>961343.85751872184</v>
      </c>
      <c r="AU52" s="232">
        <v>1062537.9477838501</v>
      </c>
      <c r="AV52" s="232">
        <v>1163732.0380489742</v>
      </c>
      <c r="AW52" s="232">
        <v>1264926.1283141086</v>
      </c>
      <c r="AX52" s="232">
        <v>1366120.2185792346</v>
      </c>
      <c r="AY52" s="232">
        <v>1467314.308844367</v>
      </c>
      <c r="AZ52" s="232">
        <v>1568508.3991094865</v>
      </c>
      <c r="BA52" s="232">
        <v>1669702.4893746227</v>
      </c>
      <c r="BB52" s="232">
        <v>1770896.5796397496</v>
      </c>
      <c r="BC52" s="232">
        <v>1872090.6699048784</v>
      </c>
      <c r="BD52" s="232">
        <v>1973284.760170009</v>
      </c>
      <c r="BE52" s="232">
        <v>2074478.8504351303</v>
      </c>
      <c r="BF52" s="232">
        <v>2175465.3630792089</v>
      </c>
      <c r="BG52" s="232">
        <v>2136752.1367521286</v>
      </c>
      <c r="BH52" s="232">
        <v>1978474.2006964274</v>
      </c>
      <c r="BI52" s="232">
        <v>1820196.2646407075</v>
      </c>
      <c r="BJ52" s="232">
        <v>1661918.3285849988</v>
      </c>
      <c r="BK52" s="232">
        <v>1503640.3925292827</v>
      </c>
      <c r="BL52" s="232">
        <v>1345362.4564735666</v>
      </c>
      <c r="BM52" s="232">
        <v>1187084.5204178542</v>
      </c>
      <c r="BN52" s="232">
        <v>1028806.5843621343</v>
      </c>
      <c r="BO52" s="232">
        <v>870528.64830642939</v>
      </c>
      <c r="BP52" s="232">
        <v>712250.71225070953</v>
      </c>
      <c r="BQ52" s="232">
        <v>553972.77619500458</v>
      </c>
      <c r="BR52" s="232">
        <v>395694.84013928473</v>
      </c>
      <c r="BS52" s="232">
        <v>237416.90408356488</v>
      </c>
      <c r="BT52" s="232">
        <v>79138.968027859926</v>
      </c>
      <c r="BU52" s="232"/>
      <c r="BV52" s="232"/>
      <c r="BW52" s="232"/>
      <c r="BX52" s="232"/>
      <c r="BY52" s="232"/>
      <c r="BZ52" s="232"/>
      <c r="CA52" s="232"/>
      <c r="CB52" s="232"/>
      <c r="CC52" s="232"/>
      <c r="CD52" s="232"/>
      <c r="CE52" s="232"/>
      <c r="CF52" s="232"/>
      <c r="CG52" s="232"/>
      <c r="CH52" s="232"/>
      <c r="CI52" s="232"/>
      <c r="CJ52" s="232"/>
      <c r="CK52" s="232"/>
      <c r="CL52" s="232"/>
      <c r="CM52" s="232"/>
      <c r="CN52" s="232"/>
      <c r="CO52" s="232"/>
      <c r="CP52" s="232"/>
      <c r="CQ52" s="232"/>
      <c r="CR52" s="232"/>
      <c r="CS52" s="232"/>
      <c r="CT52" s="232"/>
      <c r="CU52" s="232"/>
      <c r="CV52" s="232"/>
      <c r="CW52" s="232"/>
      <c r="CX52" s="232"/>
      <c r="CY52" s="232"/>
      <c r="CZ52" s="232"/>
      <c r="DA52" s="232"/>
      <c r="DB52" s="232"/>
      <c r="DC52" s="232"/>
      <c r="DD52" s="232"/>
      <c r="DE52" s="232"/>
      <c r="DF52" s="232"/>
      <c r="DG52" s="232"/>
      <c r="DH52" s="232"/>
      <c r="DI52" s="232"/>
      <c r="DJ52" s="232"/>
      <c r="DK52" s="232"/>
      <c r="DL52" s="232"/>
      <c r="DM52" s="232"/>
      <c r="DN52" s="232"/>
      <c r="DO52" s="232"/>
      <c r="DP52" s="232"/>
      <c r="DQ52" s="232"/>
      <c r="DR52" s="232"/>
      <c r="DS52" s="232"/>
      <c r="DT52" s="232"/>
      <c r="DU52" s="232"/>
      <c r="DV52" s="232"/>
      <c r="DW52" s="232"/>
      <c r="DX52" s="232"/>
      <c r="DY52" s="232"/>
      <c r="DZ52" s="232"/>
      <c r="EA52" s="232"/>
      <c r="EB52" s="232"/>
      <c r="EC52" s="232"/>
      <c r="ED52" s="232"/>
      <c r="EE52" s="232"/>
      <c r="EF52" s="232"/>
      <c r="EG52" s="232"/>
      <c r="EH52" s="232"/>
      <c r="EI52" s="232"/>
      <c r="EJ52" s="232"/>
      <c r="EK52" s="232"/>
      <c r="EL52" s="232"/>
      <c r="EM52" s="232"/>
      <c r="EN52" s="232"/>
      <c r="EO52" s="232"/>
      <c r="EP52" s="232"/>
      <c r="EQ52" s="232"/>
      <c r="ER52" s="232"/>
      <c r="ES52" s="232"/>
      <c r="ET52" s="232"/>
      <c r="EU52" s="232"/>
      <c r="EV52" s="232"/>
      <c r="EW52" s="232"/>
      <c r="EX52" s="232"/>
      <c r="EY52" s="232"/>
      <c r="EZ52" s="232"/>
      <c r="FA52" s="232"/>
      <c r="FB52" s="232"/>
      <c r="FC52" s="232"/>
      <c r="FD52" s="232"/>
      <c r="FE52" s="232"/>
      <c r="FF52" s="232"/>
      <c r="FG52" s="232"/>
      <c r="FH52" s="232"/>
      <c r="FI52" s="232"/>
      <c r="FJ52" s="232"/>
      <c r="FK52" s="232"/>
      <c r="FL52" s="232"/>
      <c r="FM52" s="232"/>
      <c r="FN52" s="232"/>
      <c r="FO52" s="232"/>
      <c r="FP52" s="232"/>
      <c r="FQ52" s="232"/>
      <c r="FR52" s="232"/>
      <c r="FS52" s="232"/>
      <c r="FT52" s="232"/>
      <c r="FU52" s="232"/>
      <c r="FV52" s="232"/>
      <c r="FW52" s="232"/>
      <c r="FX52" s="232"/>
      <c r="FY52" s="232"/>
      <c r="FZ52" s="232"/>
      <c r="GA52" s="232"/>
      <c r="GB52" s="232"/>
      <c r="GC52" s="232"/>
      <c r="GD52" s="232"/>
      <c r="GE52" s="232"/>
      <c r="GF52" s="232"/>
      <c r="GG52" s="232"/>
      <c r="GH52" s="232"/>
      <c r="GI52" s="232"/>
      <c r="GJ52" s="232"/>
      <c r="GK52" s="232"/>
      <c r="GL52" s="232"/>
      <c r="GM52" s="232"/>
      <c r="GN52" s="232"/>
      <c r="GO52" s="232"/>
      <c r="GP52" s="232"/>
      <c r="GQ52" s="232"/>
      <c r="GR52" s="232"/>
      <c r="GS52" s="232"/>
      <c r="GT52" s="232"/>
      <c r="GU52" s="232"/>
      <c r="GV52" s="232"/>
      <c r="GW52" s="232"/>
      <c r="GX52" s="232"/>
      <c r="GY52" s="232"/>
      <c r="GZ52" s="232"/>
      <c r="HA52" s="232"/>
      <c r="HB52" s="232"/>
      <c r="HC52" s="232"/>
      <c r="HD52" s="232"/>
      <c r="HE52" s="232"/>
      <c r="HF52" s="232"/>
      <c r="HG52" s="232"/>
      <c r="HH52" s="232"/>
      <c r="HI52" s="232"/>
      <c r="HJ52" s="232"/>
      <c r="HK52" s="232"/>
      <c r="HL52" s="232"/>
      <c r="HM52" s="232"/>
      <c r="HN52" s="232"/>
      <c r="HO52" s="232"/>
      <c r="HP52" s="232"/>
      <c r="HQ52" s="232"/>
      <c r="HR52" s="232"/>
      <c r="HS52" s="232"/>
      <c r="HT52" s="232"/>
      <c r="HU52" s="232"/>
      <c r="HV52" s="232"/>
      <c r="HW52" s="232"/>
      <c r="HX52" s="232"/>
      <c r="HY52" s="232"/>
      <c r="HZ52" s="232"/>
      <c r="IA52" s="232"/>
      <c r="IB52" s="232"/>
      <c r="IC52" s="232"/>
      <c r="ID52" s="232"/>
      <c r="IE52" s="232"/>
      <c r="IF52" s="232"/>
      <c r="IG52" s="232"/>
      <c r="IH52" s="232"/>
      <c r="II52" s="232"/>
      <c r="IJ52" s="232"/>
      <c r="IK52" s="232"/>
      <c r="IL52" s="232"/>
      <c r="IM52" s="232"/>
      <c r="IN52" s="232"/>
      <c r="IO52" s="232"/>
      <c r="IP52" s="232"/>
      <c r="IQ52" s="232"/>
      <c r="IR52" s="232"/>
      <c r="IS52" s="232"/>
      <c r="IT52" s="232"/>
      <c r="IU52" s="232"/>
      <c r="IV52" s="232"/>
    </row>
    <row r="53" spans="1:256" s="182" customFormat="1" ht="56.25">
      <c r="A53" s="346">
        <f>+A49+1</f>
        <v>8</v>
      </c>
      <c r="B53" s="347" t="s">
        <v>1301</v>
      </c>
      <c r="C53" s="348" t="s">
        <v>140</v>
      </c>
      <c r="D53" s="347" t="s">
        <v>196</v>
      </c>
      <c r="E53" s="104" t="s">
        <v>114</v>
      </c>
      <c r="F53" s="353" t="s">
        <v>88</v>
      </c>
      <c r="G53" s="353" t="s">
        <v>195</v>
      </c>
      <c r="H53" s="348" t="s">
        <v>21</v>
      </c>
      <c r="I53" s="353" t="s">
        <v>136</v>
      </c>
      <c r="J53" s="351" t="s">
        <v>83</v>
      </c>
      <c r="K53" s="352" t="s">
        <v>83</v>
      </c>
      <c r="L53" s="351" t="s">
        <v>83</v>
      </c>
      <c r="M53" s="351">
        <v>41157</v>
      </c>
      <c r="N53" s="352" t="s">
        <v>1201</v>
      </c>
      <c r="O53" s="351" t="s">
        <v>1201</v>
      </c>
      <c r="P53" s="353" t="s">
        <v>122</v>
      </c>
      <c r="Q53" s="353" t="s">
        <v>115</v>
      </c>
      <c r="R53" s="353" t="s">
        <v>1181</v>
      </c>
      <c r="S53" s="348" t="s">
        <v>118</v>
      </c>
      <c r="T53" s="348" t="s">
        <v>119</v>
      </c>
      <c r="U53" s="354">
        <v>44065185</v>
      </c>
      <c r="V53" s="109">
        <f>311000+12000000</f>
        <v>12311000</v>
      </c>
      <c r="W53" s="110">
        <v>22915000</v>
      </c>
      <c r="X53" s="355">
        <v>0</v>
      </c>
      <c r="Y53" s="355">
        <f>+U53*0.01/1.23</f>
        <v>358253.53658536589</v>
      </c>
      <c r="Z53" s="355">
        <v>0</v>
      </c>
      <c r="AA53" s="356" t="s">
        <v>132</v>
      </c>
      <c r="AB53" s="357"/>
      <c r="AC53" s="357"/>
      <c r="AD53" s="357"/>
      <c r="AE53" s="357"/>
      <c r="AF53" s="357"/>
      <c r="AG53" s="147"/>
    </row>
    <row r="54" spans="1:256" s="182" customFormat="1" ht="56.25">
      <c r="A54" s="346">
        <f>+A53+1</f>
        <v>9</v>
      </c>
      <c r="B54" s="347" t="s">
        <v>1302</v>
      </c>
      <c r="C54" s="348" t="s">
        <v>140</v>
      </c>
      <c r="D54" s="347" t="s">
        <v>196</v>
      </c>
      <c r="E54" s="104" t="s">
        <v>114</v>
      </c>
      <c r="F54" s="353" t="s">
        <v>91</v>
      </c>
      <c r="G54" s="353" t="s">
        <v>197</v>
      </c>
      <c r="H54" s="348" t="s">
        <v>7</v>
      </c>
      <c r="I54" s="353" t="s">
        <v>136</v>
      </c>
      <c r="J54" s="351" t="s">
        <v>1201</v>
      </c>
      <c r="K54" s="352" t="s">
        <v>1201</v>
      </c>
      <c r="L54" s="351" t="s">
        <v>1201</v>
      </c>
      <c r="M54" s="351">
        <v>41159</v>
      </c>
      <c r="N54" s="352" t="s">
        <v>1201</v>
      </c>
      <c r="O54" s="351" t="s">
        <v>1201</v>
      </c>
      <c r="P54" s="353" t="s">
        <v>122</v>
      </c>
      <c r="Q54" s="353" t="s">
        <v>115</v>
      </c>
      <c r="R54" s="353" t="s">
        <v>1181</v>
      </c>
      <c r="S54" s="348" t="s">
        <v>118</v>
      </c>
      <c r="T54" s="348" t="s">
        <v>119</v>
      </c>
      <c r="U54" s="354">
        <v>46644000</v>
      </c>
      <c r="V54" s="109">
        <f>7904000+15000000</f>
        <v>22904000</v>
      </c>
      <c r="W54" s="110">
        <v>24357000</v>
      </c>
      <c r="X54" s="355">
        <v>0</v>
      </c>
      <c r="Y54" s="355">
        <f>+U54*0.01/1.23</f>
        <v>379219.51219512196</v>
      </c>
      <c r="Z54" s="355">
        <v>0</v>
      </c>
      <c r="AA54" s="356" t="s">
        <v>132</v>
      </c>
      <c r="AB54" s="357"/>
      <c r="AC54" s="357"/>
      <c r="AD54" s="357"/>
      <c r="AE54" s="357"/>
      <c r="AF54" s="357"/>
      <c r="AG54" s="147"/>
    </row>
    <row r="55" spans="1:256" s="229" customFormat="1" ht="90" hidden="1" customHeight="1">
      <c r="A55" s="101">
        <f>+A54+1</f>
        <v>10</v>
      </c>
      <c r="B55" s="103" t="s">
        <v>198</v>
      </c>
      <c r="C55" s="104" t="s">
        <v>134</v>
      </c>
      <c r="D55" s="103" t="s">
        <v>201</v>
      </c>
      <c r="E55" s="104" t="s">
        <v>114</v>
      </c>
      <c r="F55" s="103" t="s">
        <v>91</v>
      </c>
      <c r="G55" s="106" t="s">
        <v>199</v>
      </c>
      <c r="H55" s="102" t="s">
        <v>200</v>
      </c>
      <c r="I55" s="103" t="s">
        <v>116</v>
      </c>
      <c r="J55" s="224">
        <v>42461</v>
      </c>
      <c r="K55" s="224"/>
      <c r="L55" s="224">
        <f t="shared" si="1"/>
        <v>42461</v>
      </c>
      <c r="M55" s="224">
        <v>42825</v>
      </c>
      <c r="N55" s="224"/>
      <c r="O55" s="224">
        <f t="shared" si="2"/>
        <v>42825</v>
      </c>
      <c r="P55" s="105" t="s">
        <v>113</v>
      </c>
      <c r="Q55" s="103" t="s">
        <v>123</v>
      </c>
      <c r="R55" s="103"/>
      <c r="S55" s="104" t="s">
        <v>143</v>
      </c>
      <c r="T55" s="104" t="s">
        <v>119</v>
      </c>
      <c r="U55" s="110">
        <f>+(5*((1141850+1714473+2097122)/9)+3658606+1350713+1293526+929210)*1.23*1.07</f>
        <v>13139901.454666667</v>
      </c>
      <c r="V55" s="109">
        <v>1500000</v>
      </c>
      <c r="W55" s="110">
        <v>0</v>
      </c>
      <c r="X55" s="259">
        <f>+U55*0.235*0.3</f>
        <v>926363.05255399982</v>
      </c>
      <c r="Y55" s="260">
        <f>+U55-X55-Z55</f>
        <v>11556543.329379333</v>
      </c>
      <c r="Z55" s="259">
        <f>+U55*0.05</f>
        <v>656995.07273333333</v>
      </c>
      <c r="AA55" s="226">
        <v>0</v>
      </c>
      <c r="AB55" s="219"/>
      <c r="AC55" s="219"/>
      <c r="AD55" s="219"/>
      <c r="AE55" s="219"/>
      <c r="AF55" s="219"/>
      <c r="AG55" s="100"/>
      <c r="AH55" s="97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  <c r="BJ55" s="182"/>
      <c r="BK55" s="182"/>
      <c r="BL55" s="182"/>
      <c r="BM55" s="182"/>
      <c r="BN55" s="182"/>
      <c r="BO55" s="182"/>
      <c r="BP55" s="182"/>
      <c r="BQ55" s="182"/>
      <c r="BR55" s="182"/>
      <c r="BS55" s="182"/>
      <c r="BT55" s="182"/>
      <c r="BU55" s="182"/>
      <c r="BV55" s="182"/>
      <c r="BW55" s="182"/>
      <c r="BX55" s="182"/>
      <c r="BY55" s="182"/>
      <c r="BZ55" s="182"/>
      <c r="CA55" s="182"/>
      <c r="CB55" s="182"/>
      <c r="CC55" s="182"/>
      <c r="CD55" s="182"/>
      <c r="CE55" s="182"/>
      <c r="CF55" s="182"/>
      <c r="CG55" s="182"/>
      <c r="CH55" s="182"/>
      <c r="CI55" s="182"/>
      <c r="CJ55" s="182"/>
      <c r="CK55" s="182"/>
      <c r="CL55" s="182"/>
      <c r="CM55" s="182"/>
      <c r="CN55" s="182"/>
      <c r="CO55" s="182"/>
      <c r="CP55" s="182"/>
      <c r="CQ55" s="182"/>
      <c r="CR55" s="182"/>
      <c r="CS55" s="182"/>
      <c r="CT55" s="182"/>
      <c r="CU55" s="182"/>
      <c r="CV55" s="182"/>
      <c r="CW55" s="182"/>
      <c r="CX55" s="182"/>
      <c r="CY55" s="182"/>
      <c r="CZ55" s="182"/>
      <c r="DA55" s="182"/>
      <c r="DB55" s="182"/>
      <c r="DC55" s="182"/>
      <c r="DD55" s="182"/>
      <c r="DE55" s="182"/>
      <c r="DF55" s="182"/>
      <c r="DG55" s="182"/>
      <c r="DH55" s="182"/>
      <c r="DI55" s="182"/>
      <c r="DJ55" s="182"/>
      <c r="DK55" s="182"/>
      <c r="DL55" s="182"/>
      <c r="DM55" s="182"/>
      <c r="DN55" s="182"/>
      <c r="DO55" s="182"/>
      <c r="DP55" s="182"/>
      <c r="DQ55" s="182"/>
      <c r="DR55" s="182"/>
      <c r="DS55" s="182"/>
      <c r="DT55" s="182"/>
      <c r="DU55" s="182"/>
      <c r="DV55" s="182"/>
      <c r="DW55" s="182"/>
      <c r="DX55" s="182"/>
      <c r="DY55" s="182"/>
      <c r="DZ55" s="182"/>
      <c r="EA55" s="182"/>
      <c r="EB55" s="182"/>
      <c r="EC55" s="182"/>
      <c r="ED55" s="182"/>
      <c r="EE55" s="182"/>
      <c r="EF55" s="182"/>
      <c r="EG55" s="182"/>
      <c r="EH55" s="182"/>
      <c r="EI55" s="182"/>
      <c r="EJ55" s="182"/>
      <c r="EK55" s="182"/>
      <c r="EL55" s="182"/>
      <c r="EM55" s="182"/>
      <c r="EN55" s="182"/>
      <c r="EO55" s="182"/>
      <c r="EP55" s="182"/>
      <c r="EQ55" s="182"/>
      <c r="ER55" s="182"/>
      <c r="ES55" s="182"/>
      <c r="ET55" s="182"/>
      <c r="EU55" s="182"/>
      <c r="EV55" s="182"/>
      <c r="EW55" s="182"/>
      <c r="EX55" s="182"/>
      <c r="EY55" s="182"/>
      <c r="EZ55" s="182"/>
      <c r="FA55" s="182"/>
      <c r="FB55" s="182"/>
      <c r="FC55" s="182"/>
      <c r="FD55" s="182"/>
      <c r="FE55" s="182"/>
      <c r="FF55" s="182"/>
      <c r="FG55" s="182"/>
      <c r="FH55" s="182"/>
      <c r="FI55" s="182"/>
      <c r="FJ55" s="182"/>
      <c r="FK55" s="182"/>
      <c r="FL55" s="182"/>
      <c r="FM55" s="182"/>
      <c r="FN55" s="182"/>
      <c r="FO55" s="182"/>
      <c r="FP55" s="182"/>
      <c r="FQ55" s="182"/>
      <c r="FR55" s="182"/>
      <c r="FS55" s="182"/>
      <c r="FT55" s="182"/>
      <c r="FU55" s="182"/>
      <c r="FV55" s="182"/>
      <c r="FW55" s="182"/>
      <c r="FX55" s="182"/>
      <c r="FY55" s="182"/>
      <c r="FZ55" s="182"/>
      <c r="GA55" s="182"/>
      <c r="GB55" s="182"/>
      <c r="GC55" s="182"/>
      <c r="GD55" s="182"/>
      <c r="GE55" s="182"/>
      <c r="GF55" s="182"/>
      <c r="GG55" s="182"/>
      <c r="GH55" s="182"/>
      <c r="GI55" s="182"/>
      <c r="GJ55" s="182"/>
      <c r="GK55" s="182"/>
      <c r="GL55" s="182"/>
      <c r="GM55" s="182"/>
      <c r="GN55" s="182"/>
      <c r="GO55" s="182"/>
      <c r="GP55" s="182"/>
      <c r="GQ55" s="182"/>
      <c r="GR55" s="182"/>
      <c r="GS55" s="182"/>
      <c r="GT55" s="182"/>
      <c r="GU55" s="182"/>
      <c r="GV55" s="182"/>
      <c r="GW55" s="182"/>
      <c r="GX55" s="182"/>
      <c r="GY55" s="182"/>
      <c r="GZ55" s="182"/>
      <c r="HA55" s="182"/>
      <c r="HB55" s="182"/>
      <c r="HC55" s="182"/>
      <c r="HD55" s="182"/>
      <c r="HE55" s="182"/>
      <c r="HF55" s="182"/>
      <c r="HG55" s="182"/>
      <c r="HH55" s="182"/>
      <c r="HI55" s="182"/>
      <c r="HJ55" s="182"/>
      <c r="HK55" s="182"/>
      <c r="HL55" s="182"/>
      <c r="HM55" s="182"/>
      <c r="HN55" s="182"/>
      <c r="HO55" s="182"/>
      <c r="HP55" s="182"/>
      <c r="HQ55" s="182"/>
      <c r="HR55" s="182"/>
      <c r="HS55" s="182"/>
      <c r="HT55" s="182"/>
      <c r="HU55" s="182"/>
      <c r="HV55" s="182"/>
      <c r="HW55" s="182"/>
      <c r="HX55" s="182"/>
      <c r="HY55" s="182"/>
      <c r="HZ55" s="182"/>
      <c r="IA55" s="182"/>
      <c r="IB55" s="182"/>
      <c r="IC55" s="182"/>
      <c r="ID55" s="182"/>
      <c r="IE55" s="182"/>
      <c r="IF55" s="182"/>
      <c r="IG55" s="182"/>
      <c r="IH55" s="182"/>
      <c r="II55" s="182"/>
      <c r="IJ55" s="182"/>
      <c r="IK55" s="182"/>
      <c r="IL55" s="182"/>
      <c r="IM55" s="182"/>
      <c r="IN55" s="182"/>
      <c r="IO55" s="182"/>
      <c r="IP55" s="182"/>
      <c r="IQ55" s="182"/>
      <c r="IR55" s="182"/>
      <c r="IS55" s="182"/>
      <c r="IT55" s="182"/>
      <c r="IU55" s="182"/>
      <c r="IV55" s="182"/>
    </row>
    <row r="56" spans="1:256" s="182" customFormat="1" ht="90" hidden="1" customHeight="1">
      <c r="A56" s="101">
        <f>+A54+1</f>
        <v>10</v>
      </c>
      <c r="B56" s="103" t="s">
        <v>202</v>
      </c>
      <c r="C56" s="104" t="s">
        <v>93</v>
      </c>
      <c r="D56" s="103" t="s">
        <v>204</v>
      </c>
      <c r="E56" s="104" t="s">
        <v>114</v>
      </c>
      <c r="F56" s="103" t="s">
        <v>93</v>
      </c>
      <c r="G56" s="106" t="s">
        <v>93</v>
      </c>
      <c r="H56" s="102" t="s">
        <v>93</v>
      </c>
      <c r="I56" s="103" t="s">
        <v>116</v>
      </c>
      <c r="J56" s="224">
        <v>40787</v>
      </c>
      <c r="K56" s="224"/>
      <c r="L56" s="224">
        <f t="shared" si="1"/>
        <v>40787</v>
      </c>
      <c r="M56" s="224">
        <v>42094</v>
      </c>
      <c r="N56" s="224"/>
      <c r="O56" s="224">
        <f t="shared" si="2"/>
        <v>42094</v>
      </c>
      <c r="P56" s="105" t="s">
        <v>113</v>
      </c>
      <c r="Q56" s="103" t="s">
        <v>203</v>
      </c>
      <c r="R56" s="105"/>
      <c r="S56" s="104" t="s">
        <v>118</v>
      </c>
      <c r="T56" s="104" t="s">
        <v>119</v>
      </c>
      <c r="U56" s="110">
        <v>13791032</v>
      </c>
      <c r="V56" s="109">
        <v>2408731</v>
      </c>
      <c r="W56" s="110">
        <v>3766232</v>
      </c>
      <c r="X56" s="259">
        <f>1277303</f>
        <v>1277303</v>
      </c>
      <c r="Y56" s="259">
        <v>0</v>
      </c>
      <c r="Z56" s="259">
        <v>0</v>
      </c>
      <c r="AA56" s="111" t="s">
        <v>120</v>
      </c>
      <c r="AB56" s="219"/>
      <c r="AC56" s="219"/>
      <c r="AD56" s="219"/>
      <c r="AE56" s="219"/>
      <c r="AF56" s="219"/>
      <c r="AG56" s="100"/>
      <c r="AH56" s="97"/>
    </row>
    <row r="57" spans="1:256" s="229" customFormat="1" ht="90" hidden="1" customHeight="1">
      <c r="A57" s="101">
        <f>+A50+1</f>
        <v>9</v>
      </c>
      <c r="B57" s="103" t="s">
        <v>205</v>
      </c>
      <c r="C57" s="104" t="s">
        <v>206</v>
      </c>
      <c r="D57" s="103" t="s">
        <v>90</v>
      </c>
      <c r="E57" s="104" t="s">
        <v>114</v>
      </c>
      <c r="F57" s="103" t="s">
        <v>91</v>
      </c>
      <c r="G57" s="106" t="s">
        <v>180</v>
      </c>
      <c r="H57" s="102" t="s">
        <v>200</v>
      </c>
      <c r="I57" s="103" t="s">
        <v>90</v>
      </c>
      <c r="J57" s="224">
        <v>41730</v>
      </c>
      <c r="K57" s="224"/>
      <c r="L57" s="224">
        <f t="shared" si="1"/>
        <v>41730</v>
      </c>
      <c r="M57" s="224">
        <v>42094</v>
      </c>
      <c r="N57" s="224"/>
      <c r="O57" s="224">
        <f t="shared" si="2"/>
        <v>42094</v>
      </c>
      <c r="P57" s="105" t="s">
        <v>122</v>
      </c>
      <c r="Q57" s="103" t="s">
        <v>207</v>
      </c>
      <c r="R57" s="103"/>
      <c r="S57" s="104" t="s">
        <v>143</v>
      </c>
      <c r="T57" s="104" t="s">
        <v>119</v>
      </c>
      <c r="U57" s="110">
        <v>16000000</v>
      </c>
      <c r="V57" s="109">
        <v>2000000</v>
      </c>
      <c r="W57" s="110">
        <v>2000000</v>
      </c>
      <c r="X57" s="259">
        <v>0</v>
      </c>
      <c r="Y57" s="260">
        <v>2420000</v>
      </c>
      <c r="Z57" s="259">
        <v>2662000</v>
      </c>
      <c r="AA57" s="226">
        <f>+Z57*1.1</f>
        <v>2928200.0000000005</v>
      </c>
      <c r="AB57" s="219"/>
      <c r="AC57" s="219"/>
      <c r="AD57" s="219"/>
      <c r="AE57" s="219"/>
      <c r="AF57" s="219"/>
      <c r="AG57" s="100"/>
      <c r="AH57" s="97"/>
      <c r="AI57" s="182"/>
      <c r="AJ57" s="182"/>
      <c r="AK57" s="182"/>
      <c r="AL57" s="182"/>
      <c r="AM57" s="182"/>
      <c r="AN57" s="182"/>
      <c r="AO57" s="182"/>
      <c r="AP57" s="182"/>
      <c r="AQ57" s="182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2"/>
      <c r="BG57" s="182"/>
      <c r="BH57" s="182"/>
      <c r="BI57" s="182"/>
      <c r="BJ57" s="182"/>
      <c r="BK57" s="182"/>
      <c r="BL57" s="182"/>
      <c r="BM57" s="182"/>
      <c r="BN57" s="182"/>
      <c r="BO57" s="182"/>
      <c r="BP57" s="182"/>
      <c r="BQ57" s="182"/>
      <c r="BR57" s="182"/>
      <c r="BS57" s="182"/>
      <c r="BT57" s="182"/>
      <c r="BU57" s="182"/>
      <c r="BV57" s="182"/>
      <c r="BW57" s="182"/>
      <c r="BX57" s="182"/>
      <c r="BY57" s="182"/>
      <c r="BZ57" s="182"/>
      <c r="CA57" s="182"/>
      <c r="CB57" s="182"/>
      <c r="CC57" s="182"/>
      <c r="CD57" s="182"/>
      <c r="CE57" s="182"/>
      <c r="CF57" s="182"/>
      <c r="CG57" s="182"/>
      <c r="CH57" s="182"/>
      <c r="CI57" s="182"/>
      <c r="CJ57" s="182"/>
      <c r="CK57" s="182"/>
      <c r="CL57" s="182"/>
      <c r="CM57" s="182"/>
      <c r="CN57" s="182"/>
      <c r="CO57" s="182"/>
      <c r="CP57" s="182"/>
      <c r="CQ57" s="182"/>
      <c r="CR57" s="182"/>
      <c r="CS57" s="182"/>
      <c r="CT57" s="182"/>
      <c r="CU57" s="182"/>
      <c r="CV57" s="182"/>
      <c r="CW57" s="182"/>
      <c r="CX57" s="182"/>
      <c r="CY57" s="182"/>
      <c r="CZ57" s="182"/>
      <c r="DA57" s="182"/>
      <c r="DB57" s="182"/>
      <c r="DC57" s="182"/>
      <c r="DD57" s="182"/>
      <c r="DE57" s="182"/>
      <c r="DF57" s="182"/>
      <c r="DG57" s="182"/>
      <c r="DH57" s="182"/>
      <c r="DI57" s="182"/>
      <c r="DJ57" s="182"/>
      <c r="DK57" s="182"/>
      <c r="DL57" s="182"/>
      <c r="DM57" s="182"/>
      <c r="DN57" s="182"/>
      <c r="DO57" s="182"/>
      <c r="DP57" s="182"/>
      <c r="DQ57" s="182"/>
      <c r="DR57" s="182"/>
      <c r="DS57" s="182"/>
      <c r="DT57" s="182"/>
      <c r="DU57" s="182"/>
      <c r="DV57" s="182"/>
      <c r="DW57" s="182"/>
      <c r="DX57" s="182"/>
      <c r="DY57" s="182"/>
      <c r="DZ57" s="182"/>
      <c r="EA57" s="182"/>
      <c r="EB57" s="182"/>
      <c r="EC57" s="182"/>
      <c r="ED57" s="182"/>
      <c r="EE57" s="182"/>
      <c r="EF57" s="182"/>
      <c r="EG57" s="182"/>
      <c r="EH57" s="182"/>
      <c r="EI57" s="182"/>
      <c r="EJ57" s="182"/>
      <c r="EK57" s="182"/>
      <c r="EL57" s="182"/>
      <c r="EM57" s="182"/>
      <c r="EN57" s="182"/>
      <c r="EO57" s="182"/>
      <c r="EP57" s="182"/>
      <c r="EQ57" s="182"/>
      <c r="ER57" s="182"/>
      <c r="ES57" s="182"/>
      <c r="ET57" s="182"/>
      <c r="EU57" s="182"/>
      <c r="EV57" s="182"/>
      <c r="EW57" s="182"/>
      <c r="EX57" s="182"/>
      <c r="EY57" s="182"/>
      <c r="EZ57" s="182"/>
      <c r="FA57" s="182"/>
      <c r="FB57" s="182"/>
      <c r="FC57" s="182"/>
      <c r="FD57" s="182"/>
      <c r="FE57" s="182"/>
      <c r="FF57" s="182"/>
      <c r="FG57" s="182"/>
      <c r="FH57" s="182"/>
      <c r="FI57" s="182"/>
      <c r="FJ57" s="182"/>
      <c r="FK57" s="182"/>
      <c r="FL57" s="182"/>
      <c r="FM57" s="182"/>
      <c r="FN57" s="182"/>
      <c r="FO57" s="182"/>
      <c r="FP57" s="182"/>
      <c r="FQ57" s="182"/>
      <c r="FR57" s="182"/>
      <c r="FS57" s="182"/>
      <c r="FT57" s="182"/>
      <c r="FU57" s="182"/>
      <c r="FV57" s="182"/>
      <c r="FW57" s="182"/>
      <c r="FX57" s="182"/>
      <c r="FY57" s="182"/>
      <c r="FZ57" s="182"/>
      <c r="GA57" s="182"/>
      <c r="GB57" s="182"/>
      <c r="GC57" s="182"/>
      <c r="GD57" s="182"/>
      <c r="GE57" s="182"/>
      <c r="GF57" s="182"/>
      <c r="GG57" s="182"/>
      <c r="GH57" s="182"/>
      <c r="GI57" s="182"/>
      <c r="GJ57" s="182"/>
      <c r="GK57" s="182"/>
      <c r="GL57" s="182"/>
      <c r="GM57" s="182"/>
      <c r="GN57" s="182"/>
      <c r="GO57" s="182"/>
      <c r="GP57" s="182"/>
      <c r="GQ57" s="182"/>
      <c r="GR57" s="182"/>
      <c r="GS57" s="182"/>
      <c r="GT57" s="182"/>
      <c r="GU57" s="182"/>
      <c r="GV57" s="182"/>
      <c r="GW57" s="182"/>
      <c r="GX57" s="182"/>
      <c r="GY57" s="182"/>
      <c r="GZ57" s="182"/>
      <c r="HA57" s="182"/>
      <c r="HB57" s="182"/>
      <c r="HC57" s="182"/>
      <c r="HD57" s="182"/>
      <c r="HE57" s="182"/>
      <c r="HF57" s="182"/>
      <c r="HG57" s="182"/>
      <c r="HH57" s="182"/>
      <c r="HI57" s="182"/>
      <c r="HJ57" s="182"/>
      <c r="HK57" s="182"/>
      <c r="HL57" s="182"/>
      <c r="HM57" s="182"/>
      <c r="HN57" s="182"/>
      <c r="HO57" s="182"/>
      <c r="HP57" s="182"/>
      <c r="HQ57" s="182"/>
      <c r="HR57" s="182"/>
      <c r="HS57" s="182"/>
      <c r="HT57" s="182"/>
      <c r="HU57" s="182"/>
      <c r="HV57" s="182"/>
      <c r="HW57" s="182"/>
      <c r="HX57" s="182"/>
      <c r="HY57" s="182"/>
      <c r="HZ57" s="182"/>
      <c r="IA57" s="182"/>
      <c r="IB57" s="182"/>
      <c r="IC57" s="182"/>
      <c r="ID57" s="182"/>
      <c r="IE57" s="182"/>
      <c r="IF57" s="182"/>
      <c r="IG57" s="182"/>
      <c r="IH57" s="182"/>
      <c r="II57" s="182"/>
      <c r="IJ57" s="182"/>
      <c r="IK57" s="182"/>
      <c r="IL57" s="182"/>
      <c r="IM57" s="182"/>
      <c r="IN57" s="182"/>
      <c r="IO57" s="182"/>
      <c r="IP57" s="182"/>
      <c r="IQ57" s="182"/>
      <c r="IR57" s="182"/>
      <c r="IS57" s="182"/>
      <c r="IT57" s="182"/>
      <c r="IU57" s="182"/>
      <c r="IV57" s="182"/>
    </row>
    <row r="58" spans="1:256" s="182" customFormat="1" ht="90" hidden="1" customHeight="1">
      <c r="A58" s="101">
        <f>+A56+1</f>
        <v>11</v>
      </c>
      <c r="B58" s="103" t="s">
        <v>208</v>
      </c>
      <c r="C58" s="104" t="s">
        <v>93</v>
      </c>
      <c r="D58" s="103" t="s">
        <v>204</v>
      </c>
      <c r="E58" s="104" t="s">
        <v>114</v>
      </c>
      <c r="F58" s="103" t="s">
        <v>93</v>
      </c>
      <c r="G58" s="106" t="s">
        <v>93</v>
      </c>
      <c r="H58" s="102" t="s">
        <v>93</v>
      </c>
      <c r="I58" s="103" t="s">
        <v>116</v>
      </c>
      <c r="J58" s="224">
        <v>41396</v>
      </c>
      <c r="K58" s="224"/>
      <c r="L58" s="224">
        <f t="shared" si="1"/>
        <v>41396</v>
      </c>
      <c r="M58" s="224">
        <v>42490</v>
      </c>
      <c r="N58" s="224"/>
      <c r="O58" s="224">
        <f t="shared" si="2"/>
        <v>42490</v>
      </c>
      <c r="P58" s="105" t="s">
        <v>113</v>
      </c>
      <c r="Q58" s="103" t="s">
        <v>203</v>
      </c>
      <c r="R58" s="105"/>
      <c r="S58" s="104" t="s">
        <v>118</v>
      </c>
      <c r="T58" s="104" t="s">
        <v>119</v>
      </c>
      <c r="U58" s="110">
        <v>28000000</v>
      </c>
      <c r="V58" s="109">
        <v>7777778</v>
      </c>
      <c r="W58" s="110">
        <v>10764443</v>
      </c>
      <c r="X58" s="259">
        <v>9333333.3300000001</v>
      </c>
      <c r="Y58" s="259">
        <v>672777</v>
      </c>
      <c r="Z58" s="259">
        <v>0</v>
      </c>
      <c r="AA58" s="111" t="s">
        <v>120</v>
      </c>
      <c r="AB58" s="219"/>
      <c r="AC58" s="219"/>
      <c r="AD58" s="219"/>
      <c r="AE58" s="219"/>
      <c r="AF58" s="219"/>
      <c r="AG58" s="100"/>
      <c r="AH58" s="97"/>
    </row>
    <row r="59" spans="1:256" s="182" customFormat="1" ht="90" hidden="1" customHeight="1">
      <c r="A59" s="101">
        <f t="shared" ref="A59:A66" si="3">+A58+1</f>
        <v>12</v>
      </c>
      <c r="B59" s="103" t="s">
        <v>209</v>
      </c>
      <c r="C59" s="104" t="s">
        <v>93</v>
      </c>
      <c r="D59" s="103" t="s">
        <v>204</v>
      </c>
      <c r="E59" s="104" t="s">
        <v>210</v>
      </c>
      <c r="F59" s="103" t="s">
        <v>93</v>
      </c>
      <c r="G59" s="106" t="s">
        <v>93</v>
      </c>
      <c r="H59" s="102" t="s">
        <v>93</v>
      </c>
      <c r="I59" s="103" t="s">
        <v>116</v>
      </c>
      <c r="J59" s="224">
        <v>42095</v>
      </c>
      <c r="K59" s="224"/>
      <c r="L59" s="224">
        <f t="shared" si="1"/>
        <v>42095</v>
      </c>
      <c r="M59" s="224">
        <v>42460</v>
      </c>
      <c r="N59" s="224"/>
      <c r="O59" s="224">
        <f t="shared" si="2"/>
        <v>42460</v>
      </c>
      <c r="P59" s="105" t="s">
        <v>122</v>
      </c>
      <c r="Q59" s="103" t="s">
        <v>203</v>
      </c>
      <c r="R59" s="105"/>
      <c r="S59" s="104" t="s">
        <v>118</v>
      </c>
      <c r="T59" s="104" t="s">
        <v>119</v>
      </c>
      <c r="U59" s="110">
        <v>0</v>
      </c>
      <c r="V59" s="109">
        <v>7777778</v>
      </c>
      <c r="W59" s="110">
        <v>9487000</v>
      </c>
      <c r="X59" s="259">
        <v>12600000</v>
      </c>
      <c r="Y59" s="259">
        <f>+X59*1.08</f>
        <v>13608000</v>
      </c>
      <c r="Z59" s="259">
        <v>0</v>
      </c>
      <c r="AA59" s="111" t="s">
        <v>120</v>
      </c>
      <c r="AB59" s="219"/>
      <c r="AC59" s="219"/>
      <c r="AD59" s="219"/>
      <c r="AE59" s="219"/>
      <c r="AF59" s="219"/>
      <c r="AG59" s="100"/>
      <c r="AH59" s="97"/>
    </row>
    <row r="60" spans="1:256" s="182" customFormat="1" ht="90" hidden="1" customHeight="1">
      <c r="A60" s="101">
        <f t="shared" si="3"/>
        <v>13</v>
      </c>
      <c r="B60" s="103" t="s">
        <v>211</v>
      </c>
      <c r="C60" s="104" t="s">
        <v>93</v>
      </c>
      <c r="D60" s="103" t="s">
        <v>212</v>
      </c>
      <c r="E60" s="104" t="s">
        <v>210</v>
      </c>
      <c r="F60" s="103" t="s">
        <v>93</v>
      </c>
      <c r="G60" s="106" t="s">
        <v>93</v>
      </c>
      <c r="H60" s="102" t="s">
        <v>93</v>
      </c>
      <c r="I60" s="103" t="s">
        <v>116</v>
      </c>
      <c r="J60" s="224">
        <v>42095</v>
      </c>
      <c r="K60" s="224"/>
      <c r="L60" s="224">
        <f t="shared" si="1"/>
        <v>42095</v>
      </c>
      <c r="M60" s="224">
        <v>42460</v>
      </c>
      <c r="N60" s="224"/>
      <c r="O60" s="224">
        <f t="shared" si="2"/>
        <v>42460</v>
      </c>
      <c r="P60" s="105" t="s">
        <v>122</v>
      </c>
      <c r="Q60" s="103" t="s">
        <v>203</v>
      </c>
      <c r="R60" s="105"/>
      <c r="S60" s="104" t="s">
        <v>118</v>
      </c>
      <c r="T60" s="104" t="s">
        <v>119</v>
      </c>
      <c r="U60" s="110">
        <v>0</v>
      </c>
      <c r="V60" s="109">
        <v>7777778</v>
      </c>
      <c r="W60" s="110">
        <v>17807000</v>
      </c>
      <c r="X60" s="259">
        <v>8000000</v>
      </c>
      <c r="Y60" s="259">
        <v>21000000</v>
      </c>
      <c r="Z60" s="259">
        <f>+Y60*1.1</f>
        <v>23100000.000000004</v>
      </c>
      <c r="AA60" s="111" t="s">
        <v>120</v>
      </c>
      <c r="AB60" s="219"/>
      <c r="AC60" s="219"/>
      <c r="AD60" s="219"/>
      <c r="AE60" s="219"/>
      <c r="AF60" s="219"/>
      <c r="AG60" s="100"/>
      <c r="AH60" s="97"/>
    </row>
    <row r="61" spans="1:256" s="182" customFormat="1" ht="90" hidden="1" customHeight="1">
      <c r="A61" s="101">
        <f t="shared" si="3"/>
        <v>14</v>
      </c>
      <c r="B61" s="103" t="s">
        <v>213</v>
      </c>
      <c r="C61" s="104" t="s">
        <v>214</v>
      </c>
      <c r="D61" s="103" t="s">
        <v>217</v>
      </c>
      <c r="E61" s="104" t="s">
        <v>114</v>
      </c>
      <c r="F61" s="103" t="s">
        <v>88</v>
      </c>
      <c r="G61" s="106" t="s">
        <v>176</v>
      </c>
      <c r="H61" s="102" t="s">
        <v>25</v>
      </c>
      <c r="I61" s="103" t="s">
        <v>216</v>
      </c>
      <c r="J61" s="224">
        <v>41883</v>
      </c>
      <c r="K61" s="224"/>
      <c r="L61" s="224">
        <f t="shared" si="1"/>
        <v>41883</v>
      </c>
      <c r="M61" s="224">
        <v>42247</v>
      </c>
      <c r="N61" s="224"/>
      <c r="O61" s="224">
        <f t="shared" si="2"/>
        <v>42247</v>
      </c>
      <c r="P61" s="105" t="s">
        <v>215</v>
      </c>
      <c r="Q61" s="103" t="s">
        <v>123</v>
      </c>
      <c r="R61" s="105"/>
      <c r="S61" s="104" t="s">
        <v>118</v>
      </c>
      <c r="T61" s="104" t="s">
        <v>119</v>
      </c>
      <c r="U61" s="110">
        <v>11270460</v>
      </c>
      <c r="V61" s="109">
        <v>3000000</v>
      </c>
      <c r="W61" s="110">
        <v>3500000</v>
      </c>
      <c r="X61" s="259">
        <v>7902188</v>
      </c>
      <c r="Y61" s="259">
        <v>0</v>
      </c>
      <c r="Z61" s="259">
        <f>+U61*0.01/1.23</f>
        <v>91629.756097560981</v>
      </c>
      <c r="AA61" s="111" t="s">
        <v>120</v>
      </c>
      <c r="AB61" s="219"/>
      <c r="AC61" s="219"/>
      <c r="AD61" s="219"/>
      <c r="AE61" s="219"/>
      <c r="AF61" s="219"/>
      <c r="AG61" s="100"/>
      <c r="AH61" s="97"/>
    </row>
    <row r="62" spans="1:256" s="182" customFormat="1" ht="90" hidden="1" customHeight="1">
      <c r="A62" s="101">
        <f t="shared" si="3"/>
        <v>15</v>
      </c>
      <c r="B62" s="103" t="s">
        <v>218</v>
      </c>
      <c r="C62" s="104" t="s">
        <v>140</v>
      </c>
      <c r="D62" s="103" t="s">
        <v>221</v>
      </c>
      <c r="E62" s="104" t="s">
        <v>114</v>
      </c>
      <c r="F62" s="103" t="s">
        <v>219</v>
      </c>
      <c r="G62" s="106" t="s">
        <v>220</v>
      </c>
      <c r="H62" s="102" t="s">
        <v>3</v>
      </c>
      <c r="I62" s="103" t="s">
        <v>116</v>
      </c>
      <c r="J62" s="224">
        <v>41061</v>
      </c>
      <c r="K62" s="224"/>
      <c r="L62" s="224">
        <f t="shared" si="1"/>
        <v>41061</v>
      </c>
      <c r="M62" s="224">
        <v>42062</v>
      </c>
      <c r="N62" s="224"/>
      <c r="O62" s="224">
        <f t="shared" si="2"/>
        <v>42062</v>
      </c>
      <c r="P62" s="105" t="s">
        <v>113</v>
      </c>
      <c r="Q62" s="103" t="s">
        <v>115</v>
      </c>
      <c r="R62" s="105"/>
      <c r="S62" s="104" t="s">
        <v>118</v>
      </c>
      <c r="T62" s="104" t="s">
        <v>119</v>
      </c>
      <c r="U62" s="110">
        <f>36201355*1.15</f>
        <v>41631558.25</v>
      </c>
      <c r="V62" s="109"/>
      <c r="W62" s="110">
        <f>+U62-(18410381.7+3817343.24)-(5058069.66)-3491930.34-1008061.65</f>
        <v>9845771.660000002</v>
      </c>
      <c r="X62" s="259">
        <v>300000</v>
      </c>
      <c r="Y62" s="259">
        <v>0</v>
      </c>
      <c r="Z62" s="259">
        <v>338467.95325203252</v>
      </c>
      <c r="AA62" s="111" t="s">
        <v>120</v>
      </c>
      <c r="AB62" s="219"/>
      <c r="AC62" s="219"/>
      <c r="AD62" s="219"/>
      <c r="AE62" s="219"/>
      <c r="AF62" s="219"/>
      <c r="AG62" s="100"/>
      <c r="AH62" s="97"/>
    </row>
    <row r="63" spans="1:256" s="182" customFormat="1" ht="90" customHeight="1">
      <c r="A63" s="346">
        <v>10</v>
      </c>
      <c r="B63" s="347" t="s">
        <v>1303</v>
      </c>
      <c r="C63" s="348" t="s">
        <v>140</v>
      </c>
      <c r="D63" s="347" t="s">
        <v>223</v>
      </c>
      <c r="E63" s="104" t="s">
        <v>114</v>
      </c>
      <c r="F63" s="353" t="s">
        <v>141</v>
      </c>
      <c r="G63" s="353" t="s">
        <v>222</v>
      </c>
      <c r="H63" s="348" t="s">
        <v>3</v>
      </c>
      <c r="I63" s="353" t="s">
        <v>162</v>
      </c>
      <c r="J63" s="351" t="s">
        <v>83</v>
      </c>
      <c r="K63" s="352" t="s">
        <v>83</v>
      </c>
      <c r="L63" s="351" t="s">
        <v>83</v>
      </c>
      <c r="M63" s="351">
        <v>41596</v>
      </c>
      <c r="N63" s="352" t="s">
        <v>1201</v>
      </c>
      <c r="O63" s="351" t="s">
        <v>1201</v>
      </c>
      <c r="P63" s="353" t="s">
        <v>122</v>
      </c>
      <c r="Q63" s="353" t="s">
        <v>115</v>
      </c>
      <c r="R63" s="353" t="s">
        <v>65</v>
      </c>
      <c r="S63" s="348" t="s">
        <v>118</v>
      </c>
      <c r="T63" s="348" t="s">
        <v>119</v>
      </c>
      <c r="U63" s="354">
        <v>42890000</v>
      </c>
      <c r="V63" s="109">
        <f>1885000+3000000</f>
        <v>4885000</v>
      </c>
      <c r="W63" s="110">
        <v>12800812</v>
      </c>
      <c r="X63" s="355">
        <v>8300000</v>
      </c>
      <c r="Y63" s="355">
        <v>0</v>
      </c>
      <c r="Z63" s="355">
        <v>33912300</v>
      </c>
      <c r="AA63" s="356" t="s">
        <v>132</v>
      </c>
      <c r="AB63" s="357"/>
      <c r="AC63" s="357"/>
      <c r="AD63" s="357"/>
      <c r="AE63" s="357"/>
      <c r="AF63" s="357"/>
      <c r="AG63" s="147"/>
    </row>
    <row r="64" spans="1:256" s="182" customFormat="1" ht="45">
      <c r="A64" s="346">
        <f t="shared" si="3"/>
        <v>11</v>
      </c>
      <c r="B64" s="347" t="s">
        <v>1304</v>
      </c>
      <c r="C64" s="348" t="s">
        <v>134</v>
      </c>
      <c r="D64" s="347" t="s">
        <v>225</v>
      </c>
      <c r="E64" s="104" t="s">
        <v>114</v>
      </c>
      <c r="F64" s="353" t="s">
        <v>141</v>
      </c>
      <c r="G64" s="353" t="s">
        <v>224</v>
      </c>
      <c r="H64" s="348" t="s">
        <v>3</v>
      </c>
      <c r="I64" s="353" t="s">
        <v>162</v>
      </c>
      <c r="J64" s="351" t="s">
        <v>83</v>
      </c>
      <c r="K64" s="352" t="s">
        <v>83</v>
      </c>
      <c r="L64" s="351" t="s">
        <v>83</v>
      </c>
      <c r="M64" s="351">
        <v>41486</v>
      </c>
      <c r="N64" s="352">
        <v>19</v>
      </c>
      <c r="O64" s="351">
        <v>42060</v>
      </c>
      <c r="P64" s="353" t="s">
        <v>122</v>
      </c>
      <c r="Q64" s="353" t="s">
        <v>115</v>
      </c>
      <c r="R64" s="353" t="s">
        <v>1181</v>
      </c>
      <c r="S64" s="348" t="s">
        <v>118</v>
      </c>
      <c r="T64" s="348" t="s">
        <v>119</v>
      </c>
      <c r="U64" s="354">
        <v>26610948</v>
      </c>
      <c r="V64" s="109">
        <v>3000000</v>
      </c>
      <c r="W64" s="110">
        <v>23732000</v>
      </c>
      <c r="X64" s="355">
        <v>0</v>
      </c>
      <c r="Y64" s="355">
        <f>+U64*0.01/1.23</f>
        <v>216349.1707317073</v>
      </c>
      <c r="Z64" s="355">
        <v>0</v>
      </c>
      <c r="AA64" s="356" t="s">
        <v>132</v>
      </c>
      <c r="AB64" s="357"/>
      <c r="AC64" s="357"/>
      <c r="AD64" s="357"/>
      <c r="AE64" s="357"/>
      <c r="AF64" s="357"/>
      <c r="AG64" s="147"/>
    </row>
    <row r="65" spans="1:256" s="182" customFormat="1" ht="45">
      <c r="A65" s="346">
        <f t="shared" si="3"/>
        <v>12</v>
      </c>
      <c r="B65" s="347" t="s">
        <v>1305</v>
      </c>
      <c r="C65" s="348" t="s">
        <v>134</v>
      </c>
      <c r="D65" s="347" t="s">
        <v>227</v>
      </c>
      <c r="E65" s="104" t="s">
        <v>114</v>
      </c>
      <c r="F65" s="353" t="s">
        <v>141</v>
      </c>
      <c r="G65" s="353" t="s">
        <v>226</v>
      </c>
      <c r="H65" s="348" t="s">
        <v>3</v>
      </c>
      <c r="I65" s="353" t="s">
        <v>162</v>
      </c>
      <c r="J65" s="351" t="s">
        <v>83</v>
      </c>
      <c r="K65" s="352" t="s">
        <v>83</v>
      </c>
      <c r="L65" s="351" t="s">
        <v>83</v>
      </c>
      <c r="M65" s="351">
        <v>41596</v>
      </c>
      <c r="N65" s="352" t="s">
        <v>1201</v>
      </c>
      <c r="O65" s="351" t="s">
        <v>1201</v>
      </c>
      <c r="P65" s="353" t="s">
        <v>122</v>
      </c>
      <c r="Q65" s="353" t="s">
        <v>115</v>
      </c>
      <c r="R65" s="353" t="s">
        <v>1181</v>
      </c>
      <c r="S65" s="348" t="s">
        <v>118</v>
      </c>
      <c r="T65" s="348" t="s">
        <v>119</v>
      </c>
      <c r="U65" s="354">
        <f>23181645*1.2</f>
        <v>27817974</v>
      </c>
      <c r="V65" s="109">
        <f>316000+3000000</f>
        <v>3316000</v>
      </c>
      <c r="W65" s="110">
        <v>24732000</v>
      </c>
      <c r="X65" s="355">
        <v>7900000</v>
      </c>
      <c r="Y65" s="355">
        <v>0</v>
      </c>
      <c r="Z65" s="355">
        <f>+U65*0.01/1.23</f>
        <v>226162.39024390242</v>
      </c>
      <c r="AA65" s="356" t="s">
        <v>132</v>
      </c>
      <c r="AB65" s="357"/>
      <c r="AC65" s="357"/>
      <c r="AD65" s="357"/>
      <c r="AE65" s="357"/>
      <c r="AF65" s="357"/>
      <c r="AG65" s="147"/>
    </row>
    <row r="66" spans="1:256" s="182" customFormat="1" ht="56.25">
      <c r="A66" s="346">
        <f t="shared" si="3"/>
        <v>13</v>
      </c>
      <c r="B66" s="347" t="s">
        <v>1306</v>
      </c>
      <c r="C66" s="348" t="s">
        <v>140</v>
      </c>
      <c r="D66" s="347" t="s">
        <v>229</v>
      </c>
      <c r="E66" s="104" t="s">
        <v>114</v>
      </c>
      <c r="F66" s="353" t="s">
        <v>91</v>
      </c>
      <c r="G66" s="353" t="s">
        <v>228</v>
      </c>
      <c r="H66" s="348" t="s">
        <v>200</v>
      </c>
      <c r="I66" s="353" t="s">
        <v>162</v>
      </c>
      <c r="J66" s="351" t="s">
        <v>83</v>
      </c>
      <c r="K66" s="352" t="s">
        <v>83</v>
      </c>
      <c r="L66" s="351" t="s">
        <v>83</v>
      </c>
      <c r="M66" s="351">
        <v>41326</v>
      </c>
      <c r="N66" s="352">
        <v>18</v>
      </c>
      <c r="O66" s="351">
        <v>41869</v>
      </c>
      <c r="P66" s="353" t="s">
        <v>122</v>
      </c>
      <c r="Q66" s="353" t="s">
        <v>115</v>
      </c>
      <c r="R66" s="353" t="s">
        <v>1181</v>
      </c>
      <c r="S66" s="348" t="s">
        <v>118</v>
      </c>
      <c r="T66" s="348" t="s">
        <v>119</v>
      </c>
      <c r="U66" s="354">
        <f>23184852.14*1.2</f>
        <v>27821822.568</v>
      </c>
      <c r="V66" s="109">
        <f>3912000+9000000</f>
        <v>12912000</v>
      </c>
      <c r="W66" s="110">
        <v>11603000</v>
      </c>
      <c r="X66" s="355">
        <v>0</v>
      </c>
      <c r="Y66" s="355">
        <f>+U66*0.01/1.23</f>
        <v>226193.67941463419</v>
      </c>
      <c r="Z66" s="355">
        <v>0</v>
      </c>
      <c r="AA66" s="356" t="s">
        <v>132</v>
      </c>
      <c r="AB66" s="357"/>
      <c r="AC66" s="357"/>
      <c r="AD66" s="357"/>
      <c r="AE66" s="357"/>
      <c r="AF66" s="357"/>
      <c r="AG66" s="147"/>
    </row>
    <row r="67" spans="1:256" s="182" customFormat="1" ht="33.75">
      <c r="A67" s="346">
        <v>14</v>
      </c>
      <c r="B67" s="347" t="s">
        <v>1307</v>
      </c>
      <c r="C67" s="348" t="s">
        <v>138</v>
      </c>
      <c r="D67" s="347" t="s">
        <v>231</v>
      </c>
      <c r="E67" s="104" t="s">
        <v>114</v>
      </c>
      <c r="F67" s="353" t="s">
        <v>84</v>
      </c>
      <c r="G67" s="353" t="s">
        <v>230</v>
      </c>
      <c r="H67" s="348" t="s">
        <v>14</v>
      </c>
      <c r="I67" s="353" t="s">
        <v>216</v>
      </c>
      <c r="J67" s="351" t="s">
        <v>83</v>
      </c>
      <c r="K67" s="352" t="s">
        <v>83</v>
      </c>
      <c r="L67" s="351" t="s">
        <v>83</v>
      </c>
      <c r="M67" s="351">
        <v>41954</v>
      </c>
      <c r="N67" s="352">
        <v>12</v>
      </c>
      <c r="O67" s="351">
        <v>42319</v>
      </c>
      <c r="P67" s="353" t="s">
        <v>215</v>
      </c>
      <c r="Q67" s="353" t="s">
        <v>123</v>
      </c>
      <c r="R67" s="353" t="s">
        <v>65</v>
      </c>
      <c r="S67" s="348" t="s">
        <v>118</v>
      </c>
      <c r="T67" s="348" t="s">
        <v>119</v>
      </c>
      <c r="U67" s="354">
        <v>11700000</v>
      </c>
      <c r="V67" s="109">
        <v>1200000</v>
      </c>
      <c r="W67" s="110">
        <v>8100000</v>
      </c>
      <c r="X67" s="355">
        <v>3600000</v>
      </c>
      <c r="Y67" s="355">
        <v>0</v>
      </c>
      <c r="Z67" s="355">
        <f>+U67*0.01/1.23</f>
        <v>95121.951219512193</v>
      </c>
      <c r="AA67" s="356" t="s">
        <v>132</v>
      </c>
      <c r="AB67" s="357"/>
      <c r="AC67" s="357"/>
      <c r="AD67" s="357"/>
      <c r="AE67" s="357"/>
      <c r="AF67" s="357"/>
      <c r="AG67" s="147"/>
    </row>
    <row r="68" spans="1:256" s="182" customFormat="1" ht="33.75" hidden="1">
      <c r="A68" s="346">
        <v>23</v>
      </c>
      <c r="B68" s="347" t="s">
        <v>232</v>
      </c>
      <c r="C68" s="348" t="s">
        <v>93</v>
      </c>
      <c r="D68" s="347" t="s">
        <v>90</v>
      </c>
      <c r="E68" s="104" t="s">
        <v>114</v>
      </c>
      <c r="F68" s="347" t="s">
        <v>93</v>
      </c>
      <c r="G68" s="349" t="s">
        <v>93</v>
      </c>
      <c r="H68" s="350" t="s">
        <v>93</v>
      </c>
      <c r="I68" s="347" t="s">
        <v>90</v>
      </c>
      <c r="J68" s="351">
        <v>41365</v>
      </c>
      <c r="K68" s="351"/>
      <c r="L68" s="351">
        <f t="shared" ref="L68:L127" si="4">J68+(K68*31)</f>
        <v>41365</v>
      </c>
      <c r="M68" s="351">
        <v>42460</v>
      </c>
      <c r="N68" s="351"/>
      <c r="O68" s="351">
        <f t="shared" si="2"/>
        <v>42460</v>
      </c>
      <c r="P68" s="353" t="s">
        <v>122</v>
      </c>
      <c r="Q68" s="347" t="s">
        <v>207</v>
      </c>
      <c r="R68" s="353" t="s">
        <v>1180</v>
      </c>
      <c r="S68" s="348" t="s">
        <v>118</v>
      </c>
      <c r="T68" s="348" t="s">
        <v>126</v>
      </c>
      <c r="U68" s="354">
        <v>335397875</v>
      </c>
      <c r="V68" s="109">
        <v>84000000</v>
      </c>
      <c r="W68" s="110">
        <f>27175715</f>
        <v>27175715</v>
      </c>
      <c r="X68" s="355">
        <v>28142010</v>
      </c>
      <c r="Y68" s="355">
        <v>84000000</v>
      </c>
      <c r="Z68" s="355">
        <v>89000000</v>
      </c>
      <c r="AA68" s="356" t="s">
        <v>1202</v>
      </c>
      <c r="AB68" s="357"/>
      <c r="AC68" s="357"/>
      <c r="AD68" s="357"/>
      <c r="AE68" s="357"/>
      <c r="AF68" s="357"/>
      <c r="AG68" s="147"/>
    </row>
    <row r="69" spans="1:256" s="182" customFormat="1" ht="33.75">
      <c r="A69" s="346">
        <v>15</v>
      </c>
      <c r="B69" s="347" t="s">
        <v>1308</v>
      </c>
      <c r="C69" s="348" t="s">
        <v>138</v>
      </c>
      <c r="D69" s="347" t="s">
        <v>235</v>
      </c>
      <c r="E69" s="104" t="s">
        <v>114</v>
      </c>
      <c r="F69" s="353" t="s">
        <v>88</v>
      </c>
      <c r="G69" s="353" t="s">
        <v>185</v>
      </c>
      <c r="H69" s="348" t="s">
        <v>97</v>
      </c>
      <c r="I69" s="353" t="s">
        <v>234</v>
      </c>
      <c r="J69" s="351" t="s">
        <v>83</v>
      </c>
      <c r="K69" s="352" t="s">
        <v>83</v>
      </c>
      <c r="L69" s="351" t="s">
        <v>83</v>
      </c>
      <c r="M69" s="351">
        <v>42128</v>
      </c>
      <c r="N69" s="352">
        <v>6</v>
      </c>
      <c r="O69" s="351">
        <v>42314</v>
      </c>
      <c r="P69" s="353" t="s">
        <v>122</v>
      </c>
      <c r="Q69" s="353" t="s">
        <v>123</v>
      </c>
      <c r="R69" s="353" t="s">
        <v>65</v>
      </c>
      <c r="S69" s="348" t="s">
        <v>118</v>
      </c>
      <c r="T69" s="348" t="s">
        <v>119</v>
      </c>
      <c r="U69" s="354">
        <f>2082108*1.1</f>
        <v>2290318.8000000003</v>
      </c>
      <c r="V69" s="109">
        <f>+U69-W69</f>
        <v>2290318.8000000003</v>
      </c>
      <c r="W69" s="110">
        <v>0</v>
      </c>
      <c r="X69" s="355">
        <f>+U69</f>
        <v>2290318.8000000003</v>
      </c>
      <c r="Y69" s="355">
        <v>0</v>
      </c>
      <c r="Z69" s="355">
        <v>0</v>
      </c>
      <c r="AA69" s="356" t="s">
        <v>132</v>
      </c>
      <c r="AB69" s="357"/>
      <c r="AC69" s="357"/>
      <c r="AD69" s="357"/>
      <c r="AE69" s="357"/>
      <c r="AF69" s="357"/>
      <c r="AG69" s="147"/>
    </row>
    <row r="70" spans="1:256" s="182" customFormat="1" ht="22.5">
      <c r="A70" s="346">
        <v>16</v>
      </c>
      <c r="B70" s="347" t="s">
        <v>1309</v>
      </c>
      <c r="C70" s="348" t="s">
        <v>140</v>
      </c>
      <c r="D70" s="347" t="s">
        <v>239</v>
      </c>
      <c r="E70" s="104" t="s">
        <v>114</v>
      </c>
      <c r="F70" s="353" t="s">
        <v>141</v>
      </c>
      <c r="G70" s="353" t="s">
        <v>237</v>
      </c>
      <c r="H70" s="348" t="s">
        <v>3</v>
      </c>
      <c r="I70" s="353" t="s">
        <v>238</v>
      </c>
      <c r="J70" s="351" t="s">
        <v>83</v>
      </c>
      <c r="K70" s="352" t="s">
        <v>83</v>
      </c>
      <c r="L70" s="351" t="s">
        <v>83</v>
      </c>
      <c r="M70" s="351">
        <v>42050</v>
      </c>
      <c r="N70" s="352">
        <v>6</v>
      </c>
      <c r="O70" s="351">
        <v>42230</v>
      </c>
      <c r="P70" s="353" t="s">
        <v>236</v>
      </c>
      <c r="Q70" s="353" t="s">
        <v>123</v>
      </c>
      <c r="R70" s="353" t="s">
        <v>65</v>
      </c>
      <c r="S70" s="348" t="s">
        <v>118</v>
      </c>
      <c r="T70" s="348" t="s">
        <v>119</v>
      </c>
      <c r="U70" s="354">
        <f>+'[1]Baseline 1'!AA82</f>
        <v>1979439.83</v>
      </c>
      <c r="V70" s="109">
        <v>1900000</v>
      </c>
      <c r="W70" s="110">
        <v>1832203</v>
      </c>
      <c r="X70" s="355">
        <f>+U70*0.8</f>
        <v>1583551.8640000001</v>
      </c>
      <c r="Y70" s="355">
        <v>0</v>
      </c>
      <c r="Z70" s="355">
        <v>0</v>
      </c>
      <c r="AA70" s="356" t="s">
        <v>132</v>
      </c>
      <c r="AB70" s="357"/>
      <c r="AC70" s="357"/>
      <c r="AD70" s="357"/>
      <c r="AE70" s="357"/>
      <c r="AF70" s="357"/>
      <c r="AG70" s="147"/>
    </row>
    <row r="71" spans="1:256" s="182" customFormat="1" ht="33.75">
      <c r="A71" s="346">
        <v>17</v>
      </c>
      <c r="B71" s="347" t="s">
        <v>1310</v>
      </c>
      <c r="C71" s="348" t="s">
        <v>134</v>
      </c>
      <c r="D71" s="347" t="s">
        <v>235</v>
      </c>
      <c r="E71" s="104" t="s">
        <v>114</v>
      </c>
      <c r="F71" s="353" t="s">
        <v>88</v>
      </c>
      <c r="G71" s="353" t="s">
        <v>129</v>
      </c>
      <c r="H71" s="353" t="s">
        <v>240</v>
      </c>
      <c r="I71" s="353" t="s">
        <v>234</v>
      </c>
      <c r="J71" s="351" t="s">
        <v>83</v>
      </c>
      <c r="K71" s="352" t="s">
        <v>83</v>
      </c>
      <c r="L71" s="351" t="s">
        <v>83</v>
      </c>
      <c r="M71" s="351">
        <v>42128</v>
      </c>
      <c r="N71" s="352">
        <v>6</v>
      </c>
      <c r="O71" s="351">
        <v>42314</v>
      </c>
      <c r="P71" s="353" t="s">
        <v>122</v>
      </c>
      <c r="Q71" s="353" t="s">
        <v>123</v>
      </c>
      <c r="R71" s="353" t="s">
        <v>65</v>
      </c>
      <c r="S71" s="348" t="s">
        <v>118</v>
      </c>
      <c r="T71" s="348" t="s">
        <v>119</v>
      </c>
      <c r="U71" s="354">
        <f>2683417*1.1</f>
        <v>2951758.7</v>
      </c>
      <c r="V71" s="109">
        <f>+U71-W71</f>
        <v>2951758.7</v>
      </c>
      <c r="W71" s="110">
        <v>0</v>
      </c>
      <c r="X71" s="355">
        <f t="shared" ref="X71:X78" si="5">+U71</f>
        <v>2951758.7</v>
      </c>
      <c r="Y71" s="355">
        <v>0</v>
      </c>
      <c r="Z71" s="355">
        <v>0</v>
      </c>
      <c r="AA71" s="356" t="s">
        <v>132</v>
      </c>
      <c r="AB71" s="357"/>
      <c r="AC71" s="357"/>
      <c r="AD71" s="357"/>
      <c r="AE71" s="357"/>
      <c r="AF71" s="357"/>
      <c r="AG71" s="147"/>
    </row>
    <row r="72" spans="1:256" s="182" customFormat="1" ht="33.75">
      <c r="A72" s="346">
        <v>18</v>
      </c>
      <c r="B72" s="347" t="s">
        <v>1311</v>
      </c>
      <c r="C72" s="348" t="s">
        <v>138</v>
      </c>
      <c r="D72" s="347" t="s">
        <v>235</v>
      </c>
      <c r="E72" s="104" t="s">
        <v>114</v>
      </c>
      <c r="F72" s="353" t="s">
        <v>88</v>
      </c>
      <c r="G72" s="353" t="s">
        <v>241</v>
      </c>
      <c r="H72" s="348" t="s">
        <v>97</v>
      </c>
      <c r="I72" s="353" t="s">
        <v>234</v>
      </c>
      <c r="J72" s="351" t="s">
        <v>83</v>
      </c>
      <c r="K72" s="352" t="s">
        <v>83</v>
      </c>
      <c r="L72" s="351" t="s">
        <v>83</v>
      </c>
      <c r="M72" s="351">
        <v>42128</v>
      </c>
      <c r="N72" s="352">
        <v>6</v>
      </c>
      <c r="O72" s="351">
        <v>42314</v>
      </c>
      <c r="P72" s="353" t="s">
        <v>122</v>
      </c>
      <c r="Q72" s="353" t="s">
        <v>123</v>
      </c>
      <c r="R72" s="353" t="s">
        <v>65</v>
      </c>
      <c r="S72" s="348" t="s">
        <v>118</v>
      </c>
      <c r="T72" s="348" t="s">
        <v>119</v>
      </c>
      <c r="U72" s="354">
        <f>2201865*1.1</f>
        <v>2422051.5</v>
      </c>
      <c r="V72" s="109">
        <f>+U72-W72</f>
        <v>2422051.5</v>
      </c>
      <c r="W72" s="110">
        <v>0</v>
      </c>
      <c r="X72" s="355">
        <f t="shared" si="5"/>
        <v>2422051.5</v>
      </c>
      <c r="Y72" s="355">
        <v>0</v>
      </c>
      <c r="Z72" s="355">
        <v>0</v>
      </c>
      <c r="AA72" s="356" t="s">
        <v>132</v>
      </c>
      <c r="AB72" s="357"/>
      <c r="AC72" s="357"/>
      <c r="AD72" s="357"/>
      <c r="AE72" s="357"/>
      <c r="AF72" s="357"/>
      <c r="AG72" s="147"/>
    </row>
    <row r="73" spans="1:256" s="182" customFormat="1" ht="33.75">
      <c r="A73" s="346">
        <v>19</v>
      </c>
      <c r="B73" s="347" t="s">
        <v>1312</v>
      </c>
      <c r="C73" s="348" t="s">
        <v>138</v>
      </c>
      <c r="D73" s="347" t="s">
        <v>235</v>
      </c>
      <c r="E73" s="104" t="s">
        <v>114</v>
      </c>
      <c r="F73" s="353" t="s">
        <v>88</v>
      </c>
      <c r="G73" s="353" t="s">
        <v>185</v>
      </c>
      <c r="H73" s="348" t="s">
        <v>97</v>
      </c>
      <c r="I73" s="353" t="s">
        <v>234</v>
      </c>
      <c r="J73" s="351" t="s">
        <v>83</v>
      </c>
      <c r="K73" s="352" t="s">
        <v>83</v>
      </c>
      <c r="L73" s="351" t="s">
        <v>83</v>
      </c>
      <c r="M73" s="351">
        <v>42128</v>
      </c>
      <c r="N73" s="352">
        <v>9</v>
      </c>
      <c r="O73" s="351">
        <v>42405</v>
      </c>
      <c r="P73" s="353" t="s">
        <v>122</v>
      </c>
      <c r="Q73" s="353" t="s">
        <v>123</v>
      </c>
      <c r="R73" s="353" t="s">
        <v>65</v>
      </c>
      <c r="S73" s="348" t="s">
        <v>118</v>
      </c>
      <c r="T73" s="348" t="s">
        <v>119</v>
      </c>
      <c r="U73" s="354">
        <f>5027556*1.1</f>
        <v>5530311.6000000006</v>
      </c>
      <c r="V73" s="109">
        <v>1900000</v>
      </c>
      <c r="W73" s="110">
        <v>0</v>
      </c>
      <c r="X73" s="355">
        <f t="shared" si="5"/>
        <v>5530311.6000000006</v>
      </c>
      <c r="Y73" s="355">
        <v>0</v>
      </c>
      <c r="Z73" s="355">
        <v>0</v>
      </c>
      <c r="AA73" s="356" t="s">
        <v>132</v>
      </c>
      <c r="AB73" s="357"/>
      <c r="AC73" s="357"/>
      <c r="AD73" s="357"/>
      <c r="AE73" s="357"/>
      <c r="AF73" s="357"/>
      <c r="AG73" s="147"/>
    </row>
    <row r="74" spans="1:256" s="182" customFormat="1" ht="33.75">
      <c r="A74" s="346">
        <v>20</v>
      </c>
      <c r="B74" s="347" t="s">
        <v>1313</v>
      </c>
      <c r="C74" s="348" t="s">
        <v>134</v>
      </c>
      <c r="D74" s="347" t="s">
        <v>235</v>
      </c>
      <c r="E74" s="104" t="s">
        <v>114</v>
      </c>
      <c r="F74" s="353" t="s">
        <v>141</v>
      </c>
      <c r="G74" s="353" t="s">
        <v>237</v>
      </c>
      <c r="H74" s="348" t="s">
        <v>3</v>
      </c>
      <c r="I74" s="353" t="s">
        <v>234</v>
      </c>
      <c r="J74" s="351" t="s">
        <v>83</v>
      </c>
      <c r="K74" s="352" t="s">
        <v>83</v>
      </c>
      <c r="L74" s="351" t="s">
        <v>83</v>
      </c>
      <c r="M74" s="351">
        <v>42128</v>
      </c>
      <c r="N74" s="352">
        <v>6</v>
      </c>
      <c r="O74" s="351">
        <v>42314</v>
      </c>
      <c r="P74" s="353" t="s">
        <v>122</v>
      </c>
      <c r="Q74" s="353" t="s">
        <v>123</v>
      </c>
      <c r="R74" s="353" t="s">
        <v>65</v>
      </c>
      <c r="S74" s="348" t="s">
        <v>118</v>
      </c>
      <c r="T74" s="348" t="s">
        <v>119</v>
      </c>
      <c r="U74" s="354">
        <f>2952627*1.1</f>
        <v>3247889.7</v>
      </c>
      <c r="V74" s="109">
        <v>1900000</v>
      </c>
      <c r="W74" s="110">
        <v>0</v>
      </c>
      <c r="X74" s="355">
        <f t="shared" si="5"/>
        <v>3247889.7</v>
      </c>
      <c r="Y74" s="355">
        <v>0</v>
      </c>
      <c r="Z74" s="355">
        <v>0</v>
      </c>
      <c r="AA74" s="356" t="s">
        <v>132</v>
      </c>
      <c r="AB74" s="357"/>
      <c r="AC74" s="357"/>
      <c r="AD74" s="357"/>
      <c r="AE74" s="357"/>
      <c r="AF74" s="357"/>
      <c r="AG74" s="147"/>
    </row>
    <row r="75" spans="1:256" s="182" customFormat="1" ht="33.75">
      <c r="A75" s="346">
        <v>21</v>
      </c>
      <c r="B75" s="347" t="s">
        <v>1314</v>
      </c>
      <c r="C75" s="348" t="s">
        <v>134</v>
      </c>
      <c r="D75" s="347" t="s">
        <v>235</v>
      </c>
      <c r="E75" s="104" t="s">
        <v>114</v>
      </c>
      <c r="F75" s="353" t="s">
        <v>141</v>
      </c>
      <c r="G75" s="353" t="s">
        <v>237</v>
      </c>
      <c r="H75" s="348" t="s">
        <v>3</v>
      </c>
      <c r="I75" s="353" t="s">
        <v>234</v>
      </c>
      <c r="J75" s="351" t="s">
        <v>83</v>
      </c>
      <c r="K75" s="352" t="s">
        <v>83</v>
      </c>
      <c r="L75" s="351" t="s">
        <v>83</v>
      </c>
      <c r="M75" s="351">
        <v>42128</v>
      </c>
      <c r="N75" s="352">
        <v>6</v>
      </c>
      <c r="O75" s="351">
        <v>42314</v>
      </c>
      <c r="P75" s="353" t="s">
        <v>122</v>
      </c>
      <c r="Q75" s="353" t="s">
        <v>123</v>
      </c>
      <c r="R75" s="353" t="s">
        <v>65</v>
      </c>
      <c r="S75" s="348" t="s">
        <v>118</v>
      </c>
      <c r="T75" s="348" t="s">
        <v>119</v>
      </c>
      <c r="U75" s="354">
        <f>2617031*1.1</f>
        <v>2878734.1</v>
      </c>
      <c r="V75" s="109">
        <v>1900000</v>
      </c>
      <c r="W75" s="110">
        <v>0</v>
      </c>
      <c r="X75" s="355">
        <f t="shared" si="5"/>
        <v>2878734.1</v>
      </c>
      <c r="Y75" s="355">
        <v>0</v>
      </c>
      <c r="Z75" s="355">
        <v>0</v>
      </c>
      <c r="AA75" s="356" t="s">
        <v>132</v>
      </c>
      <c r="AB75" s="357"/>
      <c r="AC75" s="357"/>
      <c r="AD75" s="357"/>
      <c r="AE75" s="357"/>
      <c r="AF75" s="357"/>
      <c r="AG75" s="147"/>
    </row>
    <row r="76" spans="1:256" s="182" customFormat="1" ht="33.75">
      <c r="A76" s="346">
        <v>22</v>
      </c>
      <c r="B76" s="347" t="s">
        <v>1315</v>
      </c>
      <c r="C76" s="348" t="s">
        <v>134</v>
      </c>
      <c r="D76" s="347" t="s">
        <v>235</v>
      </c>
      <c r="E76" s="104" t="s">
        <v>114</v>
      </c>
      <c r="F76" s="353" t="s">
        <v>91</v>
      </c>
      <c r="G76" s="353" t="s">
        <v>243</v>
      </c>
      <c r="H76" s="348" t="s">
        <v>189</v>
      </c>
      <c r="I76" s="353" t="s">
        <v>234</v>
      </c>
      <c r="J76" s="351" t="s">
        <v>83</v>
      </c>
      <c r="K76" s="352" t="s">
        <v>83</v>
      </c>
      <c r="L76" s="351" t="s">
        <v>83</v>
      </c>
      <c r="M76" s="351">
        <v>42128</v>
      </c>
      <c r="N76" s="352">
        <v>6</v>
      </c>
      <c r="O76" s="351">
        <v>42314</v>
      </c>
      <c r="P76" s="353" t="s">
        <v>122</v>
      </c>
      <c r="Q76" s="353" t="s">
        <v>123</v>
      </c>
      <c r="R76" s="353" t="s">
        <v>65</v>
      </c>
      <c r="S76" s="348" t="s">
        <v>118</v>
      </c>
      <c r="T76" s="348" t="s">
        <v>119</v>
      </c>
      <c r="U76" s="354">
        <f>2502998*1.1</f>
        <v>2753297.8000000003</v>
      </c>
      <c r="V76" s="109">
        <v>1900000</v>
      </c>
      <c r="W76" s="110">
        <v>0</v>
      </c>
      <c r="X76" s="355">
        <f t="shared" si="5"/>
        <v>2753297.8000000003</v>
      </c>
      <c r="Y76" s="355">
        <v>0</v>
      </c>
      <c r="Z76" s="355">
        <v>0</v>
      </c>
      <c r="AA76" s="356" t="s">
        <v>132</v>
      </c>
      <c r="AB76" s="357"/>
      <c r="AC76" s="357"/>
      <c r="AD76" s="357"/>
      <c r="AE76" s="357"/>
      <c r="AF76" s="357"/>
      <c r="AG76" s="147"/>
    </row>
    <row r="77" spans="1:256" s="182" customFormat="1" ht="33.75">
      <c r="A77" s="346">
        <v>23</v>
      </c>
      <c r="B77" s="347" t="s">
        <v>1316</v>
      </c>
      <c r="C77" s="348" t="s">
        <v>134</v>
      </c>
      <c r="D77" s="347" t="s">
        <v>235</v>
      </c>
      <c r="E77" s="104" t="s">
        <v>114</v>
      </c>
      <c r="F77" s="353" t="s">
        <v>88</v>
      </c>
      <c r="G77" s="353" t="s">
        <v>129</v>
      </c>
      <c r="H77" s="353" t="s">
        <v>240</v>
      </c>
      <c r="I77" s="353" t="s">
        <v>234</v>
      </c>
      <c r="J77" s="351" t="s">
        <v>83</v>
      </c>
      <c r="K77" s="352" t="s">
        <v>83</v>
      </c>
      <c r="L77" s="351" t="s">
        <v>83</v>
      </c>
      <c r="M77" s="351">
        <v>42128</v>
      </c>
      <c r="N77" s="352">
        <v>6</v>
      </c>
      <c r="O77" s="351">
        <v>42314</v>
      </c>
      <c r="P77" s="353" t="s">
        <v>122</v>
      </c>
      <c r="Q77" s="353" t="s">
        <v>123</v>
      </c>
      <c r="R77" s="353" t="s">
        <v>65</v>
      </c>
      <c r="S77" s="348" t="s">
        <v>118</v>
      </c>
      <c r="T77" s="348" t="s">
        <v>119</v>
      </c>
      <c r="U77" s="354">
        <f>2568937*1.1</f>
        <v>2825830.7</v>
      </c>
      <c r="V77" s="109">
        <v>1900000</v>
      </c>
      <c r="W77" s="110">
        <v>0</v>
      </c>
      <c r="X77" s="355">
        <f t="shared" si="5"/>
        <v>2825830.7</v>
      </c>
      <c r="Y77" s="355">
        <v>0</v>
      </c>
      <c r="Z77" s="355">
        <v>0</v>
      </c>
      <c r="AA77" s="356" t="s">
        <v>132</v>
      </c>
      <c r="AB77" s="357"/>
      <c r="AC77" s="357"/>
      <c r="AD77" s="357"/>
      <c r="AE77" s="357"/>
      <c r="AF77" s="357"/>
      <c r="AG77" s="147"/>
    </row>
    <row r="78" spans="1:256" s="182" customFormat="1" ht="33.75">
      <c r="A78" s="346">
        <v>24</v>
      </c>
      <c r="B78" s="347" t="s">
        <v>1317</v>
      </c>
      <c r="C78" s="348" t="s">
        <v>134</v>
      </c>
      <c r="D78" s="347" t="s">
        <v>235</v>
      </c>
      <c r="E78" s="104" t="s">
        <v>114</v>
      </c>
      <c r="F78" s="353" t="s">
        <v>91</v>
      </c>
      <c r="G78" s="353" t="s">
        <v>243</v>
      </c>
      <c r="H78" s="348" t="s">
        <v>189</v>
      </c>
      <c r="I78" s="353" t="s">
        <v>234</v>
      </c>
      <c r="J78" s="351" t="s">
        <v>83</v>
      </c>
      <c r="K78" s="352" t="s">
        <v>83</v>
      </c>
      <c r="L78" s="351" t="s">
        <v>83</v>
      </c>
      <c r="M78" s="351">
        <v>42128</v>
      </c>
      <c r="N78" s="352">
        <v>6</v>
      </c>
      <c r="O78" s="351">
        <v>42314</v>
      </c>
      <c r="P78" s="353" t="s">
        <v>122</v>
      </c>
      <c r="Q78" s="353" t="s">
        <v>123</v>
      </c>
      <c r="R78" s="353" t="s">
        <v>65</v>
      </c>
      <c r="S78" s="348" t="s">
        <v>118</v>
      </c>
      <c r="T78" s="348" t="s">
        <v>119</v>
      </c>
      <c r="U78" s="354">
        <f>2573719*1.1</f>
        <v>2831090.9000000004</v>
      </c>
      <c r="V78" s="109">
        <v>1900000</v>
      </c>
      <c r="W78" s="110">
        <v>0</v>
      </c>
      <c r="X78" s="355">
        <f t="shared" si="5"/>
        <v>2831090.9000000004</v>
      </c>
      <c r="Y78" s="355">
        <v>0</v>
      </c>
      <c r="Z78" s="355">
        <v>0</v>
      </c>
      <c r="AA78" s="356" t="s">
        <v>132</v>
      </c>
      <c r="AB78" s="357"/>
      <c r="AC78" s="357"/>
      <c r="AD78" s="357"/>
      <c r="AE78" s="357"/>
      <c r="AF78" s="357"/>
      <c r="AG78" s="147"/>
    </row>
    <row r="79" spans="1:256" s="182" customFormat="1" ht="22.5">
      <c r="A79" s="346">
        <v>25</v>
      </c>
      <c r="B79" s="350" t="s">
        <v>1318</v>
      </c>
      <c r="C79" s="348" t="str">
        <f>+'[1]Baseline 1'!D244</f>
        <v>S</v>
      </c>
      <c r="D79" s="350">
        <f>+'[1]Baseline 1'!E244</f>
        <v>800005421</v>
      </c>
      <c r="E79" s="102" t="str">
        <f>+'[1]Baseline 1'!G244</f>
        <v>Capital Assets</v>
      </c>
      <c r="F79" s="348" t="str">
        <f>+'[1]Baseline 1'!H244</f>
        <v>Nkangala</v>
      </c>
      <c r="G79" s="348" t="str">
        <f>+'[1]Baseline 1'!I244</f>
        <v>Kwaggafontein East</v>
      </c>
      <c r="H79" s="348" t="str">
        <f>+'[1]Baseline 1'!J244</f>
        <v>Thembisile Hani</v>
      </c>
      <c r="I79" s="348" t="str">
        <f>+'[1]Baseline 1'!M244</f>
        <v>Dinaledi Schools</v>
      </c>
      <c r="J79" s="351" t="s">
        <v>83</v>
      </c>
      <c r="K79" s="352" t="s">
        <v>83</v>
      </c>
      <c r="L79" s="351" t="s">
        <v>83</v>
      </c>
      <c r="M79" s="351">
        <v>42050</v>
      </c>
      <c r="N79" s="352">
        <v>6</v>
      </c>
      <c r="O79" s="351">
        <v>42230</v>
      </c>
      <c r="P79" s="353" t="s">
        <v>236</v>
      </c>
      <c r="Q79" s="353" t="s">
        <v>123</v>
      </c>
      <c r="R79" s="348" t="s">
        <v>65</v>
      </c>
      <c r="S79" s="348" t="s">
        <v>118</v>
      </c>
      <c r="T79" s="348" t="s">
        <v>119</v>
      </c>
      <c r="U79" s="354">
        <f>+'[1]Baseline 1'!AA244</f>
        <v>1928746.79</v>
      </c>
      <c r="V79" s="109">
        <v>0</v>
      </c>
      <c r="W79" s="110">
        <v>0</v>
      </c>
      <c r="X79" s="355">
        <f>+U79*0.8</f>
        <v>1542997.432</v>
      </c>
      <c r="Y79" s="355">
        <v>0</v>
      </c>
      <c r="Z79" s="355">
        <v>0</v>
      </c>
      <c r="AA79" s="356" t="s">
        <v>132</v>
      </c>
      <c r="AB79" s="357"/>
      <c r="AC79" s="357"/>
      <c r="AD79" s="357"/>
      <c r="AE79" s="357"/>
      <c r="AF79" s="357"/>
      <c r="AG79" s="147"/>
    </row>
    <row r="80" spans="1:256" s="229" customFormat="1" ht="90" hidden="1" customHeight="1">
      <c r="A80" s="101">
        <f>+A79+1</f>
        <v>26</v>
      </c>
      <c r="B80" s="103" t="s">
        <v>244</v>
      </c>
      <c r="C80" s="104" t="s">
        <v>140</v>
      </c>
      <c r="D80" s="103" t="s">
        <v>246</v>
      </c>
      <c r="E80" s="104" t="s">
        <v>114</v>
      </c>
      <c r="F80" s="103" t="s">
        <v>84</v>
      </c>
      <c r="G80" s="106" t="s">
        <v>245</v>
      </c>
      <c r="H80" s="102" t="s">
        <v>14</v>
      </c>
      <c r="I80" s="103" t="s">
        <v>136</v>
      </c>
      <c r="J80" s="224">
        <v>42461</v>
      </c>
      <c r="K80" s="224"/>
      <c r="L80" s="224">
        <f t="shared" si="4"/>
        <v>42461</v>
      </c>
      <c r="M80" s="224">
        <v>42824</v>
      </c>
      <c r="N80" s="224"/>
      <c r="O80" s="224">
        <f t="shared" si="2"/>
        <v>42824</v>
      </c>
      <c r="P80" s="105" t="s">
        <v>122</v>
      </c>
      <c r="Q80" s="103" t="s">
        <v>115</v>
      </c>
      <c r="R80" s="103"/>
      <c r="S80" s="104" t="s">
        <v>138</v>
      </c>
      <c r="T80" s="104" t="s">
        <v>119</v>
      </c>
      <c r="U80" s="110">
        <v>42000000</v>
      </c>
      <c r="V80" s="109">
        <v>0</v>
      </c>
      <c r="W80" s="110">
        <v>0</v>
      </c>
      <c r="X80" s="259">
        <v>0</v>
      </c>
      <c r="Y80" s="260">
        <f>+U80*0.235*0.3</f>
        <v>2961000</v>
      </c>
      <c r="Z80" s="259">
        <f>+U80-Y80-AA80</f>
        <v>23439000</v>
      </c>
      <c r="AA80" s="226">
        <v>15600000</v>
      </c>
      <c r="AB80" s="219"/>
      <c r="AC80" s="219"/>
      <c r="AD80" s="219"/>
      <c r="AE80" s="219"/>
      <c r="AF80" s="219"/>
      <c r="AG80" s="100"/>
      <c r="AH80" s="227"/>
      <c r="AI80" s="228"/>
      <c r="AJ80" s="228"/>
      <c r="AK80" s="228"/>
      <c r="AL80" s="228"/>
      <c r="AM80" s="228"/>
      <c r="AN80" s="228"/>
      <c r="AO80" s="228"/>
      <c r="AP80" s="228"/>
      <c r="AQ80" s="228"/>
      <c r="AR80" s="228"/>
      <c r="AS80" s="228"/>
      <c r="AT80" s="228"/>
      <c r="AU80" s="228"/>
      <c r="AV80" s="228"/>
      <c r="AW80" s="228"/>
      <c r="AX80" s="228"/>
      <c r="AY80" s="228"/>
      <c r="AZ80" s="228"/>
      <c r="BA80" s="228"/>
      <c r="BB80" s="228"/>
      <c r="BC80" s="228"/>
      <c r="BD80" s="228"/>
      <c r="BE80" s="228"/>
      <c r="BF80" s="228"/>
      <c r="BG80" s="228"/>
      <c r="BH80" s="228"/>
      <c r="BI80" s="228"/>
      <c r="BJ80" s="228"/>
      <c r="BK80" s="228"/>
      <c r="BL80" s="228"/>
      <c r="BM80" s="228"/>
      <c r="BN80" s="228"/>
      <c r="BO80" s="228"/>
      <c r="BP80" s="228"/>
      <c r="BQ80" s="228"/>
      <c r="BR80" s="228"/>
      <c r="BS80" s="228"/>
      <c r="BT80" s="228"/>
      <c r="BU80" s="228"/>
      <c r="BV80" s="228"/>
      <c r="BW80" s="228"/>
      <c r="BX80" s="228"/>
      <c r="BY80" s="228"/>
      <c r="BZ80" s="228"/>
      <c r="CA80" s="228"/>
      <c r="CB80" s="228"/>
      <c r="CC80" s="228"/>
      <c r="CD80" s="228"/>
      <c r="CE80" s="228"/>
      <c r="CF80" s="228"/>
      <c r="CG80" s="228"/>
      <c r="CH80" s="228"/>
      <c r="CI80" s="228"/>
      <c r="CJ80" s="228"/>
      <c r="CK80" s="228"/>
      <c r="CL80" s="228"/>
      <c r="CM80" s="228"/>
      <c r="CN80" s="228"/>
      <c r="CO80" s="228"/>
      <c r="CP80" s="228"/>
      <c r="CQ80" s="228"/>
      <c r="CR80" s="228"/>
      <c r="CS80" s="228"/>
      <c r="CT80" s="228"/>
      <c r="CU80" s="228"/>
      <c r="CV80" s="228"/>
      <c r="CW80" s="228"/>
      <c r="CX80" s="228"/>
      <c r="CY80" s="228"/>
      <c r="CZ80" s="228"/>
      <c r="DA80" s="228"/>
      <c r="DB80" s="228"/>
      <c r="DC80" s="228"/>
      <c r="DD80" s="228"/>
      <c r="DE80" s="228"/>
      <c r="DF80" s="228"/>
      <c r="DG80" s="228"/>
      <c r="DH80" s="228"/>
      <c r="DI80" s="228"/>
      <c r="DJ80" s="228"/>
      <c r="DK80" s="228"/>
      <c r="DL80" s="228"/>
      <c r="DM80" s="228"/>
      <c r="DN80" s="228"/>
      <c r="DO80" s="228"/>
      <c r="DP80" s="228"/>
      <c r="DQ80" s="228"/>
      <c r="DR80" s="228"/>
      <c r="DS80" s="228"/>
      <c r="DT80" s="228"/>
      <c r="DU80" s="228"/>
      <c r="DV80" s="228"/>
      <c r="DW80" s="228"/>
      <c r="DX80" s="228"/>
      <c r="DY80" s="228"/>
      <c r="DZ80" s="228"/>
      <c r="EA80" s="228"/>
      <c r="EB80" s="228"/>
      <c r="EC80" s="228"/>
      <c r="ED80" s="228"/>
      <c r="EE80" s="228"/>
      <c r="EF80" s="228"/>
      <c r="EG80" s="228"/>
      <c r="EH80" s="228"/>
      <c r="EI80" s="228"/>
      <c r="EJ80" s="228"/>
      <c r="EK80" s="228"/>
      <c r="EL80" s="228"/>
      <c r="EM80" s="228"/>
      <c r="EN80" s="228"/>
      <c r="EO80" s="228"/>
      <c r="EP80" s="228"/>
      <c r="EQ80" s="228"/>
      <c r="ER80" s="228"/>
      <c r="ES80" s="228"/>
      <c r="ET80" s="228"/>
      <c r="EU80" s="228"/>
      <c r="EV80" s="228"/>
      <c r="EW80" s="228"/>
      <c r="EX80" s="228"/>
      <c r="EY80" s="228"/>
      <c r="EZ80" s="228"/>
      <c r="FA80" s="228"/>
      <c r="FB80" s="228"/>
      <c r="FC80" s="228"/>
      <c r="FD80" s="228"/>
      <c r="FE80" s="228"/>
      <c r="FF80" s="228"/>
      <c r="FG80" s="228"/>
      <c r="FH80" s="228"/>
      <c r="FI80" s="228"/>
      <c r="FJ80" s="228"/>
      <c r="FK80" s="228"/>
      <c r="FL80" s="228"/>
      <c r="FM80" s="228"/>
      <c r="FN80" s="228"/>
      <c r="FO80" s="228"/>
      <c r="FP80" s="228"/>
      <c r="FQ80" s="228"/>
      <c r="FR80" s="228"/>
      <c r="FS80" s="228"/>
      <c r="FT80" s="228"/>
      <c r="FU80" s="228"/>
      <c r="FV80" s="228"/>
      <c r="FW80" s="228"/>
      <c r="FX80" s="228"/>
      <c r="FY80" s="228"/>
      <c r="FZ80" s="228"/>
      <c r="GA80" s="228"/>
      <c r="GB80" s="228"/>
      <c r="GC80" s="228"/>
      <c r="GD80" s="228"/>
      <c r="GE80" s="228"/>
      <c r="GF80" s="228"/>
      <c r="GG80" s="228"/>
      <c r="GH80" s="228"/>
      <c r="GI80" s="228"/>
      <c r="GJ80" s="228"/>
      <c r="GK80" s="228"/>
      <c r="GL80" s="228"/>
      <c r="GM80" s="228"/>
      <c r="GN80" s="228"/>
      <c r="GO80" s="228"/>
      <c r="GP80" s="228"/>
      <c r="GQ80" s="228"/>
      <c r="GR80" s="228"/>
      <c r="GS80" s="228"/>
      <c r="GT80" s="228"/>
      <c r="GU80" s="228"/>
      <c r="GV80" s="228"/>
      <c r="GW80" s="228"/>
      <c r="GX80" s="228"/>
      <c r="GY80" s="228"/>
      <c r="GZ80" s="228"/>
      <c r="HA80" s="228"/>
      <c r="HB80" s="228"/>
      <c r="HC80" s="228"/>
      <c r="HD80" s="228"/>
      <c r="HE80" s="228"/>
      <c r="HF80" s="228"/>
      <c r="HG80" s="228"/>
      <c r="HH80" s="228"/>
      <c r="HI80" s="228"/>
      <c r="HJ80" s="228"/>
      <c r="HK80" s="228"/>
      <c r="HL80" s="228"/>
      <c r="HM80" s="228"/>
      <c r="HN80" s="228"/>
      <c r="HO80" s="228"/>
      <c r="HP80" s="228"/>
      <c r="HQ80" s="228"/>
      <c r="HR80" s="228"/>
      <c r="HS80" s="228"/>
      <c r="HT80" s="228"/>
      <c r="HU80" s="228"/>
      <c r="HV80" s="228"/>
      <c r="HW80" s="228"/>
      <c r="HX80" s="228"/>
      <c r="HY80" s="228"/>
      <c r="HZ80" s="228"/>
      <c r="IA80" s="228"/>
      <c r="IB80" s="228"/>
      <c r="IC80" s="228"/>
      <c r="ID80" s="228"/>
      <c r="IE80" s="228"/>
      <c r="IF80" s="228"/>
      <c r="IG80" s="228"/>
      <c r="IH80" s="228"/>
      <c r="II80" s="228"/>
      <c r="IJ80" s="228"/>
      <c r="IK80" s="228"/>
      <c r="IL80" s="228"/>
      <c r="IM80" s="228"/>
      <c r="IN80" s="228"/>
      <c r="IO80" s="228"/>
      <c r="IP80" s="228"/>
      <c r="IQ80" s="228"/>
      <c r="IR80" s="228"/>
      <c r="IS80" s="228"/>
      <c r="IT80" s="228"/>
      <c r="IU80" s="228"/>
      <c r="IV80" s="228"/>
    </row>
    <row r="81" spans="1:256" s="229" customFormat="1" ht="90" hidden="1" customHeight="1">
      <c r="A81" s="101">
        <f>+A80+1</f>
        <v>27</v>
      </c>
      <c r="B81" s="103" t="s">
        <v>247</v>
      </c>
      <c r="C81" s="104" t="s">
        <v>140</v>
      </c>
      <c r="D81" s="103" t="s">
        <v>249</v>
      </c>
      <c r="E81" s="104" t="s">
        <v>114</v>
      </c>
      <c r="F81" s="103" t="s">
        <v>84</v>
      </c>
      <c r="G81" s="106" t="s">
        <v>248</v>
      </c>
      <c r="H81" s="102" t="s">
        <v>39</v>
      </c>
      <c r="I81" s="103" t="s">
        <v>173</v>
      </c>
      <c r="J81" s="224">
        <v>42095</v>
      </c>
      <c r="K81" s="224"/>
      <c r="L81" s="224">
        <f t="shared" si="4"/>
        <v>42095</v>
      </c>
      <c r="M81" s="224">
        <v>42459</v>
      </c>
      <c r="N81" s="224"/>
      <c r="O81" s="224">
        <f t="shared" si="2"/>
        <v>42459</v>
      </c>
      <c r="P81" s="105" t="s">
        <v>122</v>
      </c>
      <c r="Q81" s="103" t="s">
        <v>123</v>
      </c>
      <c r="R81" s="103"/>
      <c r="S81" s="104" t="s">
        <v>143</v>
      </c>
      <c r="T81" s="104" t="s">
        <v>119</v>
      </c>
      <c r="U81" s="110">
        <v>9767160.9000000004</v>
      </c>
      <c r="V81" s="109">
        <v>0</v>
      </c>
      <c r="W81" s="110">
        <v>0</v>
      </c>
      <c r="X81" s="259">
        <f>+U81*0.235*0.3</f>
        <v>688584.84344999993</v>
      </c>
      <c r="Y81" s="259">
        <f>+U81-X81</f>
        <v>9078576.0565499999</v>
      </c>
      <c r="Z81" s="259">
        <v>0</v>
      </c>
      <c r="AA81" s="226">
        <f>+(U81+X293)*0.01</f>
        <v>97671.609000000011</v>
      </c>
      <c r="AB81" s="219"/>
      <c r="AC81" s="219"/>
      <c r="AD81" s="219"/>
      <c r="AE81" s="219"/>
      <c r="AF81" s="219"/>
      <c r="AG81" s="100"/>
      <c r="AH81" s="230"/>
      <c r="AL81" s="229">
        <f>SUM(BK81:BV81)</f>
        <v>6938334.3928798474</v>
      </c>
      <c r="AM81" s="229">
        <v>54765.238073732864</v>
      </c>
      <c r="AN81" s="229">
        <v>164295.71422119858</v>
      </c>
      <c r="AO81" s="229">
        <v>273826.19036866428</v>
      </c>
      <c r="AP81" s="229">
        <v>383356.66651613009</v>
      </c>
      <c r="AQ81" s="229">
        <v>492887.1426635955</v>
      </c>
      <c r="AR81" s="229">
        <v>602417.61881106161</v>
      </c>
      <c r="AS81" s="229">
        <v>711948.09495852748</v>
      </c>
      <c r="AT81" s="229">
        <v>821478.57110599289</v>
      </c>
      <c r="AU81" s="229">
        <v>931009.04725345783</v>
      </c>
      <c r="AV81" s="229">
        <v>1040539.5234009242</v>
      </c>
      <c r="AW81" s="229">
        <v>1150069.9995483886</v>
      </c>
      <c r="AX81" s="229">
        <v>1259600.4756958578</v>
      </c>
      <c r="AY81" s="229">
        <v>1369130.9518433213</v>
      </c>
      <c r="AZ81" s="229">
        <v>1478661.4279907886</v>
      </c>
      <c r="BA81" s="229">
        <v>1588191.9041382521</v>
      </c>
      <c r="BB81" s="229">
        <v>1697722.3802857194</v>
      </c>
      <c r="BC81" s="229">
        <v>1807252.856433183</v>
      </c>
      <c r="BD81" s="229">
        <v>1916783.3325806484</v>
      </c>
      <c r="BE81" s="229">
        <v>2026313.8087281212</v>
      </c>
      <c r="BF81" s="229">
        <v>2135844.2848755755</v>
      </c>
      <c r="BG81" s="229">
        <v>2139088.0720537938</v>
      </c>
      <c r="BH81" s="229">
        <v>1970144.3337806985</v>
      </c>
      <c r="BI81" s="229">
        <v>1798827.4351910762</v>
      </c>
      <c r="BJ81" s="229">
        <v>1627510.5366014428</v>
      </c>
      <c r="BK81" s="229">
        <v>1456193.6380118206</v>
      </c>
      <c r="BL81" s="229">
        <v>1284876.7394221909</v>
      </c>
      <c r="BM81" s="229">
        <v>1113559.8408325687</v>
      </c>
      <c r="BN81" s="229">
        <v>942242.94224294275</v>
      </c>
      <c r="BO81" s="229">
        <v>770926.0436533168</v>
      </c>
      <c r="BP81" s="229">
        <v>599609.14506369084</v>
      </c>
      <c r="BQ81" s="229">
        <v>428292.24647406489</v>
      </c>
      <c r="BR81" s="229">
        <v>256975.34788443893</v>
      </c>
      <c r="BS81" s="229">
        <v>85658.449294812977</v>
      </c>
    </row>
    <row r="82" spans="1:256" s="229" customFormat="1" ht="90" hidden="1" customHeight="1">
      <c r="A82" s="101">
        <f>+A81+1</f>
        <v>28</v>
      </c>
      <c r="B82" s="103" t="s">
        <v>250</v>
      </c>
      <c r="C82" s="104" t="s">
        <v>140</v>
      </c>
      <c r="D82" s="103" t="s">
        <v>252</v>
      </c>
      <c r="E82" s="104" t="s">
        <v>114</v>
      </c>
      <c r="F82" s="103" t="s">
        <v>141</v>
      </c>
      <c r="G82" s="106" t="s">
        <v>224</v>
      </c>
      <c r="H82" s="102" t="s">
        <v>3</v>
      </c>
      <c r="I82" s="103" t="s">
        <v>216</v>
      </c>
      <c r="J82" s="224">
        <v>42491</v>
      </c>
      <c r="K82" s="224"/>
      <c r="L82" s="224">
        <f t="shared" si="4"/>
        <v>42491</v>
      </c>
      <c r="M82" s="224">
        <v>42825</v>
      </c>
      <c r="N82" s="224"/>
      <c r="O82" s="224">
        <f t="shared" si="2"/>
        <v>42825</v>
      </c>
      <c r="P82" s="105" t="s">
        <v>215</v>
      </c>
      <c r="Q82" s="103" t="s">
        <v>251</v>
      </c>
      <c r="R82" s="103"/>
      <c r="S82" s="104" t="s">
        <v>138</v>
      </c>
      <c r="T82" s="110" t="s">
        <v>253</v>
      </c>
      <c r="U82" s="110">
        <v>10800000</v>
      </c>
      <c r="V82" s="109">
        <v>0</v>
      </c>
      <c r="W82" s="110">
        <v>0</v>
      </c>
      <c r="X82" s="259">
        <v>0</v>
      </c>
      <c r="Y82" s="260">
        <f>+U82</f>
        <v>10800000</v>
      </c>
      <c r="Z82" s="259">
        <v>0</v>
      </c>
      <c r="AA82" s="226">
        <v>0</v>
      </c>
      <c r="AB82" s="219"/>
      <c r="AC82" s="219"/>
      <c r="AD82" s="219"/>
      <c r="AE82" s="219"/>
      <c r="AF82" s="219"/>
      <c r="AG82" s="100"/>
      <c r="AH82" s="230"/>
    </row>
    <row r="83" spans="1:256" s="229" customFormat="1" ht="90" hidden="1" customHeight="1">
      <c r="A83" s="101">
        <f>+A76+1</f>
        <v>23</v>
      </c>
      <c r="B83" s="103" t="s">
        <v>254</v>
      </c>
      <c r="C83" s="104" t="s">
        <v>140</v>
      </c>
      <c r="D83" s="103" t="s">
        <v>256</v>
      </c>
      <c r="E83" s="104" t="s">
        <v>114</v>
      </c>
      <c r="F83" s="103" t="s">
        <v>88</v>
      </c>
      <c r="G83" s="106" t="s">
        <v>255</v>
      </c>
      <c r="H83" s="103" t="s">
        <v>240</v>
      </c>
      <c r="I83" s="103" t="s">
        <v>173</v>
      </c>
      <c r="J83" s="224">
        <v>42156</v>
      </c>
      <c r="K83" s="224"/>
      <c r="L83" s="224">
        <f t="shared" si="4"/>
        <v>42156</v>
      </c>
      <c r="M83" s="224">
        <v>42521</v>
      </c>
      <c r="N83" s="224"/>
      <c r="O83" s="224">
        <f t="shared" si="2"/>
        <v>42521</v>
      </c>
      <c r="P83" s="105" t="s">
        <v>122</v>
      </c>
      <c r="Q83" s="103" t="s">
        <v>123</v>
      </c>
      <c r="R83" s="103"/>
      <c r="S83" s="104" t="s">
        <v>143</v>
      </c>
      <c r="T83" s="110" t="s">
        <v>253</v>
      </c>
      <c r="U83" s="110">
        <v>12486148.4</v>
      </c>
      <c r="V83" s="109">
        <v>0</v>
      </c>
      <c r="W83" s="110">
        <v>0</v>
      </c>
      <c r="X83" s="259">
        <f>775693+11086148</f>
        <v>11861841</v>
      </c>
      <c r="Y83" s="260">
        <f>+U83*0.05</f>
        <v>624307.42000000004</v>
      </c>
      <c r="Z83" s="259">
        <v>0</v>
      </c>
      <c r="AA83" s="226">
        <f>+U83*0.01</f>
        <v>124861.48400000001</v>
      </c>
      <c r="AB83" s="219"/>
      <c r="AC83" s="219"/>
      <c r="AD83" s="219"/>
      <c r="AE83" s="219"/>
      <c r="AF83" s="219"/>
      <c r="AG83" s="100"/>
      <c r="AH83" s="230"/>
    </row>
    <row r="84" spans="1:256" s="229" customFormat="1" ht="90" hidden="1" customHeight="1">
      <c r="A84" s="101">
        <f>+A83+1</f>
        <v>24</v>
      </c>
      <c r="B84" s="103" t="s">
        <v>257</v>
      </c>
      <c r="C84" s="104" t="s">
        <v>140</v>
      </c>
      <c r="D84" s="103" t="s">
        <v>258</v>
      </c>
      <c r="E84" s="104" t="s">
        <v>114</v>
      </c>
      <c r="F84" s="103" t="s">
        <v>84</v>
      </c>
      <c r="G84" s="106" t="s">
        <v>158</v>
      </c>
      <c r="H84" s="102" t="s">
        <v>96</v>
      </c>
      <c r="I84" s="103" t="s">
        <v>136</v>
      </c>
      <c r="J84" s="224">
        <v>42461</v>
      </c>
      <c r="K84" s="224"/>
      <c r="L84" s="224">
        <f t="shared" si="4"/>
        <v>42461</v>
      </c>
      <c r="M84" s="224">
        <v>42916</v>
      </c>
      <c r="N84" s="224"/>
      <c r="O84" s="224">
        <f t="shared" si="2"/>
        <v>42916</v>
      </c>
      <c r="P84" s="105" t="s">
        <v>122</v>
      </c>
      <c r="Q84" s="103" t="s">
        <v>115</v>
      </c>
      <c r="R84" s="103"/>
      <c r="S84" s="104" t="s">
        <v>143</v>
      </c>
      <c r="T84" s="110" t="s">
        <v>253</v>
      </c>
      <c r="U84" s="110">
        <v>21177012.780000001</v>
      </c>
      <c r="V84" s="109">
        <v>0</v>
      </c>
      <c r="W84" s="110">
        <v>0</v>
      </c>
      <c r="X84" s="259">
        <v>500000</v>
      </c>
      <c r="Y84" s="260">
        <v>16177013</v>
      </c>
      <c r="Z84" s="259">
        <v>4500000</v>
      </c>
      <c r="AA84" s="226">
        <v>0</v>
      </c>
      <c r="AB84" s="219"/>
      <c r="AC84" s="219"/>
      <c r="AD84" s="219"/>
      <c r="AE84" s="219"/>
      <c r="AF84" s="219"/>
      <c r="AG84" s="100"/>
      <c r="AH84" s="230"/>
    </row>
    <row r="85" spans="1:256" s="229" customFormat="1" ht="90" hidden="1" customHeight="1">
      <c r="A85" s="101">
        <f>+A84+1</f>
        <v>25</v>
      </c>
      <c r="B85" s="103" t="s">
        <v>259</v>
      </c>
      <c r="C85" s="104" t="s">
        <v>140</v>
      </c>
      <c r="D85" s="103" t="s">
        <v>260</v>
      </c>
      <c r="E85" s="104" t="s">
        <v>114</v>
      </c>
      <c r="F85" s="103" t="s">
        <v>91</v>
      </c>
      <c r="G85" s="106" t="s">
        <v>199</v>
      </c>
      <c r="H85" s="102" t="s">
        <v>200</v>
      </c>
      <c r="I85" s="103" t="s">
        <v>173</v>
      </c>
      <c r="J85" s="224">
        <v>41487</v>
      </c>
      <c r="K85" s="224"/>
      <c r="L85" s="224">
        <f t="shared" si="4"/>
        <v>41487</v>
      </c>
      <c r="M85" s="224">
        <v>42094</v>
      </c>
      <c r="N85" s="224"/>
      <c r="O85" s="224">
        <f t="shared" si="2"/>
        <v>42094</v>
      </c>
      <c r="P85" s="105" t="s">
        <v>122</v>
      </c>
      <c r="Q85" s="103" t="s">
        <v>123</v>
      </c>
      <c r="R85" s="103"/>
      <c r="S85" s="104" t="s">
        <v>138</v>
      </c>
      <c r="T85" s="110" t="s">
        <v>253</v>
      </c>
      <c r="U85" s="110">
        <f>+(1350713+929210+1247367+12*1022001/14+4298671+250000+1050000+150000+16*190000)*1.23*1.07</f>
        <v>17361941.000185717</v>
      </c>
      <c r="V85" s="109">
        <v>0</v>
      </c>
      <c r="W85" s="110">
        <v>0</v>
      </c>
      <c r="X85" s="259">
        <v>0</v>
      </c>
      <c r="Y85" s="260">
        <f>+U85*0.235*0.3</f>
        <v>1224016.8405130929</v>
      </c>
      <c r="Z85" s="259">
        <f>+U85-Y85-AA85</f>
        <v>15096207.69966148</v>
      </c>
      <c r="AA85" s="226">
        <f>+U85*0.06</f>
        <v>1041716.460011143</v>
      </c>
      <c r="AB85" s="219"/>
      <c r="AC85" s="219"/>
      <c r="AD85" s="219"/>
      <c r="AE85" s="219"/>
      <c r="AF85" s="219"/>
      <c r="AG85" s="100"/>
      <c r="AH85" s="230"/>
    </row>
    <row r="86" spans="1:256" s="229" customFormat="1" ht="90" hidden="1" customHeight="1">
      <c r="A86" s="346">
        <f>+A79+1</f>
        <v>26</v>
      </c>
      <c r="B86" s="347" t="s">
        <v>261</v>
      </c>
      <c r="C86" s="348" t="s">
        <v>134</v>
      </c>
      <c r="D86" s="347" t="s">
        <v>262</v>
      </c>
      <c r="E86" s="348" t="s">
        <v>114</v>
      </c>
      <c r="F86" s="347" t="s">
        <v>88</v>
      </c>
      <c r="G86" s="349" t="s">
        <v>255</v>
      </c>
      <c r="H86" s="347" t="s">
        <v>240</v>
      </c>
      <c r="I86" s="347" t="s">
        <v>173</v>
      </c>
      <c r="J86" s="351">
        <v>41944</v>
      </c>
      <c r="K86" s="351"/>
      <c r="L86" s="351">
        <f t="shared" si="4"/>
        <v>41944</v>
      </c>
      <c r="M86" s="351">
        <v>42155</v>
      </c>
      <c r="N86" s="351"/>
      <c r="O86" s="351">
        <f t="shared" si="2"/>
        <v>42155</v>
      </c>
      <c r="P86" s="353" t="s">
        <v>122</v>
      </c>
      <c r="Q86" s="347" t="s">
        <v>123</v>
      </c>
      <c r="R86" s="353"/>
      <c r="S86" s="348" t="s">
        <v>143</v>
      </c>
      <c r="T86" s="354" t="s">
        <v>253</v>
      </c>
      <c r="U86" s="354">
        <v>1800000</v>
      </c>
      <c r="V86" s="168">
        <v>0</v>
      </c>
      <c r="W86" s="354">
        <v>0</v>
      </c>
      <c r="X86" s="355">
        <f>+U86</f>
        <v>1800000</v>
      </c>
      <c r="Y86" s="355">
        <v>0</v>
      </c>
      <c r="Z86" s="355">
        <v>0</v>
      </c>
      <c r="AA86" s="515" t="s">
        <v>132</v>
      </c>
      <c r="AB86" s="357"/>
      <c r="AC86" s="357"/>
      <c r="AD86" s="357"/>
      <c r="AE86" s="357"/>
      <c r="AF86" s="357"/>
      <c r="AG86" s="147"/>
    </row>
    <row r="87" spans="1:256" s="229" customFormat="1" ht="90" hidden="1" customHeight="1">
      <c r="A87" s="101">
        <f>+A86+1</f>
        <v>27</v>
      </c>
      <c r="B87" s="103" t="s">
        <v>263</v>
      </c>
      <c r="C87" s="104" t="s">
        <v>140</v>
      </c>
      <c r="D87" s="103" t="s">
        <v>264</v>
      </c>
      <c r="E87" s="104" t="s">
        <v>114</v>
      </c>
      <c r="F87" s="103" t="s">
        <v>88</v>
      </c>
      <c r="G87" s="106" t="s">
        <v>129</v>
      </c>
      <c r="H87" s="103" t="s">
        <v>240</v>
      </c>
      <c r="I87" s="103" t="s">
        <v>173</v>
      </c>
      <c r="J87" s="224">
        <v>42156</v>
      </c>
      <c r="K87" s="224"/>
      <c r="L87" s="224">
        <f t="shared" si="4"/>
        <v>42156</v>
      </c>
      <c r="M87" s="224">
        <v>42521</v>
      </c>
      <c r="N87" s="224"/>
      <c r="O87" s="224">
        <f t="shared" si="2"/>
        <v>42521</v>
      </c>
      <c r="P87" s="105" t="s">
        <v>122</v>
      </c>
      <c r="Q87" s="103" t="s">
        <v>123</v>
      </c>
      <c r="R87" s="103"/>
      <c r="S87" s="104" t="s">
        <v>143</v>
      </c>
      <c r="T87" s="110" t="s">
        <v>253</v>
      </c>
      <c r="U87" s="110">
        <v>20000000</v>
      </c>
      <c r="V87" s="109">
        <v>0</v>
      </c>
      <c r="W87" s="110">
        <v>0</v>
      </c>
      <c r="X87" s="259">
        <f>650000+16525000</f>
        <v>17175000</v>
      </c>
      <c r="Y87" s="260">
        <f>+U87-W87-X87</f>
        <v>2825000</v>
      </c>
      <c r="Z87" s="259">
        <v>0</v>
      </c>
      <c r="AA87" s="226"/>
      <c r="AB87" s="219"/>
      <c r="AC87" s="219"/>
      <c r="AD87" s="219"/>
      <c r="AE87" s="219"/>
      <c r="AF87" s="219"/>
      <c r="AG87" s="100"/>
      <c r="AH87" s="230"/>
    </row>
    <row r="88" spans="1:256" s="229" customFormat="1" ht="90" hidden="1" customHeight="1">
      <c r="A88" s="101">
        <f>+A87+1</f>
        <v>28</v>
      </c>
      <c r="B88" s="103" t="s">
        <v>265</v>
      </c>
      <c r="C88" s="104" t="s">
        <v>140</v>
      </c>
      <c r="D88" s="103" t="s">
        <v>266</v>
      </c>
      <c r="E88" s="104" t="s">
        <v>114</v>
      </c>
      <c r="F88" s="103" t="s">
        <v>141</v>
      </c>
      <c r="G88" s="106" t="s">
        <v>145</v>
      </c>
      <c r="H88" s="102" t="s">
        <v>3</v>
      </c>
      <c r="I88" s="103" t="s">
        <v>173</v>
      </c>
      <c r="J88" s="224">
        <v>41730</v>
      </c>
      <c r="K88" s="224"/>
      <c r="L88" s="224">
        <f t="shared" si="4"/>
        <v>41730</v>
      </c>
      <c r="M88" s="224">
        <v>42460</v>
      </c>
      <c r="N88" s="224"/>
      <c r="O88" s="224">
        <f t="shared" si="2"/>
        <v>42460</v>
      </c>
      <c r="P88" s="105" t="s">
        <v>122</v>
      </c>
      <c r="Q88" s="103" t="s">
        <v>123</v>
      </c>
      <c r="R88" s="103"/>
      <c r="S88" s="104" t="s">
        <v>138</v>
      </c>
      <c r="T88" s="110" t="s">
        <v>253</v>
      </c>
      <c r="U88" s="110">
        <v>7130098.0800000001</v>
      </c>
      <c r="V88" s="109">
        <v>0</v>
      </c>
      <c r="W88" s="110">
        <v>0</v>
      </c>
      <c r="X88" s="259">
        <v>0</v>
      </c>
      <c r="Y88" s="260">
        <v>356505</v>
      </c>
      <c r="Z88" s="259">
        <v>6773593</v>
      </c>
      <c r="AA88" s="226">
        <v>0</v>
      </c>
      <c r="AB88" s="219"/>
      <c r="AC88" s="219"/>
      <c r="AD88" s="219"/>
      <c r="AE88" s="219"/>
      <c r="AF88" s="219"/>
      <c r="AG88" s="100"/>
      <c r="AH88" s="230"/>
    </row>
    <row r="89" spans="1:256" s="229" customFormat="1" ht="90" hidden="1" customHeight="1">
      <c r="A89" s="101">
        <f>+A88+1</f>
        <v>29</v>
      </c>
      <c r="B89" s="103" t="s">
        <v>267</v>
      </c>
      <c r="C89" s="104" t="s">
        <v>140</v>
      </c>
      <c r="D89" s="103" t="s">
        <v>268</v>
      </c>
      <c r="E89" s="104" t="s">
        <v>114</v>
      </c>
      <c r="F89" s="103" t="s">
        <v>88</v>
      </c>
      <c r="G89" s="106" t="s">
        <v>129</v>
      </c>
      <c r="H89" s="103" t="s">
        <v>240</v>
      </c>
      <c r="I89" s="103" t="s">
        <v>173</v>
      </c>
      <c r="J89" s="224">
        <v>41487</v>
      </c>
      <c r="K89" s="224"/>
      <c r="L89" s="224">
        <f t="shared" si="4"/>
        <v>41487</v>
      </c>
      <c r="M89" s="224">
        <v>42369</v>
      </c>
      <c r="N89" s="224"/>
      <c r="O89" s="224">
        <f t="shared" si="2"/>
        <v>42369</v>
      </c>
      <c r="P89" s="105" t="s">
        <v>122</v>
      </c>
      <c r="Q89" s="103" t="s">
        <v>123</v>
      </c>
      <c r="R89" s="103"/>
      <c r="S89" s="104" t="s">
        <v>143</v>
      </c>
      <c r="T89" s="110" t="s">
        <v>253</v>
      </c>
      <c r="U89" s="110">
        <v>20000000</v>
      </c>
      <c r="V89" s="109">
        <v>0</v>
      </c>
      <c r="W89" s="110">
        <v>0</v>
      </c>
      <c r="X89" s="259">
        <f>+U89*0.235*0.3</f>
        <v>1410000</v>
      </c>
      <c r="Y89" s="260">
        <f>+U89-X89-Z89</f>
        <v>17390000</v>
      </c>
      <c r="Z89" s="259">
        <f>+U89*0.06</f>
        <v>1200000</v>
      </c>
      <c r="AA89" s="226">
        <v>0</v>
      </c>
      <c r="AB89" s="219"/>
      <c r="AC89" s="219"/>
      <c r="AD89" s="219"/>
      <c r="AE89" s="219"/>
      <c r="AF89" s="219"/>
      <c r="AG89" s="100"/>
      <c r="AH89" s="230"/>
    </row>
    <row r="90" spans="1:256" s="229" customFormat="1" ht="90" hidden="1" customHeight="1">
      <c r="A90" s="101">
        <f>+A89+1</f>
        <v>30</v>
      </c>
      <c r="B90" s="103" t="s">
        <v>269</v>
      </c>
      <c r="C90" s="104" t="s">
        <v>140</v>
      </c>
      <c r="D90" s="103" t="s">
        <v>270</v>
      </c>
      <c r="E90" s="104" t="s">
        <v>114</v>
      </c>
      <c r="F90" s="103" t="s">
        <v>84</v>
      </c>
      <c r="G90" s="106" t="s">
        <v>165</v>
      </c>
      <c r="H90" s="102" t="s">
        <v>96</v>
      </c>
      <c r="I90" s="103" t="s">
        <v>173</v>
      </c>
      <c r="J90" s="224">
        <v>41487</v>
      </c>
      <c r="K90" s="224"/>
      <c r="L90" s="224">
        <f t="shared" si="4"/>
        <v>41487</v>
      </c>
      <c r="M90" s="224">
        <v>42094</v>
      </c>
      <c r="N90" s="224"/>
      <c r="O90" s="224">
        <f t="shared" si="2"/>
        <v>42094</v>
      </c>
      <c r="P90" s="105" t="s">
        <v>122</v>
      </c>
      <c r="Q90" s="103" t="s">
        <v>123</v>
      </c>
      <c r="R90" s="103"/>
      <c r="S90" s="104" t="s">
        <v>138</v>
      </c>
      <c r="T90" s="110" t="s">
        <v>253</v>
      </c>
      <c r="U90" s="110">
        <f>+(((10*((1141850+1714473+2097122)/9)+1293526+1350713+4298671+300000+1350000+929210+16*(1022001/14)+750000+150000)*1.07)+18*190000)*1.23</f>
        <v>26703946.174447618</v>
      </c>
      <c r="V90" s="109">
        <v>0</v>
      </c>
      <c r="W90" s="110">
        <v>0</v>
      </c>
      <c r="X90" s="259">
        <v>0</v>
      </c>
      <c r="Y90" s="260">
        <f>+U90*0.235*0.3</f>
        <v>1882628.2052985567</v>
      </c>
      <c r="Z90" s="259">
        <f>+U90-Y90-AA90</f>
        <v>23486120.66042668</v>
      </c>
      <c r="AA90" s="226">
        <f>+U90*0.05</f>
        <v>1335197.308722381</v>
      </c>
      <c r="AB90" s="219"/>
      <c r="AC90" s="219"/>
      <c r="AD90" s="219"/>
      <c r="AE90" s="219"/>
      <c r="AF90" s="219"/>
      <c r="AG90" s="100"/>
      <c r="AH90" s="230"/>
    </row>
    <row r="91" spans="1:256" s="229" customFormat="1" ht="56.25">
      <c r="A91" s="346">
        <v>26</v>
      </c>
      <c r="B91" s="347" t="s">
        <v>271</v>
      </c>
      <c r="C91" s="348" t="s">
        <v>128</v>
      </c>
      <c r="D91" s="347" t="s">
        <v>272</v>
      </c>
      <c r="E91" s="104" t="s">
        <v>114</v>
      </c>
      <c r="F91" s="353" t="s">
        <v>84</v>
      </c>
      <c r="G91" s="353" t="s">
        <v>158</v>
      </c>
      <c r="H91" s="348" t="s">
        <v>96</v>
      </c>
      <c r="I91" s="353" t="s">
        <v>130</v>
      </c>
      <c r="J91" s="351" t="s">
        <v>83</v>
      </c>
      <c r="K91" s="352" t="s">
        <v>83</v>
      </c>
      <c r="L91" s="351" t="s">
        <v>83</v>
      </c>
      <c r="M91" s="351">
        <v>42135</v>
      </c>
      <c r="N91" s="352">
        <v>12</v>
      </c>
      <c r="O91" s="351">
        <v>42502</v>
      </c>
      <c r="P91" s="353" t="s">
        <v>122</v>
      </c>
      <c r="Q91" s="353" t="s">
        <v>123</v>
      </c>
      <c r="R91" s="353" t="s">
        <v>65</v>
      </c>
      <c r="S91" s="348" t="s">
        <v>118</v>
      </c>
      <c r="T91" s="354" t="s">
        <v>253</v>
      </c>
      <c r="U91" s="354">
        <v>71541100</v>
      </c>
      <c r="V91" s="109">
        <v>5000000</v>
      </c>
      <c r="W91" s="110">
        <v>0</v>
      </c>
      <c r="X91" s="355">
        <v>15775000</v>
      </c>
      <c r="Y91" s="355">
        <v>0</v>
      </c>
      <c r="Z91" s="355">
        <v>55766100</v>
      </c>
      <c r="AA91" s="356" t="s">
        <v>132</v>
      </c>
      <c r="AB91" s="357"/>
      <c r="AC91" s="357"/>
      <c r="AD91" s="357"/>
      <c r="AE91" s="357"/>
      <c r="AF91" s="357"/>
      <c r="AG91" s="147"/>
    </row>
    <row r="92" spans="1:256" s="229" customFormat="1" ht="90" hidden="1" customHeight="1">
      <c r="A92" s="101">
        <f>+A91+1</f>
        <v>27</v>
      </c>
      <c r="B92" s="103" t="s">
        <v>273</v>
      </c>
      <c r="C92" s="104" t="s">
        <v>140</v>
      </c>
      <c r="D92" s="103" t="s">
        <v>275</v>
      </c>
      <c r="E92" s="104" t="s">
        <v>114</v>
      </c>
      <c r="F92" s="103" t="s">
        <v>91</v>
      </c>
      <c r="G92" s="106" t="s">
        <v>274</v>
      </c>
      <c r="H92" s="102" t="s">
        <v>200</v>
      </c>
      <c r="I92" s="103" t="s">
        <v>173</v>
      </c>
      <c r="J92" s="224">
        <v>41487</v>
      </c>
      <c r="K92" s="224"/>
      <c r="L92" s="224">
        <f t="shared" si="4"/>
        <v>41487</v>
      </c>
      <c r="M92" s="224">
        <v>42004</v>
      </c>
      <c r="N92" s="224"/>
      <c r="O92" s="224">
        <f t="shared" si="2"/>
        <v>42004</v>
      </c>
      <c r="P92" s="105" t="s">
        <v>122</v>
      </c>
      <c r="Q92" s="103" t="s">
        <v>123</v>
      </c>
      <c r="R92" s="103"/>
      <c r="S92" s="104" t="s">
        <v>143</v>
      </c>
      <c r="T92" s="110" t="s">
        <v>253</v>
      </c>
      <c r="U92" s="110">
        <v>20000000</v>
      </c>
      <c r="V92" s="109">
        <v>0</v>
      </c>
      <c r="W92" s="110">
        <v>0</v>
      </c>
      <c r="X92" s="259">
        <v>935000</v>
      </c>
      <c r="Y92" s="260">
        <v>16823000</v>
      </c>
      <c r="Z92" s="259">
        <v>2242000</v>
      </c>
      <c r="AA92" s="226">
        <v>0</v>
      </c>
      <c r="AB92" s="219"/>
      <c r="AC92" s="219"/>
      <c r="AD92" s="219"/>
      <c r="AE92" s="219"/>
      <c r="AF92" s="219"/>
      <c r="AG92" s="100"/>
      <c r="AH92" s="230"/>
    </row>
    <row r="93" spans="1:256" s="229" customFormat="1" ht="90" hidden="1" customHeight="1">
      <c r="A93" s="101">
        <v>34</v>
      </c>
      <c r="B93" s="103" t="s">
        <v>276</v>
      </c>
      <c r="C93" s="104" t="s">
        <v>140</v>
      </c>
      <c r="D93" s="103" t="s">
        <v>279</v>
      </c>
      <c r="E93" s="104" t="s">
        <v>114</v>
      </c>
      <c r="F93" s="103" t="s">
        <v>91</v>
      </c>
      <c r="G93" s="106" t="s">
        <v>277</v>
      </c>
      <c r="H93" s="102" t="s">
        <v>31</v>
      </c>
      <c r="I93" s="103" t="s">
        <v>278</v>
      </c>
      <c r="J93" s="224">
        <v>42095</v>
      </c>
      <c r="K93" s="224"/>
      <c r="L93" s="224">
        <f t="shared" si="4"/>
        <v>42095</v>
      </c>
      <c r="M93" s="224">
        <v>42460</v>
      </c>
      <c r="N93" s="224"/>
      <c r="O93" s="224">
        <f t="shared" si="2"/>
        <v>42460</v>
      </c>
      <c r="P93" s="105" t="s">
        <v>122</v>
      </c>
      <c r="Q93" s="103" t="s">
        <v>251</v>
      </c>
      <c r="R93" s="103"/>
      <c r="S93" s="104" t="s">
        <v>143</v>
      </c>
      <c r="T93" s="110" t="s">
        <v>253</v>
      </c>
      <c r="U93" s="110">
        <v>15000000</v>
      </c>
      <c r="V93" s="109" t="s">
        <v>280</v>
      </c>
      <c r="W93" s="110">
        <v>0</v>
      </c>
      <c r="X93" s="259">
        <f>+U93</f>
        <v>15000000</v>
      </c>
      <c r="Y93" s="259">
        <v>0</v>
      </c>
      <c r="Z93" s="259">
        <v>282460</v>
      </c>
      <c r="AA93" s="226">
        <v>0</v>
      </c>
      <c r="AB93" s="219"/>
      <c r="AC93" s="219"/>
      <c r="AD93" s="219"/>
      <c r="AE93" s="219"/>
      <c r="AF93" s="219"/>
      <c r="AG93" s="100"/>
      <c r="AH93" s="230"/>
    </row>
    <row r="94" spans="1:256" s="229" customFormat="1" ht="90" hidden="1" customHeight="1">
      <c r="A94" s="101">
        <f t="shared" ref="A94:A157" si="6">+A93+1</f>
        <v>35</v>
      </c>
      <c r="B94" s="103" t="s">
        <v>281</v>
      </c>
      <c r="C94" s="104" t="s">
        <v>140</v>
      </c>
      <c r="D94" s="103" t="s">
        <v>282</v>
      </c>
      <c r="E94" s="104" t="s">
        <v>114</v>
      </c>
      <c r="F94" s="103" t="s">
        <v>84</v>
      </c>
      <c r="G94" s="106" t="s">
        <v>135</v>
      </c>
      <c r="H94" s="102" t="s">
        <v>96</v>
      </c>
      <c r="I94" s="103" t="s">
        <v>173</v>
      </c>
      <c r="J94" s="224">
        <v>41791</v>
      </c>
      <c r="K94" s="224"/>
      <c r="L94" s="224">
        <f t="shared" si="4"/>
        <v>41791</v>
      </c>
      <c r="M94" s="224">
        <v>42094</v>
      </c>
      <c r="N94" s="224"/>
      <c r="O94" s="224">
        <f t="shared" ref="O94:O157" si="7">M94+(N94*22)</f>
        <v>42094</v>
      </c>
      <c r="P94" s="105" t="s">
        <v>122</v>
      </c>
      <c r="Q94" s="103" t="s">
        <v>123</v>
      </c>
      <c r="R94" s="103"/>
      <c r="S94" s="104" t="s">
        <v>143</v>
      </c>
      <c r="T94" s="110" t="s">
        <v>253</v>
      </c>
      <c r="U94" s="110">
        <v>20000000</v>
      </c>
      <c r="V94" s="109">
        <v>0</v>
      </c>
      <c r="W94" s="110">
        <v>0</v>
      </c>
      <c r="X94" s="259">
        <f>+U94*0.09</f>
        <v>1800000</v>
      </c>
      <c r="Y94" s="260">
        <v>17200000</v>
      </c>
      <c r="Z94" s="259">
        <f>+U94*0.05</f>
        <v>1000000</v>
      </c>
      <c r="AA94" s="226"/>
      <c r="AB94" s="219"/>
      <c r="AC94" s="219"/>
      <c r="AD94" s="219"/>
      <c r="AE94" s="219"/>
      <c r="AF94" s="219"/>
      <c r="AG94" s="100"/>
      <c r="AH94" s="230"/>
    </row>
    <row r="95" spans="1:256" s="229" customFormat="1" ht="90" hidden="1" customHeight="1">
      <c r="A95" s="101">
        <f t="shared" si="6"/>
        <v>36</v>
      </c>
      <c r="B95" s="103" t="s">
        <v>283</v>
      </c>
      <c r="C95" s="104" t="s">
        <v>134</v>
      </c>
      <c r="D95" s="103" t="s">
        <v>285</v>
      </c>
      <c r="E95" s="104" t="s">
        <v>114</v>
      </c>
      <c r="F95" s="103" t="s">
        <v>91</v>
      </c>
      <c r="G95" s="106" t="s">
        <v>284</v>
      </c>
      <c r="H95" s="102" t="s">
        <v>189</v>
      </c>
      <c r="I95" s="103" t="s">
        <v>173</v>
      </c>
      <c r="J95" s="224">
        <v>41913</v>
      </c>
      <c r="K95" s="224"/>
      <c r="L95" s="224">
        <f t="shared" si="4"/>
        <v>41913</v>
      </c>
      <c r="M95" s="224">
        <v>42551</v>
      </c>
      <c r="N95" s="224"/>
      <c r="O95" s="224">
        <f t="shared" si="7"/>
        <v>42551</v>
      </c>
      <c r="P95" s="105" t="s">
        <v>122</v>
      </c>
      <c r="Q95" s="103" t="s">
        <v>123</v>
      </c>
      <c r="R95" s="103"/>
      <c r="S95" s="104" t="s">
        <v>143</v>
      </c>
      <c r="T95" s="110" t="s">
        <v>253</v>
      </c>
      <c r="U95" s="110">
        <f>+(1823640+8*((1141850+1714473+2097122)/9)+1293526+1350713+929210+1350000)*1.23*1.07</f>
        <v>14674714.023566667</v>
      </c>
      <c r="V95" s="109">
        <v>0</v>
      </c>
      <c r="W95" s="110">
        <v>0</v>
      </c>
      <c r="X95" s="259">
        <f>+U95*0.09</f>
        <v>1320724.2621210001</v>
      </c>
      <c r="Y95" s="260">
        <f>+U95-X95-Z95</f>
        <v>10978989.761445668</v>
      </c>
      <c r="Z95" s="259">
        <v>2375000</v>
      </c>
      <c r="AA95" s="226"/>
      <c r="AB95" s="219"/>
      <c r="AC95" s="219"/>
      <c r="AD95" s="219"/>
      <c r="AE95" s="219"/>
      <c r="AF95" s="219"/>
      <c r="AG95" s="100"/>
      <c r="AH95" s="231"/>
      <c r="AI95" s="232"/>
      <c r="AJ95" s="232"/>
      <c r="AK95" s="232"/>
      <c r="AL95" s="232"/>
      <c r="AM95" s="232"/>
      <c r="AN95" s="232"/>
      <c r="AO95" s="232"/>
      <c r="AP95" s="232"/>
      <c r="AQ95" s="232"/>
      <c r="AR95" s="232"/>
      <c r="AS95" s="232"/>
      <c r="AT95" s="232"/>
      <c r="AU95" s="232"/>
      <c r="AV95" s="232"/>
      <c r="AW95" s="232"/>
      <c r="AX95" s="232"/>
      <c r="AY95" s="232"/>
      <c r="AZ95" s="232"/>
      <c r="BA95" s="232"/>
      <c r="BB95" s="232"/>
      <c r="BC95" s="232"/>
      <c r="BD95" s="232"/>
      <c r="BE95" s="232"/>
      <c r="BF95" s="232"/>
      <c r="BG95" s="232"/>
      <c r="BH95" s="232"/>
      <c r="BI95" s="232"/>
      <c r="BJ95" s="232"/>
      <c r="BK95" s="232"/>
      <c r="BL95" s="232"/>
      <c r="BM95" s="232"/>
      <c r="BN95" s="232"/>
      <c r="BO95" s="232"/>
      <c r="BP95" s="232"/>
      <c r="BQ95" s="232"/>
      <c r="BR95" s="232"/>
      <c r="BS95" s="232"/>
      <c r="BT95" s="232"/>
      <c r="BU95" s="232"/>
      <c r="BV95" s="232"/>
      <c r="BW95" s="232"/>
      <c r="BX95" s="232"/>
      <c r="BY95" s="232"/>
      <c r="BZ95" s="232"/>
      <c r="CA95" s="232"/>
      <c r="CB95" s="232"/>
      <c r="CC95" s="232"/>
      <c r="CD95" s="232"/>
      <c r="CE95" s="232"/>
      <c r="CF95" s="232"/>
      <c r="CG95" s="232"/>
      <c r="CH95" s="232"/>
      <c r="CI95" s="232"/>
      <c r="CJ95" s="232"/>
      <c r="CK95" s="232"/>
      <c r="CL95" s="232"/>
      <c r="CM95" s="232"/>
      <c r="CN95" s="232"/>
      <c r="CO95" s="232"/>
      <c r="CP95" s="232"/>
      <c r="CQ95" s="232"/>
      <c r="CR95" s="232"/>
      <c r="CS95" s="232"/>
      <c r="CT95" s="232"/>
      <c r="CU95" s="232"/>
      <c r="CV95" s="232"/>
      <c r="CW95" s="232"/>
      <c r="CX95" s="232"/>
      <c r="CY95" s="232"/>
      <c r="CZ95" s="232"/>
      <c r="DA95" s="232"/>
      <c r="DB95" s="232"/>
      <c r="DC95" s="232"/>
      <c r="DD95" s="232"/>
      <c r="DE95" s="232"/>
      <c r="DF95" s="232"/>
      <c r="DG95" s="232"/>
      <c r="DH95" s="232"/>
      <c r="DI95" s="232"/>
      <c r="DJ95" s="232"/>
      <c r="DK95" s="232"/>
      <c r="DL95" s="232"/>
      <c r="DM95" s="232"/>
      <c r="DN95" s="232"/>
      <c r="DO95" s="232"/>
      <c r="DP95" s="232"/>
      <c r="DQ95" s="232"/>
      <c r="DR95" s="232"/>
      <c r="DS95" s="232"/>
      <c r="DT95" s="232"/>
      <c r="DU95" s="232"/>
      <c r="DV95" s="232"/>
      <c r="DW95" s="232"/>
      <c r="DX95" s="232"/>
      <c r="DY95" s="232"/>
      <c r="DZ95" s="232"/>
      <c r="EA95" s="232"/>
      <c r="EB95" s="232"/>
      <c r="EC95" s="232"/>
      <c r="ED95" s="232"/>
      <c r="EE95" s="232"/>
      <c r="EF95" s="232"/>
      <c r="EG95" s="232"/>
      <c r="EH95" s="232"/>
      <c r="EI95" s="232"/>
      <c r="EJ95" s="232"/>
      <c r="EK95" s="232"/>
      <c r="EL95" s="232"/>
      <c r="EM95" s="232"/>
      <c r="EN95" s="232"/>
      <c r="EO95" s="232"/>
      <c r="EP95" s="232"/>
      <c r="EQ95" s="232"/>
      <c r="ER95" s="232"/>
      <c r="ES95" s="232"/>
      <c r="ET95" s="232"/>
      <c r="EU95" s="232"/>
      <c r="EV95" s="232"/>
      <c r="EW95" s="232"/>
      <c r="EX95" s="232"/>
      <c r="EY95" s="232"/>
      <c r="EZ95" s="232"/>
      <c r="FA95" s="232"/>
      <c r="FB95" s="232"/>
      <c r="FC95" s="232"/>
      <c r="FD95" s="232"/>
      <c r="FE95" s="232"/>
      <c r="FF95" s="232"/>
      <c r="FG95" s="232"/>
      <c r="FH95" s="232"/>
      <c r="FI95" s="232"/>
      <c r="FJ95" s="232"/>
      <c r="FK95" s="232"/>
      <c r="FL95" s="232"/>
      <c r="FM95" s="232"/>
      <c r="FN95" s="232"/>
      <c r="FO95" s="232"/>
      <c r="FP95" s="232"/>
      <c r="FQ95" s="232"/>
      <c r="FR95" s="232"/>
      <c r="FS95" s="232"/>
      <c r="FT95" s="232"/>
      <c r="FU95" s="232"/>
      <c r="FV95" s="232"/>
      <c r="FW95" s="232"/>
      <c r="FX95" s="232"/>
      <c r="FY95" s="232"/>
      <c r="FZ95" s="232"/>
      <c r="GA95" s="232"/>
      <c r="GB95" s="232"/>
      <c r="GC95" s="232"/>
      <c r="GD95" s="232"/>
      <c r="GE95" s="232"/>
      <c r="GF95" s="232"/>
      <c r="GG95" s="232"/>
      <c r="GH95" s="232"/>
      <c r="GI95" s="232"/>
      <c r="GJ95" s="232"/>
      <c r="GK95" s="232"/>
      <c r="GL95" s="232"/>
      <c r="GM95" s="232"/>
      <c r="GN95" s="232"/>
      <c r="GO95" s="232"/>
      <c r="GP95" s="232"/>
      <c r="GQ95" s="232"/>
      <c r="GR95" s="232"/>
      <c r="GS95" s="232"/>
      <c r="GT95" s="232"/>
      <c r="GU95" s="232"/>
      <c r="GV95" s="232"/>
      <c r="GW95" s="232"/>
      <c r="GX95" s="232"/>
      <c r="GY95" s="232"/>
      <c r="GZ95" s="232"/>
      <c r="HA95" s="232"/>
      <c r="HB95" s="232"/>
      <c r="HC95" s="232"/>
      <c r="HD95" s="232"/>
      <c r="HE95" s="232"/>
      <c r="HF95" s="232"/>
      <c r="HG95" s="232"/>
      <c r="HH95" s="232"/>
      <c r="HI95" s="232"/>
      <c r="HJ95" s="232"/>
      <c r="HK95" s="232"/>
      <c r="HL95" s="232"/>
      <c r="HM95" s="232"/>
      <c r="HN95" s="232"/>
      <c r="HO95" s="232"/>
      <c r="HP95" s="232"/>
      <c r="HQ95" s="232"/>
      <c r="HR95" s="232"/>
      <c r="HS95" s="232"/>
      <c r="HT95" s="232"/>
      <c r="HU95" s="232"/>
      <c r="HV95" s="232"/>
      <c r="HW95" s="232"/>
      <c r="HX95" s="232"/>
      <c r="HY95" s="232"/>
      <c r="HZ95" s="232"/>
      <c r="IA95" s="232"/>
      <c r="IB95" s="232"/>
      <c r="IC95" s="232"/>
      <c r="ID95" s="232"/>
      <c r="IE95" s="232"/>
      <c r="IF95" s="232"/>
      <c r="IG95" s="232"/>
      <c r="IH95" s="232"/>
      <c r="II95" s="232"/>
      <c r="IJ95" s="232"/>
      <c r="IK95" s="232"/>
      <c r="IL95" s="232"/>
      <c r="IM95" s="232"/>
      <c r="IN95" s="232"/>
      <c r="IO95" s="232"/>
      <c r="IP95" s="232"/>
      <c r="IQ95" s="232"/>
      <c r="IR95" s="232"/>
      <c r="IS95" s="232"/>
      <c r="IT95" s="232"/>
      <c r="IU95" s="232"/>
      <c r="IV95" s="232"/>
    </row>
    <row r="96" spans="1:256" s="182" customFormat="1" ht="56.25">
      <c r="A96" s="346">
        <f>+A91+1</f>
        <v>27</v>
      </c>
      <c r="B96" s="347" t="s">
        <v>1319</v>
      </c>
      <c r="C96" s="348" t="s">
        <v>140</v>
      </c>
      <c r="D96" s="347" t="s">
        <v>287</v>
      </c>
      <c r="E96" s="104" t="s">
        <v>114</v>
      </c>
      <c r="F96" s="353" t="s">
        <v>141</v>
      </c>
      <c r="G96" s="353" t="s">
        <v>286</v>
      </c>
      <c r="H96" s="348" t="s">
        <v>3</v>
      </c>
      <c r="I96" s="353" t="s">
        <v>162</v>
      </c>
      <c r="J96" s="351" t="s">
        <v>83</v>
      </c>
      <c r="K96" s="352" t="s">
        <v>83</v>
      </c>
      <c r="L96" s="351" t="s">
        <v>83</v>
      </c>
      <c r="M96" s="351">
        <v>41723</v>
      </c>
      <c r="N96" s="352">
        <v>14</v>
      </c>
      <c r="O96" s="351">
        <v>42126</v>
      </c>
      <c r="P96" s="353" t="s">
        <v>122</v>
      </c>
      <c r="Q96" s="353" t="s">
        <v>115</v>
      </c>
      <c r="R96" s="353" t="s">
        <v>65</v>
      </c>
      <c r="S96" s="348" t="s">
        <v>118</v>
      </c>
      <c r="T96" s="354" t="s">
        <v>119</v>
      </c>
      <c r="U96" s="354">
        <v>52597826</v>
      </c>
      <c r="V96" s="109">
        <f>612000+3000000</f>
        <v>3612000</v>
      </c>
      <c r="W96" s="110">
        <v>34161000</v>
      </c>
      <c r="X96" s="355">
        <v>16994915</v>
      </c>
      <c r="Y96" s="355">
        <v>0</v>
      </c>
      <c r="Z96" s="355">
        <f>+U96*0.01</f>
        <v>525978.26</v>
      </c>
      <c r="AA96" s="356" t="s">
        <v>132</v>
      </c>
      <c r="AB96" s="357"/>
      <c r="AC96" s="357"/>
      <c r="AD96" s="357"/>
      <c r="AE96" s="357"/>
      <c r="AF96" s="357"/>
      <c r="AG96" s="147"/>
    </row>
    <row r="97" spans="1:256" s="182" customFormat="1" ht="56.25">
      <c r="A97" s="346">
        <f>+A96+1</f>
        <v>28</v>
      </c>
      <c r="B97" s="347" t="s">
        <v>1320</v>
      </c>
      <c r="C97" s="348" t="s">
        <v>134</v>
      </c>
      <c r="D97" s="347" t="s">
        <v>288</v>
      </c>
      <c r="E97" s="104" t="s">
        <v>114</v>
      </c>
      <c r="F97" s="353" t="s">
        <v>141</v>
      </c>
      <c r="G97" s="353" t="s">
        <v>145</v>
      </c>
      <c r="H97" s="348" t="s">
        <v>3</v>
      </c>
      <c r="I97" s="353" t="s">
        <v>162</v>
      </c>
      <c r="J97" s="351" t="s">
        <v>83</v>
      </c>
      <c r="K97" s="352" t="s">
        <v>83</v>
      </c>
      <c r="L97" s="351" t="s">
        <v>83</v>
      </c>
      <c r="M97" s="351">
        <v>41699</v>
      </c>
      <c r="N97" s="352">
        <v>14</v>
      </c>
      <c r="O97" s="351">
        <v>42149</v>
      </c>
      <c r="P97" s="353" t="s">
        <v>122</v>
      </c>
      <c r="Q97" s="353" t="s">
        <v>115</v>
      </c>
      <c r="R97" s="353" t="s">
        <v>65</v>
      </c>
      <c r="S97" s="348" t="s">
        <v>118</v>
      </c>
      <c r="T97" s="348" t="s">
        <v>119</v>
      </c>
      <c r="U97" s="354">
        <v>36091802</v>
      </c>
      <c r="V97" s="109">
        <f>547000+3000000</f>
        <v>3547000</v>
      </c>
      <c r="W97" s="110">
        <v>25315351</v>
      </c>
      <c r="X97" s="355">
        <v>18315481</v>
      </c>
      <c r="Y97" s="355">
        <v>0</v>
      </c>
      <c r="Z97" s="355">
        <v>0</v>
      </c>
      <c r="AA97" s="356" t="s">
        <v>132</v>
      </c>
      <c r="AB97" s="357"/>
      <c r="AC97" s="357"/>
      <c r="AD97" s="357"/>
      <c r="AE97" s="357"/>
      <c r="AF97" s="357"/>
      <c r="AG97" s="147"/>
    </row>
    <row r="98" spans="1:256" s="229" customFormat="1" ht="90" hidden="1" customHeight="1">
      <c r="A98" s="101">
        <f t="shared" si="6"/>
        <v>29</v>
      </c>
      <c r="B98" s="103" t="s">
        <v>289</v>
      </c>
      <c r="C98" s="104" t="s">
        <v>134</v>
      </c>
      <c r="D98" s="103" t="s">
        <v>290</v>
      </c>
      <c r="E98" s="104" t="s">
        <v>114</v>
      </c>
      <c r="F98" s="103" t="s">
        <v>141</v>
      </c>
      <c r="G98" s="106" t="s">
        <v>220</v>
      </c>
      <c r="H98" s="102" t="s">
        <v>3</v>
      </c>
      <c r="I98" s="103" t="s">
        <v>162</v>
      </c>
      <c r="J98" s="224">
        <v>42461</v>
      </c>
      <c r="K98" s="224"/>
      <c r="L98" s="224">
        <f t="shared" si="4"/>
        <v>42461</v>
      </c>
      <c r="M98" s="224">
        <v>42916</v>
      </c>
      <c r="N98" s="224"/>
      <c r="O98" s="224">
        <f t="shared" si="7"/>
        <v>42916</v>
      </c>
      <c r="P98" s="105" t="s">
        <v>122</v>
      </c>
      <c r="Q98" s="103" t="s">
        <v>115</v>
      </c>
      <c r="R98" s="103"/>
      <c r="S98" s="104" t="s">
        <v>143</v>
      </c>
      <c r="T98" s="104" t="s">
        <v>119</v>
      </c>
      <c r="U98" s="110">
        <v>15025620.720000001</v>
      </c>
      <c r="V98" s="109">
        <v>0</v>
      </c>
      <c r="W98" s="110">
        <v>0</v>
      </c>
      <c r="X98" s="259">
        <f>+U98*0.05</f>
        <v>751281.03600000008</v>
      </c>
      <c r="Y98" s="260">
        <f>+U98-X98</f>
        <v>14274339.684</v>
      </c>
      <c r="Z98" s="259">
        <v>0</v>
      </c>
      <c r="AA98" s="226">
        <f>+U98*0.01</f>
        <v>150256.2072</v>
      </c>
      <c r="AB98" s="219"/>
      <c r="AC98" s="219"/>
      <c r="AD98" s="219"/>
      <c r="AE98" s="219"/>
      <c r="AF98" s="219"/>
      <c r="AG98" s="100"/>
      <c r="AH98" s="227"/>
      <c r="AI98" s="228"/>
      <c r="AJ98" s="228"/>
      <c r="AK98" s="228"/>
      <c r="AL98" s="228"/>
      <c r="AM98" s="228"/>
      <c r="AN98" s="228"/>
      <c r="AO98" s="228"/>
      <c r="AP98" s="228"/>
      <c r="AQ98" s="228"/>
      <c r="AR98" s="228"/>
      <c r="AS98" s="228"/>
      <c r="AT98" s="228"/>
      <c r="AU98" s="228"/>
      <c r="AV98" s="228"/>
      <c r="AW98" s="228"/>
      <c r="AX98" s="228"/>
      <c r="AY98" s="228"/>
      <c r="AZ98" s="228"/>
      <c r="BA98" s="228"/>
      <c r="BB98" s="228"/>
      <c r="BC98" s="228"/>
      <c r="BD98" s="228"/>
      <c r="BE98" s="228"/>
      <c r="BF98" s="228"/>
      <c r="BG98" s="228"/>
      <c r="BH98" s="228"/>
      <c r="BI98" s="228"/>
      <c r="BJ98" s="228"/>
      <c r="BK98" s="228"/>
      <c r="BL98" s="228"/>
      <c r="BM98" s="228"/>
      <c r="BN98" s="228"/>
      <c r="BO98" s="228"/>
      <c r="BP98" s="228"/>
      <c r="BQ98" s="228"/>
      <c r="BR98" s="228"/>
      <c r="BS98" s="228"/>
      <c r="BT98" s="228"/>
      <c r="BU98" s="228"/>
      <c r="BV98" s="228"/>
      <c r="BW98" s="228"/>
      <c r="BX98" s="228"/>
      <c r="BY98" s="228"/>
      <c r="BZ98" s="228"/>
      <c r="CA98" s="228"/>
      <c r="CB98" s="228"/>
      <c r="CC98" s="228"/>
      <c r="CD98" s="228"/>
      <c r="CE98" s="228"/>
      <c r="CF98" s="228"/>
      <c r="CG98" s="228"/>
      <c r="CH98" s="228"/>
      <c r="CI98" s="228"/>
      <c r="CJ98" s="228"/>
      <c r="CK98" s="228"/>
      <c r="CL98" s="228"/>
      <c r="CM98" s="228"/>
      <c r="CN98" s="228"/>
      <c r="CO98" s="228"/>
      <c r="CP98" s="228"/>
      <c r="CQ98" s="228"/>
      <c r="CR98" s="228"/>
      <c r="CS98" s="228"/>
      <c r="CT98" s="228"/>
      <c r="CU98" s="228"/>
      <c r="CV98" s="228"/>
      <c r="CW98" s="228"/>
      <c r="CX98" s="228"/>
      <c r="CY98" s="228"/>
      <c r="CZ98" s="228"/>
      <c r="DA98" s="228"/>
      <c r="DB98" s="228"/>
      <c r="DC98" s="228"/>
      <c r="DD98" s="228"/>
      <c r="DE98" s="228"/>
      <c r="DF98" s="228"/>
      <c r="DG98" s="228"/>
      <c r="DH98" s="228"/>
      <c r="DI98" s="228"/>
      <c r="DJ98" s="228"/>
      <c r="DK98" s="228"/>
      <c r="DL98" s="228"/>
      <c r="DM98" s="228"/>
      <c r="DN98" s="228"/>
      <c r="DO98" s="228"/>
      <c r="DP98" s="228"/>
      <c r="DQ98" s="228"/>
      <c r="DR98" s="228"/>
      <c r="DS98" s="228"/>
      <c r="DT98" s="228"/>
      <c r="DU98" s="228"/>
      <c r="DV98" s="228"/>
      <c r="DW98" s="228"/>
      <c r="DX98" s="228"/>
      <c r="DY98" s="228"/>
      <c r="DZ98" s="228"/>
      <c r="EA98" s="228"/>
      <c r="EB98" s="228"/>
      <c r="EC98" s="228"/>
      <c r="ED98" s="228"/>
      <c r="EE98" s="228"/>
      <c r="EF98" s="228"/>
      <c r="EG98" s="228"/>
      <c r="EH98" s="228"/>
      <c r="EI98" s="228"/>
      <c r="EJ98" s="228"/>
      <c r="EK98" s="228"/>
      <c r="EL98" s="228"/>
      <c r="EM98" s="228"/>
      <c r="EN98" s="228"/>
      <c r="EO98" s="228"/>
      <c r="EP98" s="228"/>
      <c r="EQ98" s="228"/>
      <c r="ER98" s="228"/>
      <c r="ES98" s="228"/>
      <c r="ET98" s="228"/>
      <c r="EU98" s="228"/>
      <c r="EV98" s="228"/>
      <c r="EW98" s="228"/>
      <c r="EX98" s="228"/>
      <c r="EY98" s="228"/>
      <c r="EZ98" s="228"/>
      <c r="FA98" s="228"/>
      <c r="FB98" s="228"/>
      <c r="FC98" s="228"/>
      <c r="FD98" s="228"/>
      <c r="FE98" s="228"/>
      <c r="FF98" s="228"/>
      <c r="FG98" s="228"/>
      <c r="FH98" s="228"/>
      <c r="FI98" s="228"/>
      <c r="FJ98" s="228"/>
      <c r="FK98" s="228"/>
      <c r="FL98" s="228"/>
      <c r="FM98" s="228"/>
      <c r="FN98" s="228"/>
      <c r="FO98" s="228"/>
      <c r="FP98" s="228"/>
      <c r="FQ98" s="228"/>
      <c r="FR98" s="228"/>
      <c r="FS98" s="228"/>
      <c r="FT98" s="228"/>
      <c r="FU98" s="228"/>
      <c r="FV98" s="228"/>
      <c r="FW98" s="228"/>
      <c r="FX98" s="228"/>
      <c r="FY98" s="228"/>
      <c r="FZ98" s="228"/>
      <c r="GA98" s="228"/>
      <c r="GB98" s="228"/>
      <c r="GC98" s="228"/>
      <c r="GD98" s="228"/>
      <c r="GE98" s="228"/>
      <c r="GF98" s="228"/>
      <c r="GG98" s="228"/>
      <c r="GH98" s="228"/>
      <c r="GI98" s="228"/>
      <c r="GJ98" s="228"/>
      <c r="GK98" s="228"/>
      <c r="GL98" s="228"/>
      <c r="GM98" s="228"/>
      <c r="GN98" s="228"/>
      <c r="GO98" s="228"/>
      <c r="GP98" s="228"/>
      <c r="GQ98" s="228"/>
      <c r="GR98" s="228"/>
      <c r="GS98" s="228"/>
      <c r="GT98" s="228"/>
      <c r="GU98" s="228"/>
      <c r="GV98" s="228"/>
      <c r="GW98" s="228"/>
      <c r="GX98" s="228"/>
      <c r="GY98" s="228"/>
      <c r="GZ98" s="228"/>
      <c r="HA98" s="228"/>
      <c r="HB98" s="228"/>
      <c r="HC98" s="228"/>
      <c r="HD98" s="228"/>
      <c r="HE98" s="228"/>
      <c r="HF98" s="228"/>
      <c r="HG98" s="228"/>
      <c r="HH98" s="228"/>
      <c r="HI98" s="228"/>
      <c r="HJ98" s="228"/>
      <c r="HK98" s="228"/>
      <c r="HL98" s="228"/>
      <c r="HM98" s="228"/>
      <c r="HN98" s="228"/>
      <c r="HO98" s="228"/>
      <c r="HP98" s="228"/>
      <c r="HQ98" s="228"/>
      <c r="HR98" s="228"/>
      <c r="HS98" s="228"/>
      <c r="HT98" s="228"/>
      <c r="HU98" s="228"/>
      <c r="HV98" s="228"/>
      <c r="HW98" s="228"/>
      <c r="HX98" s="228"/>
      <c r="HY98" s="228"/>
      <c r="HZ98" s="228"/>
      <c r="IA98" s="228"/>
      <c r="IB98" s="228"/>
      <c r="IC98" s="228"/>
      <c r="ID98" s="228"/>
      <c r="IE98" s="228"/>
      <c r="IF98" s="228"/>
      <c r="IG98" s="228"/>
      <c r="IH98" s="228"/>
      <c r="II98" s="228"/>
      <c r="IJ98" s="228"/>
      <c r="IK98" s="228"/>
      <c r="IL98" s="228"/>
      <c r="IM98" s="228"/>
      <c r="IN98" s="228"/>
      <c r="IO98" s="228"/>
      <c r="IP98" s="228"/>
      <c r="IQ98" s="228"/>
      <c r="IR98" s="228"/>
      <c r="IS98" s="228"/>
      <c r="IT98" s="228"/>
      <c r="IU98" s="228"/>
      <c r="IV98" s="228"/>
    </row>
    <row r="99" spans="1:256" s="229" customFormat="1" ht="90" hidden="1" customHeight="1">
      <c r="A99" s="101">
        <v>37</v>
      </c>
      <c r="B99" s="103" t="s">
        <v>291</v>
      </c>
      <c r="C99" s="104" t="s">
        <v>134</v>
      </c>
      <c r="D99" s="103" t="s">
        <v>292</v>
      </c>
      <c r="E99" s="104" t="s">
        <v>114</v>
      </c>
      <c r="F99" s="103" t="s">
        <v>88</v>
      </c>
      <c r="G99" s="106" t="s">
        <v>241</v>
      </c>
      <c r="H99" s="102" t="s">
        <v>97</v>
      </c>
      <c r="I99" s="103" t="s">
        <v>173</v>
      </c>
      <c r="J99" s="224">
        <v>41963</v>
      </c>
      <c r="K99" s="224"/>
      <c r="L99" s="224">
        <f t="shared" si="4"/>
        <v>41963</v>
      </c>
      <c r="M99" s="224">
        <v>42154</v>
      </c>
      <c r="N99" s="224"/>
      <c r="O99" s="224">
        <f t="shared" si="7"/>
        <v>42154</v>
      </c>
      <c r="P99" s="105" t="s">
        <v>122</v>
      </c>
      <c r="Q99" s="103" t="s">
        <v>123</v>
      </c>
      <c r="R99" s="103"/>
      <c r="S99" s="104" t="s">
        <v>143</v>
      </c>
      <c r="T99" s="104" t="s">
        <v>119</v>
      </c>
      <c r="U99" s="110">
        <f>+(1141850)*1.23*1.07</f>
        <v>1502788.7850000001</v>
      </c>
      <c r="V99" s="109">
        <v>0</v>
      </c>
      <c r="W99" s="110">
        <v>0</v>
      </c>
      <c r="X99" s="259">
        <f>+U99</f>
        <v>1502788.7850000001</v>
      </c>
      <c r="Y99" s="259">
        <v>0</v>
      </c>
      <c r="Z99" s="259">
        <v>0</v>
      </c>
      <c r="AA99" s="226">
        <v>0</v>
      </c>
      <c r="AB99" s="219"/>
      <c r="AC99" s="219"/>
      <c r="AD99" s="219"/>
      <c r="AE99" s="219"/>
      <c r="AF99" s="219"/>
      <c r="AG99" s="100"/>
      <c r="AH99" s="230"/>
    </row>
    <row r="100" spans="1:256" s="229" customFormat="1" ht="89.25" hidden="1">
      <c r="A100" s="101">
        <f t="shared" si="6"/>
        <v>38</v>
      </c>
      <c r="B100" s="103" t="s">
        <v>293</v>
      </c>
      <c r="C100" s="104" t="s">
        <v>134</v>
      </c>
      <c r="D100" s="103" t="s">
        <v>295</v>
      </c>
      <c r="E100" s="104" t="s">
        <v>114</v>
      </c>
      <c r="F100" s="103" t="s">
        <v>91</v>
      </c>
      <c r="G100" s="106" t="s">
        <v>294</v>
      </c>
      <c r="H100" s="102" t="s">
        <v>200</v>
      </c>
      <c r="I100" s="103" t="s">
        <v>162</v>
      </c>
      <c r="J100" s="224">
        <v>42461</v>
      </c>
      <c r="K100" s="224"/>
      <c r="L100" s="224">
        <f t="shared" si="4"/>
        <v>42461</v>
      </c>
      <c r="M100" s="224">
        <v>42916</v>
      </c>
      <c r="N100" s="224"/>
      <c r="O100" s="224">
        <f t="shared" si="7"/>
        <v>42916</v>
      </c>
      <c r="P100" s="105" t="s">
        <v>122</v>
      </c>
      <c r="Q100" s="103" t="s">
        <v>115</v>
      </c>
      <c r="R100" s="103"/>
      <c r="S100" s="104" t="s">
        <v>143</v>
      </c>
      <c r="T100" s="104" t="s">
        <v>119</v>
      </c>
      <c r="U100" s="110">
        <f>+(10*((1141850+1714473+2097122)/9)+3658606+1350713+929210+1293526+300000+1050000+150000+5*190000)*1.23*1.07</f>
        <v>19986140.323833335</v>
      </c>
      <c r="V100" s="109">
        <v>0</v>
      </c>
      <c r="W100" s="110">
        <v>0</v>
      </c>
      <c r="X100" s="259">
        <v>1649400</v>
      </c>
      <c r="Y100" s="260">
        <f>+U100-X100-Z100</f>
        <v>17137571.904403336</v>
      </c>
      <c r="Z100" s="259">
        <f>+U100*0.06</f>
        <v>1199168.41943</v>
      </c>
      <c r="AA100" s="226">
        <v>0</v>
      </c>
      <c r="AB100" s="219"/>
      <c r="AC100" s="219"/>
      <c r="AD100" s="219"/>
      <c r="AE100" s="219"/>
      <c r="AF100" s="219"/>
      <c r="AG100" s="100"/>
      <c r="AH100" s="231"/>
      <c r="AI100" s="232"/>
      <c r="AJ100" s="232"/>
      <c r="AK100" s="232"/>
      <c r="AL100" s="232"/>
      <c r="AM100" s="232"/>
      <c r="AN100" s="232"/>
      <c r="AO100" s="232"/>
      <c r="AP100" s="232"/>
      <c r="AQ100" s="232"/>
      <c r="AR100" s="232"/>
      <c r="AS100" s="232"/>
      <c r="AT100" s="232"/>
      <c r="AU100" s="232"/>
      <c r="AV100" s="232"/>
      <c r="AW100" s="232"/>
      <c r="AX100" s="232"/>
      <c r="AY100" s="232"/>
      <c r="AZ100" s="232"/>
      <c r="BA100" s="232"/>
      <c r="BB100" s="232"/>
      <c r="BC100" s="232"/>
      <c r="BD100" s="232"/>
      <c r="BE100" s="232"/>
      <c r="BF100" s="232"/>
      <c r="BG100" s="232"/>
      <c r="BH100" s="232"/>
      <c r="BI100" s="232"/>
      <c r="BJ100" s="232"/>
      <c r="BK100" s="232"/>
      <c r="BL100" s="232"/>
      <c r="BM100" s="232"/>
      <c r="BN100" s="232"/>
      <c r="BO100" s="232"/>
      <c r="BP100" s="232"/>
      <c r="BQ100" s="232"/>
      <c r="BR100" s="232"/>
      <c r="BS100" s="232"/>
      <c r="BT100" s="232"/>
      <c r="BU100" s="232"/>
      <c r="BV100" s="232"/>
      <c r="BW100" s="232"/>
      <c r="BX100" s="232"/>
      <c r="BY100" s="232"/>
      <c r="BZ100" s="232"/>
      <c r="CA100" s="232"/>
      <c r="CB100" s="232"/>
      <c r="CC100" s="232"/>
      <c r="CD100" s="232"/>
      <c r="CE100" s="232"/>
      <c r="CF100" s="232"/>
      <c r="CG100" s="232"/>
      <c r="CH100" s="232"/>
      <c r="CI100" s="232"/>
      <c r="CJ100" s="232"/>
      <c r="CK100" s="232"/>
      <c r="CL100" s="232"/>
      <c r="CM100" s="232"/>
      <c r="CN100" s="232"/>
      <c r="CO100" s="232"/>
      <c r="CP100" s="232"/>
      <c r="CQ100" s="232"/>
      <c r="CR100" s="232"/>
      <c r="CS100" s="232"/>
      <c r="CT100" s="232"/>
      <c r="CU100" s="232"/>
      <c r="CV100" s="232"/>
      <c r="CW100" s="232"/>
      <c r="CX100" s="232"/>
      <c r="CY100" s="232"/>
      <c r="CZ100" s="232"/>
      <c r="DA100" s="232"/>
      <c r="DB100" s="232"/>
      <c r="DC100" s="232"/>
      <c r="DD100" s="232"/>
      <c r="DE100" s="232"/>
      <c r="DF100" s="232"/>
      <c r="DG100" s="232"/>
      <c r="DH100" s="232"/>
      <c r="DI100" s="232"/>
      <c r="DJ100" s="232"/>
      <c r="DK100" s="232"/>
      <c r="DL100" s="232"/>
      <c r="DM100" s="232"/>
      <c r="DN100" s="232"/>
      <c r="DO100" s="232"/>
      <c r="DP100" s="232"/>
      <c r="DQ100" s="232"/>
      <c r="DR100" s="232"/>
      <c r="DS100" s="232"/>
      <c r="DT100" s="232"/>
      <c r="DU100" s="232"/>
      <c r="DV100" s="232"/>
      <c r="DW100" s="232"/>
      <c r="DX100" s="232"/>
      <c r="DY100" s="232"/>
      <c r="DZ100" s="232"/>
      <c r="EA100" s="232"/>
      <c r="EB100" s="232"/>
      <c r="EC100" s="232"/>
      <c r="ED100" s="232"/>
      <c r="EE100" s="232"/>
      <c r="EF100" s="232"/>
      <c r="EG100" s="232"/>
      <c r="EH100" s="232"/>
      <c r="EI100" s="232"/>
      <c r="EJ100" s="232"/>
      <c r="EK100" s="232"/>
      <c r="EL100" s="232"/>
      <c r="EM100" s="232"/>
      <c r="EN100" s="232"/>
      <c r="EO100" s="232"/>
      <c r="EP100" s="232"/>
      <c r="EQ100" s="232"/>
      <c r="ER100" s="232"/>
      <c r="ES100" s="232"/>
      <c r="ET100" s="232"/>
      <c r="EU100" s="232"/>
      <c r="EV100" s="232"/>
      <c r="EW100" s="232"/>
      <c r="EX100" s="232"/>
      <c r="EY100" s="232"/>
      <c r="EZ100" s="232"/>
      <c r="FA100" s="232"/>
      <c r="FB100" s="232"/>
      <c r="FC100" s="232"/>
      <c r="FD100" s="232"/>
      <c r="FE100" s="232"/>
      <c r="FF100" s="232"/>
      <c r="FG100" s="232"/>
      <c r="FH100" s="232"/>
      <c r="FI100" s="232"/>
      <c r="FJ100" s="232"/>
      <c r="FK100" s="232"/>
      <c r="FL100" s="232"/>
      <c r="FM100" s="232"/>
      <c r="FN100" s="232"/>
      <c r="FO100" s="232"/>
      <c r="FP100" s="232"/>
      <c r="FQ100" s="232"/>
      <c r="FR100" s="232"/>
      <c r="FS100" s="232"/>
      <c r="FT100" s="232"/>
      <c r="FU100" s="232"/>
      <c r="FV100" s="232"/>
      <c r="FW100" s="232"/>
      <c r="FX100" s="232"/>
      <c r="FY100" s="232"/>
      <c r="FZ100" s="232"/>
      <c r="GA100" s="232"/>
      <c r="GB100" s="232"/>
      <c r="GC100" s="232"/>
      <c r="GD100" s="232"/>
      <c r="GE100" s="232"/>
      <c r="GF100" s="232"/>
      <c r="GG100" s="232"/>
      <c r="GH100" s="232"/>
      <c r="GI100" s="232"/>
      <c r="GJ100" s="232"/>
      <c r="GK100" s="232"/>
      <c r="GL100" s="232"/>
      <c r="GM100" s="232"/>
      <c r="GN100" s="232"/>
      <c r="GO100" s="232"/>
      <c r="GP100" s="232"/>
      <c r="GQ100" s="232"/>
      <c r="GR100" s="232"/>
      <c r="GS100" s="232"/>
      <c r="GT100" s="232"/>
      <c r="GU100" s="232"/>
      <c r="GV100" s="232"/>
      <c r="GW100" s="232"/>
      <c r="GX100" s="232"/>
      <c r="GY100" s="232"/>
      <c r="GZ100" s="232"/>
      <c r="HA100" s="232"/>
      <c r="HB100" s="232"/>
      <c r="HC100" s="232"/>
      <c r="HD100" s="232"/>
      <c r="HE100" s="232"/>
      <c r="HF100" s="232"/>
      <c r="HG100" s="232"/>
      <c r="HH100" s="232"/>
      <c r="HI100" s="232"/>
      <c r="HJ100" s="232"/>
      <c r="HK100" s="232"/>
      <c r="HL100" s="232"/>
      <c r="HM100" s="232"/>
      <c r="HN100" s="232"/>
      <c r="HO100" s="232"/>
      <c r="HP100" s="232"/>
      <c r="HQ100" s="232"/>
      <c r="HR100" s="232"/>
      <c r="HS100" s="232"/>
      <c r="HT100" s="232"/>
      <c r="HU100" s="232"/>
      <c r="HV100" s="232"/>
      <c r="HW100" s="232"/>
      <c r="HX100" s="232"/>
      <c r="HY100" s="232"/>
      <c r="HZ100" s="232"/>
      <c r="IA100" s="232"/>
      <c r="IB100" s="232"/>
      <c r="IC100" s="232"/>
      <c r="ID100" s="232"/>
      <c r="IE100" s="232"/>
      <c r="IF100" s="232"/>
      <c r="IG100" s="232"/>
      <c r="IH100" s="232"/>
      <c r="II100" s="232"/>
      <c r="IJ100" s="232"/>
      <c r="IK100" s="232"/>
      <c r="IL100" s="232"/>
      <c r="IM100" s="232"/>
      <c r="IN100" s="232"/>
      <c r="IO100" s="232"/>
      <c r="IP100" s="232"/>
      <c r="IQ100" s="232"/>
      <c r="IR100" s="232"/>
      <c r="IS100" s="232"/>
      <c r="IT100" s="232"/>
      <c r="IU100" s="232"/>
      <c r="IV100" s="232"/>
    </row>
    <row r="101" spans="1:256" s="182" customFormat="1" ht="90" customHeight="1">
      <c r="A101" s="346">
        <v>29</v>
      </c>
      <c r="B101" s="347" t="s">
        <v>1321</v>
      </c>
      <c r="C101" s="348" t="s">
        <v>134</v>
      </c>
      <c r="D101" s="347" t="s">
        <v>297</v>
      </c>
      <c r="E101" s="104" t="s">
        <v>114</v>
      </c>
      <c r="F101" s="353" t="s">
        <v>84</v>
      </c>
      <c r="G101" s="353" t="s">
        <v>296</v>
      </c>
      <c r="H101" s="348" t="s">
        <v>14</v>
      </c>
      <c r="I101" s="353" t="s">
        <v>173</v>
      </c>
      <c r="J101" s="351" t="s">
        <v>83</v>
      </c>
      <c r="K101" s="352" t="s">
        <v>83</v>
      </c>
      <c r="L101" s="351" t="s">
        <v>83</v>
      </c>
      <c r="M101" s="351">
        <v>42135</v>
      </c>
      <c r="N101" s="352">
        <v>9</v>
      </c>
      <c r="O101" s="351">
        <f>M101+(N101*31)</f>
        <v>42414</v>
      </c>
      <c r="P101" s="353" t="s">
        <v>122</v>
      </c>
      <c r="Q101" s="353" t="s">
        <v>123</v>
      </c>
      <c r="R101" s="353" t="s">
        <v>65</v>
      </c>
      <c r="S101" s="348" t="s">
        <v>118</v>
      </c>
      <c r="T101" s="348" t="s">
        <v>119</v>
      </c>
      <c r="U101" s="354">
        <v>7258770</v>
      </c>
      <c r="V101" s="109">
        <v>0</v>
      </c>
      <c r="W101" s="110">
        <v>6000000</v>
      </c>
      <c r="X101" s="355">
        <f>+U101</f>
        <v>7258770</v>
      </c>
      <c r="Y101" s="355">
        <v>0</v>
      </c>
      <c r="Z101" s="355">
        <f>+U101*0.01</f>
        <v>72587.7</v>
      </c>
      <c r="AA101" s="356" t="s">
        <v>132</v>
      </c>
      <c r="AB101" s="357"/>
      <c r="AC101" s="357"/>
      <c r="AD101" s="357"/>
      <c r="AE101" s="357"/>
      <c r="AF101" s="357"/>
      <c r="AG101" s="147"/>
    </row>
    <row r="102" spans="1:256" s="229" customFormat="1" ht="90" hidden="1" customHeight="1">
      <c r="A102" s="101">
        <f t="shared" si="6"/>
        <v>30</v>
      </c>
      <c r="B102" s="103" t="s">
        <v>298</v>
      </c>
      <c r="C102" s="104" t="s">
        <v>299</v>
      </c>
      <c r="D102" s="103" t="s">
        <v>300</v>
      </c>
      <c r="E102" s="104" t="s">
        <v>114</v>
      </c>
      <c r="F102" s="103" t="s">
        <v>91</v>
      </c>
      <c r="G102" s="106" t="s">
        <v>294</v>
      </c>
      <c r="H102" s="102" t="s">
        <v>200</v>
      </c>
      <c r="I102" s="103" t="s">
        <v>162</v>
      </c>
      <c r="J102" s="224">
        <v>42461</v>
      </c>
      <c r="K102" s="224"/>
      <c r="L102" s="224">
        <f t="shared" si="4"/>
        <v>42461</v>
      </c>
      <c r="M102" s="224">
        <v>42766</v>
      </c>
      <c r="N102" s="224"/>
      <c r="O102" s="224">
        <f t="shared" si="7"/>
        <v>42766</v>
      </c>
      <c r="P102" s="105" t="s">
        <v>122</v>
      </c>
      <c r="Q102" s="103" t="s">
        <v>115</v>
      </c>
      <c r="R102" s="103"/>
      <c r="S102" s="104" t="s">
        <v>143</v>
      </c>
      <c r="T102" s="104" t="s">
        <v>126</v>
      </c>
      <c r="U102" s="110">
        <f>+(2*190000+3*25000+10*2500+(1714473+3658606+929210+1293526+1350713+300000+10*1022001/14+750000+150000)*1.07)*1.23</f>
        <v>14904999.440871429</v>
      </c>
      <c r="V102" s="109">
        <v>0</v>
      </c>
      <c r="W102" s="110">
        <v>0</v>
      </c>
      <c r="X102" s="259">
        <f>+U102*0.235*0.3</f>
        <v>1050802.4605814356</v>
      </c>
      <c r="Y102" s="260">
        <f>+U102-X102-Z102</f>
        <v>12959897.013837708</v>
      </c>
      <c r="Z102" s="259">
        <f>+U102*0.06</f>
        <v>894299.96645228565</v>
      </c>
      <c r="AA102" s="226">
        <v>0</v>
      </c>
      <c r="AB102" s="219"/>
      <c r="AC102" s="219"/>
      <c r="AD102" s="219"/>
      <c r="AE102" s="219"/>
      <c r="AF102" s="219"/>
      <c r="AG102" s="100"/>
      <c r="AH102" s="227"/>
      <c r="AI102" s="228"/>
      <c r="AJ102" s="228"/>
      <c r="AK102" s="228"/>
      <c r="AL102" s="228"/>
      <c r="AM102" s="228"/>
      <c r="AN102" s="228"/>
      <c r="AO102" s="228"/>
      <c r="AP102" s="228"/>
      <c r="AQ102" s="228"/>
      <c r="AR102" s="228"/>
      <c r="AS102" s="228"/>
      <c r="AT102" s="228"/>
      <c r="AU102" s="228"/>
      <c r="AV102" s="228"/>
      <c r="AW102" s="228"/>
      <c r="AX102" s="228"/>
      <c r="AY102" s="228"/>
      <c r="AZ102" s="228"/>
      <c r="BA102" s="228"/>
      <c r="BB102" s="228"/>
      <c r="BC102" s="228"/>
      <c r="BD102" s="228"/>
      <c r="BE102" s="228"/>
      <c r="BF102" s="228"/>
      <c r="BG102" s="228"/>
      <c r="BH102" s="228"/>
      <c r="BI102" s="228"/>
      <c r="BJ102" s="228"/>
      <c r="BK102" s="228"/>
      <c r="BL102" s="228"/>
      <c r="BM102" s="228"/>
      <c r="BN102" s="228"/>
      <c r="BO102" s="228"/>
      <c r="BP102" s="228"/>
      <c r="BQ102" s="228"/>
      <c r="BR102" s="228"/>
      <c r="BS102" s="228"/>
      <c r="BT102" s="228"/>
      <c r="BU102" s="228"/>
      <c r="BV102" s="228"/>
      <c r="BW102" s="228"/>
      <c r="BX102" s="228"/>
      <c r="BY102" s="228"/>
      <c r="BZ102" s="228"/>
      <c r="CA102" s="228"/>
      <c r="CB102" s="228"/>
      <c r="CC102" s="228"/>
      <c r="CD102" s="228"/>
      <c r="CE102" s="228"/>
      <c r="CF102" s="228"/>
      <c r="CG102" s="228"/>
      <c r="CH102" s="228"/>
      <c r="CI102" s="228"/>
      <c r="CJ102" s="228"/>
      <c r="CK102" s="228"/>
      <c r="CL102" s="228"/>
      <c r="CM102" s="228"/>
      <c r="CN102" s="228"/>
      <c r="CO102" s="228"/>
      <c r="CP102" s="228"/>
      <c r="CQ102" s="228"/>
      <c r="CR102" s="228"/>
      <c r="CS102" s="228"/>
      <c r="CT102" s="228"/>
      <c r="CU102" s="228"/>
      <c r="CV102" s="228"/>
      <c r="CW102" s="228"/>
      <c r="CX102" s="228"/>
      <c r="CY102" s="228"/>
      <c r="CZ102" s="228"/>
      <c r="DA102" s="228"/>
      <c r="DB102" s="228"/>
      <c r="DC102" s="228"/>
      <c r="DD102" s="228"/>
      <c r="DE102" s="228"/>
      <c r="DF102" s="228"/>
      <c r="DG102" s="228"/>
      <c r="DH102" s="228"/>
      <c r="DI102" s="228"/>
      <c r="DJ102" s="228"/>
      <c r="DK102" s="228"/>
      <c r="DL102" s="228"/>
      <c r="DM102" s="228"/>
      <c r="DN102" s="228"/>
      <c r="DO102" s="228"/>
      <c r="DP102" s="228"/>
      <c r="DQ102" s="228"/>
      <c r="DR102" s="228"/>
      <c r="DS102" s="228"/>
      <c r="DT102" s="228"/>
      <c r="DU102" s="228"/>
      <c r="DV102" s="228"/>
      <c r="DW102" s="228"/>
      <c r="DX102" s="228"/>
      <c r="DY102" s="228"/>
      <c r="DZ102" s="228"/>
      <c r="EA102" s="228"/>
      <c r="EB102" s="228"/>
      <c r="EC102" s="228"/>
      <c r="ED102" s="228"/>
      <c r="EE102" s="228"/>
      <c r="EF102" s="228"/>
      <c r="EG102" s="228"/>
      <c r="EH102" s="228"/>
      <c r="EI102" s="228"/>
      <c r="EJ102" s="228"/>
      <c r="EK102" s="228"/>
      <c r="EL102" s="228"/>
      <c r="EM102" s="228"/>
      <c r="EN102" s="228"/>
      <c r="EO102" s="228"/>
      <c r="EP102" s="228"/>
      <c r="EQ102" s="228"/>
      <c r="ER102" s="228"/>
      <c r="ES102" s="228"/>
      <c r="ET102" s="228"/>
      <c r="EU102" s="228"/>
      <c r="EV102" s="228"/>
      <c r="EW102" s="228"/>
      <c r="EX102" s="228"/>
      <c r="EY102" s="228"/>
      <c r="EZ102" s="228"/>
      <c r="FA102" s="228"/>
      <c r="FB102" s="228"/>
      <c r="FC102" s="228"/>
      <c r="FD102" s="228"/>
      <c r="FE102" s="228"/>
      <c r="FF102" s="228"/>
      <c r="FG102" s="228"/>
      <c r="FH102" s="228"/>
      <c r="FI102" s="228"/>
      <c r="FJ102" s="228"/>
      <c r="FK102" s="228"/>
      <c r="FL102" s="228"/>
      <c r="FM102" s="228"/>
      <c r="FN102" s="228"/>
      <c r="FO102" s="228"/>
      <c r="FP102" s="228"/>
      <c r="FQ102" s="228"/>
      <c r="FR102" s="228"/>
      <c r="FS102" s="228"/>
      <c r="FT102" s="228"/>
      <c r="FU102" s="228"/>
      <c r="FV102" s="228"/>
      <c r="FW102" s="228"/>
      <c r="FX102" s="228"/>
      <c r="FY102" s="228"/>
      <c r="FZ102" s="228"/>
      <c r="GA102" s="228"/>
      <c r="GB102" s="228"/>
      <c r="GC102" s="228"/>
      <c r="GD102" s="228"/>
      <c r="GE102" s="228"/>
      <c r="GF102" s="228"/>
      <c r="GG102" s="228"/>
      <c r="GH102" s="228"/>
      <c r="GI102" s="228"/>
      <c r="GJ102" s="228"/>
      <c r="GK102" s="228"/>
      <c r="GL102" s="228"/>
      <c r="GM102" s="228"/>
      <c r="GN102" s="228"/>
      <c r="GO102" s="228"/>
      <c r="GP102" s="228"/>
      <c r="GQ102" s="228"/>
      <c r="GR102" s="228"/>
      <c r="GS102" s="228"/>
      <c r="GT102" s="228"/>
      <c r="GU102" s="228"/>
      <c r="GV102" s="228"/>
      <c r="GW102" s="228"/>
      <c r="GX102" s="228"/>
      <c r="GY102" s="228"/>
      <c r="GZ102" s="228"/>
      <c r="HA102" s="228"/>
      <c r="HB102" s="228"/>
      <c r="HC102" s="228"/>
      <c r="HD102" s="228"/>
      <c r="HE102" s="228"/>
      <c r="HF102" s="228"/>
      <c r="HG102" s="228"/>
      <c r="HH102" s="228"/>
      <c r="HI102" s="228"/>
      <c r="HJ102" s="228"/>
      <c r="HK102" s="228"/>
      <c r="HL102" s="228"/>
      <c r="HM102" s="228"/>
      <c r="HN102" s="228"/>
      <c r="HO102" s="228"/>
      <c r="HP102" s="228"/>
      <c r="HQ102" s="228"/>
      <c r="HR102" s="228"/>
      <c r="HS102" s="228"/>
      <c r="HT102" s="228"/>
      <c r="HU102" s="228"/>
      <c r="HV102" s="228"/>
      <c r="HW102" s="228"/>
      <c r="HX102" s="228"/>
      <c r="HY102" s="228"/>
      <c r="HZ102" s="228"/>
      <c r="IA102" s="228"/>
      <c r="IB102" s="228"/>
      <c r="IC102" s="228"/>
      <c r="ID102" s="228"/>
      <c r="IE102" s="228"/>
      <c r="IF102" s="228"/>
      <c r="IG102" s="228"/>
      <c r="IH102" s="228"/>
      <c r="II102" s="228"/>
      <c r="IJ102" s="228"/>
      <c r="IK102" s="228"/>
      <c r="IL102" s="228"/>
      <c r="IM102" s="228"/>
      <c r="IN102" s="228"/>
      <c r="IO102" s="228"/>
      <c r="IP102" s="228"/>
      <c r="IQ102" s="228"/>
      <c r="IR102" s="228"/>
      <c r="IS102" s="228"/>
      <c r="IT102" s="228"/>
      <c r="IU102" s="228"/>
      <c r="IV102" s="228"/>
    </row>
    <row r="103" spans="1:256" s="329" customFormat="1" ht="45" hidden="1">
      <c r="A103" s="400">
        <v>30</v>
      </c>
      <c r="B103" s="401" t="s">
        <v>1322</v>
      </c>
      <c r="C103" s="360" t="s">
        <v>134</v>
      </c>
      <c r="D103" s="401" t="s">
        <v>1254</v>
      </c>
      <c r="E103" s="104" t="s">
        <v>114</v>
      </c>
      <c r="F103" s="363" t="s">
        <v>141</v>
      </c>
      <c r="G103" s="363" t="s">
        <v>237</v>
      </c>
      <c r="H103" s="402" t="s">
        <v>3</v>
      </c>
      <c r="I103" s="363" t="s">
        <v>173</v>
      </c>
      <c r="J103" s="351">
        <v>42151</v>
      </c>
      <c r="K103" s="352">
        <v>9</v>
      </c>
      <c r="L103" s="351">
        <f>J103+(K103*31)</f>
        <v>42430</v>
      </c>
      <c r="M103" s="351">
        <v>42248</v>
      </c>
      <c r="N103" s="352">
        <v>6</v>
      </c>
      <c r="O103" s="351">
        <f>M103+(N103*31)</f>
        <v>42434</v>
      </c>
      <c r="P103" s="363" t="s">
        <v>122</v>
      </c>
      <c r="Q103" s="363" t="s">
        <v>123</v>
      </c>
      <c r="R103" s="363" t="s">
        <v>65</v>
      </c>
      <c r="S103" s="402" t="s">
        <v>143</v>
      </c>
      <c r="T103" s="360" t="s">
        <v>126</v>
      </c>
      <c r="U103" s="405">
        <v>18905782.18</v>
      </c>
      <c r="V103" s="109">
        <v>0</v>
      </c>
      <c r="W103" s="110">
        <v>5000000</v>
      </c>
      <c r="X103" s="355">
        <v>15722286</v>
      </c>
      <c r="Y103" s="355">
        <v>1555001</v>
      </c>
      <c r="Z103" s="355">
        <v>0</v>
      </c>
      <c r="AA103" s="406" t="s">
        <v>132</v>
      </c>
      <c r="AB103" s="361"/>
      <c r="AC103" s="361"/>
      <c r="AD103" s="361"/>
      <c r="AE103" s="361"/>
      <c r="AF103" s="361"/>
      <c r="AG103" s="362"/>
      <c r="AH103" s="331"/>
      <c r="AI103" s="331"/>
      <c r="AJ103" s="331"/>
      <c r="AK103" s="331"/>
      <c r="AL103" s="331"/>
      <c r="AM103" s="331"/>
      <c r="AN103" s="331"/>
      <c r="AO103" s="331"/>
      <c r="AP103" s="331"/>
      <c r="AQ103" s="331"/>
      <c r="AR103" s="331"/>
      <c r="AS103" s="331"/>
      <c r="AT103" s="331"/>
      <c r="AU103" s="331"/>
      <c r="AV103" s="331"/>
      <c r="AW103" s="331"/>
      <c r="AX103" s="331"/>
      <c r="AY103" s="331"/>
      <c r="AZ103" s="331"/>
      <c r="BA103" s="331"/>
      <c r="BB103" s="331"/>
      <c r="BC103" s="331"/>
      <c r="BD103" s="331"/>
      <c r="BE103" s="331"/>
      <c r="BF103" s="331"/>
      <c r="BG103" s="331"/>
      <c r="BH103" s="331"/>
      <c r="BI103" s="331"/>
      <c r="BJ103" s="331"/>
      <c r="BK103" s="331"/>
      <c r="BL103" s="331"/>
      <c r="BM103" s="331"/>
      <c r="BN103" s="331"/>
      <c r="BO103" s="331"/>
      <c r="BP103" s="331"/>
      <c r="BQ103" s="331"/>
      <c r="BR103" s="331"/>
      <c r="BS103" s="331"/>
      <c r="BT103" s="331"/>
      <c r="BU103" s="331"/>
      <c r="BV103" s="331"/>
      <c r="BW103" s="331"/>
      <c r="BX103" s="331"/>
      <c r="BY103" s="331"/>
      <c r="BZ103" s="331"/>
      <c r="CA103" s="331"/>
      <c r="CB103" s="331"/>
      <c r="CC103" s="331"/>
      <c r="CD103" s="331"/>
      <c r="CE103" s="331"/>
      <c r="CF103" s="331"/>
      <c r="CG103" s="331"/>
      <c r="CH103" s="331"/>
      <c r="CI103" s="331"/>
      <c r="CJ103" s="331"/>
      <c r="CK103" s="331"/>
      <c r="CL103" s="331"/>
      <c r="CM103" s="331"/>
      <c r="CN103" s="331"/>
      <c r="CO103" s="331"/>
      <c r="CP103" s="331"/>
      <c r="CQ103" s="331"/>
      <c r="CR103" s="331"/>
      <c r="CS103" s="331"/>
      <c r="CT103" s="331"/>
      <c r="CU103" s="331"/>
      <c r="CV103" s="331"/>
      <c r="CW103" s="331"/>
      <c r="CX103" s="331"/>
      <c r="CY103" s="331"/>
      <c r="CZ103" s="331"/>
      <c r="DA103" s="331"/>
      <c r="DB103" s="331"/>
      <c r="DC103" s="331"/>
      <c r="DD103" s="331"/>
      <c r="DE103" s="331"/>
      <c r="DF103" s="331"/>
      <c r="DG103" s="331"/>
      <c r="DH103" s="331"/>
      <c r="DI103" s="331"/>
      <c r="DJ103" s="331"/>
      <c r="DK103" s="331"/>
      <c r="DL103" s="331"/>
      <c r="DM103" s="331"/>
      <c r="DN103" s="331"/>
      <c r="DO103" s="331"/>
      <c r="DP103" s="331"/>
      <c r="DQ103" s="331"/>
      <c r="DR103" s="331"/>
      <c r="DS103" s="331"/>
      <c r="DT103" s="331"/>
      <c r="DU103" s="331"/>
      <c r="DV103" s="331"/>
      <c r="DW103" s="331"/>
      <c r="DX103" s="331"/>
      <c r="DY103" s="331"/>
      <c r="DZ103" s="331"/>
      <c r="EA103" s="331"/>
      <c r="EB103" s="331"/>
      <c r="EC103" s="331"/>
      <c r="ED103" s="331"/>
      <c r="EE103" s="331"/>
      <c r="EF103" s="331"/>
      <c r="EG103" s="331"/>
      <c r="EH103" s="331"/>
      <c r="EI103" s="331"/>
      <c r="EJ103" s="331"/>
      <c r="EK103" s="331"/>
      <c r="EL103" s="331"/>
      <c r="EM103" s="331"/>
      <c r="EN103" s="331"/>
      <c r="EO103" s="331"/>
      <c r="EP103" s="331"/>
      <c r="EQ103" s="331"/>
      <c r="ER103" s="331"/>
      <c r="ES103" s="331"/>
      <c r="ET103" s="331"/>
      <c r="EU103" s="331"/>
      <c r="EV103" s="331"/>
      <c r="EW103" s="331"/>
      <c r="EX103" s="331"/>
      <c r="EY103" s="331"/>
      <c r="EZ103" s="331"/>
      <c r="FA103" s="331"/>
      <c r="FB103" s="331"/>
      <c r="FC103" s="331"/>
      <c r="FD103" s="331"/>
      <c r="FE103" s="331"/>
      <c r="FF103" s="331"/>
      <c r="FG103" s="331"/>
      <c r="FH103" s="331"/>
      <c r="FI103" s="331"/>
      <c r="FJ103" s="331"/>
      <c r="FK103" s="331"/>
      <c r="FL103" s="331"/>
      <c r="FM103" s="331"/>
      <c r="FN103" s="331"/>
      <c r="FO103" s="331"/>
      <c r="FP103" s="331"/>
      <c r="FQ103" s="331"/>
      <c r="FR103" s="331"/>
      <c r="FS103" s="331"/>
      <c r="FT103" s="331"/>
      <c r="FU103" s="331"/>
      <c r="FV103" s="331"/>
      <c r="FW103" s="331"/>
      <c r="FX103" s="331"/>
      <c r="FY103" s="331"/>
      <c r="FZ103" s="331"/>
      <c r="GA103" s="331"/>
      <c r="GB103" s="331"/>
      <c r="GC103" s="331"/>
      <c r="GD103" s="331"/>
      <c r="GE103" s="331"/>
      <c r="GF103" s="331"/>
      <c r="GG103" s="331"/>
      <c r="GH103" s="331"/>
      <c r="GI103" s="331"/>
      <c r="GJ103" s="331"/>
      <c r="GK103" s="331"/>
      <c r="GL103" s="331"/>
      <c r="GM103" s="331"/>
      <c r="GN103" s="331"/>
      <c r="GO103" s="331"/>
      <c r="GP103" s="331"/>
      <c r="GQ103" s="331"/>
      <c r="GR103" s="331"/>
      <c r="GS103" s="331"/>
      <c r="GT103" s="331"/>
      <c r="GU103" s="331"/>
      <c r="GV103" s="331"/>
      <c r="GW103" s="331"/>
      <c r="GX103" s="331"/>
      <c r="GY103" s="331"/>
      <c r="GZ103" s="331"/>
      <c r="HA103" s="331"/>
      <c r="HB103" s="331"/>
      <c r="HC103" s="331"/>
      <c r="HD103" s="331"/>
      <c r="HE103" s="331"/>
      <c r="HF103" s="331"/>
      <c r="HG103" s="331"/>
      <c r="HH103" s="331"/>
      <c r="HI103" s="331"/>
      <c r="HJ103" s="331"/>
      <c r="HK103" s="331"/>
      <c r="HL103" s="331"/>
      <c r="HM103" s="331"/>
      <c r="HN103" s="331"/>
      <c r="HO103" s="331"/>
      <c r="HP103" s="331"/>
      <c r="HQ103" s="331"/>
      <c r="HR103" s="331"/>
      <c r="HS103" s="331"/>
      <c r="HT103" s="331"/>
      <c r="HU103" s="331"/>
      <c r="HV103" s="331"/>
      <c r="HW103" s="331"/>
      <c r="HX103" s="331"/>
      <c r="HY103" s="331"/>
      <c r="HZ103" s="331"/>
      <c r="IA103" s="331"/>
      <c r="IB103" s="331"/>
      <c r="IC103" s="331"/>
      <c r="ID103" s="331"/>
      <c r="IE103" s="331"/>
      <c r="IF103" s="331"/>
      <c r="IG103" s="331"/>
      <c r="IH103" s="331"/>
      <c r="II103" s="331"/>
      <c r="IJ103" s="331"/>
      <c r="IK103" s="331"/>
      <c r="IL103" s="331"/>
      <c r="IM103" s="331"/>
      <c r="IN103" s="331"/>
      <c r="IO103" s="331"/>
      <c r="IP103" s="331"/>
      <c r="IQ103" s="331"/>
      <c r="IR103" s="331"/>
      <c r="IS103" s="331"/>
      <c r="IT103" s="331"/>
      <c r="IU103" s="331"/>
      <c r="IV103" s="331"/>
    </row>
    <row r="104" spans="1:256" s="182" customFormat="1" ht="90" hidden="1" customHeight="1">
      <c r="A104" s="101">
        <v>32</v>
      </c>
      <c r="B104" s="103" t="s">
        <v>301</v>
      </c>
      <c r="C104" s="104" t="s">
        <v>302</v>
      </c>
      <c r="D104" s="103" t="s">
        <v>303</v>
      </c>
      <c r="E104" s="104" t="s">
        <v>114</v>
      </c>
      <c r="F104" s="103" t="s">
        <v>84</v>
      </c>
      <c r="G104" s="106" t="s">
        <v>84</v>
      </c>
      <c r="H104" s="102" t="s">
        <v>14</v>
      </c>
      <c r="I104" s="103" t="s">
        <v>90</v>
      </c>
      <c r="J104" s="224">
        <v>42095</v>
      </c>
      <c r="K104" s="224"/>
      <c r="L104" s="224">
        <f t="shared" si="4"/>
        <v>42095</v>
      </c>
      <c r="M104" s="224">
        <v>42338</v>
      </c>
      <c r="N104" s="224"/>
      <c r="O104" s="224">
        <f t="shared" si="7"/>
        <v>42338</v>
      </c>
      <c r="P104" s="105" t="s">
        <v>122</v>
      </c>
      <c r="Q104" s="103" t="s">
        <v>207</v>
      </c>
      <c r="R104" s="105" t="s">
        <v>1180</v>
      </c>
      <c r="S104" s="104" t="s">
        <v>143</v>
      </c>
      <c r="T104" s="104" t="s">
        <v>119</v>
      </c>
      <c r="U104" s="110">
        <f>1810000*4</f>
        <v>7240000</v>
      </c>
      <c r="V104" s="109">
        <v>0</v>
      </c>
      <c r="W104" s="110">
        <f>+U104</f>
        <v>7240000</v>
      </c>
      <c r="X104" s="259">
        <f>+U104*0.15</f>
        <v>1086000</v>
      </c>
      <c r="Y104" s="259">
        <v>0</v>
      </c>
      <c r="Z104" s="259">
        <f>+U104*0.01*4</f>
        <v>289600</v>
      </c>
      <c r="AA104" s="111" t="s">
        <v>132</v>
      </c>
      <c r="AB104" s="219"/>
      <c r="AC104" s="219"/>
      <c r="AD104" s="219"/>
      <c r="AE104" s="219"/>
      <c r="AF104" s="219"/>
      <c r="AG104" s="100"/>
      <c r="AH104" s="97"/>
    </row>
    <row r="105" spans="1:256" s="182" customFormat="1" ht="72" hidden="1" customHeight="1">
      <c r="A105" s="346">
        <v>31</v>
      </c>
      <c r="B105" s="347" t="s">
        <v>1323</v>
      </c>
      <c r="C105" s="348" t="s">
        <v>134</v>
      </c>
      <c r="D105" s="347" t="s">
        <v>1256</v>
      </c>
      <c r="E105" s="104" t="s">
        <v>114</v>
      </c>
      <c r="F105" s="353" t="s">
        <v>91</v>
      </c>
      <c r="G105" s="353" t="s">
        <v>161</v>
      </c>
      <c r="H105" s="348" t="s">
        <v>31</v>
      </c>
      <c r="I105" s="353" t="s">
        <v>136</v>
      </c>
      <c r="J105" s="351">
        <v>42151</v>
      </c>
      <c r="K105" s="352">
        <v>9</v>
      </c>
      <c r="L105" s="351">
        <f t="shared" si="4"/>
        <v>42430</v>
      </c>
      <c r="M105" s="351">
        <v>42248</v>
      </c>
      <c r="N105" s="352">
        <v>6</v>
      </c>
      <c r="O105" s="351">
        <f>M105+(N105*31)</f>
        <v>42434</v>
      </c>
      <c r="P105" s="353" t="s">
        <v>122</v>
      </c>
      <c r="Q105" s="353" t="s">
        <v>115</v>
      </c>
      <c r="R105" s="363" t="s">
        <v>1282</v>
      </c>
      <c r="S105" s="402" t="s">
        <v>143</v>
      </c>
      <c r="T105" s="348" t="s">
        <v>253</v>
      </c>
      <c r="U105" s="354">
        <v>44500000</v>
      </c>
      <c r="V105" s="109"/>
      <c r="W105" s="110">
        <v>0</v>
      </c>
      <c r="X105" s="355">
        <v>4591500</v>
      </c>
      <c r="Y105" s="355">
        <v>3660125</v>
      </c>
      <c r="Z105" s="355">
        <v>36248375</v>
      </c>
      <c r="AA105" s="356" t="s">
        <v>132</v>
      </c>
      <c r="AB105" s="357"/>
      <c r="AC105" s="357"/>
      <c r="AD105" s="357"/>
      <c r="AE105" s="357"/>
      <c r="AF105" s="357"/>
      <c r="AG105" s="147"/>
    </row>
    <row r="106" spans="1:256" s="229" customFormat="1" ht="90" hidden="1" customHeight="1">
      <c r="A106" s="101">
        <f t="shared" si="6"/>
        <v>32</v>
      </c>
      <c r="B106" s="103" t="s">
        <v>304</v>
      </c>
      <c r="C106" s="104" t="s">
        <v>134</v>
      </c>
      <c r="D106" s="103" t="s">
        <v>305</v>
      </c>
      <c r="E106" s="104" t="s">
        <v>114</v>
      </c>
      <c r="F106" s="103" t="s">
        <v>84</v>
      </c>
      <c r="G106" s="106" t="s">
        <v>296</v>
      </c>
      <c r="H106" s="102" t="s">
        <v>14</v>
      </c>
      <c r="I106" s="103" t="s">
        <v>136</v>
      </c>
      <c r="J106" s="224">
        <v>42125</v>
      </c>
      <c r="K106" s="224"/>
      <c r="L106" s="224">
        <f t="shared" si="4"/>
        <v>42125</v>
      </c>
      <c r="M106" s="224">
        <v>42825</v>
      </c>
      <c r="N106" s="224"/>
      <c r="O106" s="224">
        <f t="shared" si="7"/>
        <v>42825</v>
      </c>
      <c r="P106" s="105" t="s">
        <v>122</v>
      </c>
      <c r="Q106" s="103" t="s">
        <v>115</v>
      </c>
      <c r="R106" s="103"/>
      <c r="S106" s="104" t="s">
        <v>143</v>
      </c>
      <c r="T106" s="104" t="s">
        <v>126</v>
      </c>
      <c r="U106" s="110">
        <v>42000000</v>
      </c>
      <c r="V106" s="109"/>
      <c r="W106" s="110">
        <v>0</v>
      </c>
      <c r="X106" s="259">
        <f>1200000+34600000</f>
        <v>35800000</v>
      </c>
      <c r="Y106" s="260">
        <f>+U106-W106-X106</f>
        <v>6200000</v>
      </c>
      <c r="Z106" s="259">
        <v>0</v>
      </c>
      <c r="AA106" s="226">
        <f>+U106*0.01</f>
        <v>420000</v>
      </c>
      <c r="AB106" s="219"/>
      <c r="AC106" s="219"/>
      <c r="AD106" s="219"/>
      <c r="AE106" s="219"/>
      <c r="AF106" s="219"/>
      <c r="AG106" s="100"/>
      <c r="AH106" s="227"/>
      <c r="AI106" s="228"/>
      <c r="AJ106" s="228"/>
      <c r="AK106" s="228"/>
      <c r="AL106" s="228"/>
      <c r="AM106" s="228"/>
      <c r="AN106" s="228"/>
      <c r="AO106" s="228"/>
      <c r="AP106" s="228"/>
      <c r="AQ106" s="228"/>
      <c r="AR106" s="228"/>
      <c r="AS106" s="228"/>
      <c r="AT106" s="228"/>
      <c r="AU106" s="228"/>
      <c r="AV106" s="228"/>
      <c r="AW106" s="228"/>
      <c r="AX106" s="228"/>
      <c r="AY106" s="228"/>
      <c r="AZ106" s="228"/>
      <c r="BA106" s="228"/>
      <c r="BB106" s="228"/>
      <c r="BC106" s="228"/>
      <c r="BD106" s="228"/>
      <c r="BE106" s="228"/>
      <c r="BF106" s="228"/>
      <c r="BG106" s="228"/>
      <c r="BH106" s="228"/>
      <c r="BI106" s="228"/>
      <c r="BJ106" s="228"/>
      <c r="BK106" s="228"/>
      <c r="BL106" s="228"/>
      <c r="BM106" s="228"/>
      <c r="BN106" s="228"/>
      <c r="BO106" s="228"/>
      <c r="BP106" s="228"/>
      <c r="BQ106" s="228"/>
      <c r="BR106" s="228"/>
      <c r="BS106" s="228"/>
      <c r="BT106" s="228"/>
      <c r="BU106" s="228"/>
      <c r="BV106" s="228"/>
      <c r="BW106" s="228"/>
      <c r="BX106" s="228"/>
      <c r="BY106" s="228"/>
      <c r="BZ106" s="228"/>
      <c r="CA106" s="228"/>
      <c r="CB106" s="228"/>
      <c r="CC106" s="228"/>
      <c r="CD106" s="228"/>
      <c r="CE106" s="228"/>
      <c r="CF106" s="228"/>
      <c r="CG106" s="228"/>
      <c r="CH106" s="228"/>
      <c r="CI106" s="228"/>
      <c r="CJ106" s="228"/>
      <c r="CK106" s="228"/>
      <c r="CL106" s="228"/>
      <c r="CM106" s="228"/>
      <c r="CN106" s="228"/>
      <c r="CO106" s="228"/>
      <c r="CP106" s="228"/>
      <c r="CQ106" s="228"/>
      <c r="CR106" s="228"/>
      <c r="CS106" s="228"/>
      <c r="CT106" s="228"/>
      <c r="CU106" s="228"/>
      <c r="CV106" s="228"/>
      <c r="CW106" s="228"/>
      <c r="CX106" s="228"/>
      <c r="CY106" s="228"/>
      <c r="CZ106" s="228"/>
      <c r="DA106" s="228"/>
      <c r="DB106" s="228"/>
      <c r="DC106" s="228"/>
      <c r="DD106" s="228"/>
      <c r="DE106" s="228"/>
      <c r="DF106" s="228"/>
      <c r="DG106" s="228"/>
      <c r="DH106" s="228"/>
      <c r="DI106" s="228"/>
      <c r="DJ106" s="228"/>
      <c r="DK106" s="228"/>
      <c r="DL106" s="228"/>
      <c r="DM106" s="228"/>
      <c r="DN106" s="228"/>
      <c r="DO106" s="228"/>
      <c r="DP106" s="228"/>
      <c r="DQ106" s="228"/>
      <c r="DR106" s="228"/>
      <c r="DS106" s="228"/>
      <c r="DT106" s="228"/>
      <c r="DU106" s="228"/>
      <c r="DV106" s="228"/>
      <c r="DW106" s="228"/>
      <c r="DX106" s="228"/>
      <c r="DY106" s="228"/>
      <c r="DZ106" s="228"/>
      <c r="EA106" s="228"/>
      <c r="EB106" s="228"/>
      <c r="EC106" s="228"/>
      <c r="ED106" s="228"/>
      <c r="EE106" s="228"/>
      <c r="EF106" s="228"/>
      <c r="EG106" s="228"/>
      <c r="EH106" s="228"/>
      <c r="EI106" s="228"/>
      <c r="EJ106" s="228"/>
      <c r="EK106" s="228"/>
      <c r="EL106" s="228"/>
      <c r="EM106" s="228"/>
      <c r="EN106" s="228"/>
      <c r="EO106" s="228"/>
      <c r="EP106" s="228"/>
      <c r="EQ106" s="228"/>
      <c r="ER106" s="228"/>
      <c r="ES106" s="228"/>
      <c r="ET106" s="228"/>
      <c r="EU106" s="228"/>
      <c r="EV106" s="228"/>
      <c r="EW106" s="228"/>
      <c r="EX106" s="228"/>
      <c r="EY106" s="228"/>
      <c r="EZ106" s="228"/>
      <c r="FA106" s="228"/>
      <c r="FB106" s="228"/>
      <c r="FC106" s="228"/>
      <c r="FD106" s="228"/>
      <c r="FE106" s="228"/>
      <c r="FF106" s="228"/>
      <c r="FG106" s="228"/>
      <c r="FH106" s="228"/>
      <c r="FI106" s="228"/>
      <c r="FJ106" s="228"/>
      <c r="FK106" s="228"/>
      <c r="FL106" s="228"/>
      <c r="FM106" s="228"/>
      <c r="FN106" s="228"/>
      <c r="FO106" s="228"/>
      <c r="FP106" s="228"/>
      <c r="FQ106" s="228"/>
      <c r="FR106" s="228"/>
      <c r="FS106" s="228"/>
      <c r="FT106" s="228"/>
      <c r="FU106" s="228"/>
      <c r="FV106" s="228"/>
      <c r="FW106" s="228"/>
      <c r="FX106" s="228"/>
      <c r="FY106" s="228"/>
      <c r="FZ106" s="228"/>
      <c r="GA106" s="228"/>
      <c r="GB106" s="228"/>
      <c r="GC106" s="228"/>
      <c r="GD106" s="228"/>
      <c r="GE106" s="228"/>
      <c r="GF106" s="228"/>
      <c r="GG106" s="228"/>
      <c r="GH106" s="228"/>
      <c r="GI106" s="228"/>
      <c r="GJ106" s="228"/>
      <c r="GK106" s="228"/>
      <c r="GL106" s="228"/>
      <c r="GM106" s="228"/>
      <c r="GN106" s="228"/>
      <c r="GO106" s="228"/>
      <c r="GP106" s="228"/>
      <c r="GQ106" s="228"/>
      <c r="GR106" s="228"/>
      <c r="GS106" s="228"/>
      <c r="GT106" s="228"/>
      <c r="GU106" s="228"/>
      <c r="GV106" s="228"/>
      <c r="GW106" s="228"/>
      <c r="GX106" s="228"/>
      <c r="GY106" s="228"/>
      <c r="GZ106" s="228"/>
      <c r="HA106" s="228"/>
      <c r="HB106" s="228"/>
      <c r="HC106" s="228"/>
      <c r="HD106" s="228"/>
      <c r="HE106" s="228"/>
      <c r="HF106" s="228"/>
      <c r="HG106" s="228"/>
      <c r="HH106" s="228"/>
      <c r="HI106" s="228"/>
      <c r="HJ106" s="228"/>
      <c r="HK106" s="228"/>
      <c r="HL106" s="228"/>
      <c r="HM106" s="228"/>
      <c r="HN106" s="228"/>
      <c r="HO106" s="228"/>
      <c r="HP106" s="228"/>
      <c r="HQ106" s="228"/>
      <c r="HR106" s="228"/>
      <c r="HS106" s="228"/>
      <c r="HT106" s="228"/>
      <c r="HU106" s="228"/>
      <c r="HV106" s="228"/>
      <c r="HW106" s="228"/>
      <c r="HX106" s="228"/>
      <c r="HY106" s="228"/>
      <c r="HZ106" s="228"/>
      <c r="IA106" s="228"/>
      <c r="IB106" s="228"/>
      <c r="IC106" s="228"/>
      <c r="ID106" s="228"/>
      <c r="IE106" s="228"/>
      <c r="IF106" s="228"/>
      <c r="IG106" s="228"/>
      <c r="IH106" s="228"/>
      <c r="II106" s="228"/>
      <c r="IJ106" s="228"/>
      <c r="IK106" s="228"/>
      <c r="IL106" s="228"/>
      <c r="IM106" s="228"/>
      <c r="IN106" s="228"/>
      <c r="IO106" s="228"/>
      <c r="IP106" s="228"/>
      <c r="IQ106" s="228"/>
      <c r="IR106" s="228"/>
      <c r="IS106" s="228"/>
      <c r="IT106" s="228"/>
      <c r="IU106" s="228"/>
      <c r="IV106" s="228"/>
    </row>
    <row r="107" spans="1:256" s="229" customFormat="1" ht="90" hidden="1" customHeight="1">
      <c r="A107" s="101">
        <f t="shared" si="6"/>
        <v>33</v>
      </c>
      <c r="B107" s="103" t="s">
        <v>306</v>
      </c>
      <c r="C107" s="104" t="s">
        <v>134</v>
      </c>
      <c r="D107" s="103" t="s">
        <v>307</v>
      </c>
      <c r="E107" s="104" t="s">
        <v>114</v>
      </c>
      <c r="F107" s="103" t="s">
        <v>84</v>
      </c>
      <c r="G107" s="106" t="s">
        <v>230</v>
      </c>
      <c r="H107" s="102" t="s">
        <v>14</v>
      </c>
      <c r="I107" s="103" t="s">
        <v>136</v>
      </c>
      <c r="J107" s="224">
        <v>42095</v>
      </c>
      <c r="K107" s="224"/>
      <c r="L107" s="224">
        <f t="shared" si="4"/>
        <v>42095</v>
      </c>
      <c r="M107" s="224">
        <v>42735</v>
      </c>
      <c r="N107" s="224"/>
      <c r="O107" s="224">
        <f t="shared" si="7"/>
        <v>42735</v>
      </c>
      <c r="P107" s="105" t="s">
        <v>122</v>
      </c>
      <c r="Q107" s="103" t="s">
        <v>115</v>
      </c>
      <c r="R107" s="103"/>
      <c r="S107" s="104" t="s">
        <v>138</v>
      </c>
      <c r="T107" s="104" t="s">
        <v>126</v>
      </c>
      <c r="U107" s="110">
        <v>30000000</v>
      </c>
      <c r="V107" s="109"/>
      <c r="W107" s="110">
        <v>0</v>
      </c>
      <c r="X107" s="259">
        <v>0</v>
      </c>
      <c r="Y107" s="260">
        <v>1500000</v>
      </c>
      <c r="Z107" s="259">
        <v>28500000</v>
      </c>
      <c r="AA107" s="226">
        <v>0</v>
      </c>
      <c r="AB107" s="219"/>
      <c r="AC107" s="219"/>
      <c r="AD107" s="219"/>
      <c r="AE107" s="219"/>
      <c r="AF107" s="219"/>
      <c r="AG107" s="100"/>
      <c r="AH107" s="230"/>
    </row>
    <row r="108" spans="1:256" s="229" customFormat="1" ht="90" hidden="1" customHeight="1">
      <c r="A108" s="101">
        <f t="shared" si="6"/>
        <v>34</v>
      </c>
      <c r="B108" s="103" t="s">
        <v>308</v>
      </c>
      <c r="C108" s="104" t="s">
        <v>134</v>
      </c>
      <c r="D108" s="103" t="s">
        <v>310</v>
      </c>
      <c r="E108" s="104" t="s">
        <v>114</v>
      </c>
      <c r="F108" s="103" t="s">
        <v>88</v>
      </c>
      <c r="G108" s="106" t="s">
        <v>308</v>
      </c>
      <c r="H108" s="102" t="s">
        <v>309</v>
      </c>
      <c r="I108" s="103" t="s">
        <v>173</v>
      </c>
      <c r="J108" s="224">
        <v>42461</v>
      </c>
      <c r="K108" s="224"/>
      <c r="L108" s="224">
        <f t="shared" si="4"/>
        <v>42461</v>
      </c>
      <c r="M108" s="224">
        <v>43100</v>
      </c>
      <c r="N108" s="224"/>
      <c r="O108" s="224">
        <f t="shared" si="7"/>
        <v>43100</v>
      </c>
      <c r="P108" s="105" t="s">
        <v>122</v>
      </c>
      <c r="Q108" s="103" t="s">
        <v>123</v>
      </c>
      <c r="R108" s="103"/>
      <c r="S108" s="104" t="s">
        <v>138</v>
      </c>
      <c r="T108" s="104" t="s">
        <v>126</v>
      </c>
      <c r="U108" s="110">
        <v>22000000</v>
      </c>
      <c r="V108" s="109"/>
      <c r="W108" s="110">
        <v>0</v>
      </c>
      <c r="X108" s="259">
        <v>0</v>
      </c>
      <c r="Y108" s="260">
        <v>600000</v>
      </c>
      <c r="Z108" s="259">
        <v>21400000</v>
      </c>
      <c r="AA108" s="226">
        <v>0</v>
      </c>
      <c r="AB108" s="219"/>
      <c r="AC108" s="219"/>
      <c r="AD108" s="219"/>
      <c r="AE108" s="219"/>
      <c r="AF108" s="219"/>
      <c r="AG108" s="100"/>
      <c r="AH108" s="230"/>
    </row>
    <row r="109" spans="1:256" s="229" customFormat="1" ht="90" hidden="1" customHeight="1">
      <c r="A109" s="101">
        <f t="shared" si="6"/>
        <v>35</v>
      </c>
      <c r="B109" s="103" t="s">
        <v>311</v>
      </c>
      <c r="C109" s="104" t="s">
        <v>134</v>
      </c>
      <c r="D109" s="103" t="s">
        <v>312</v>
      </c>
      <c r="E109" s="104" t="s">
        <v>114</v>
      </c>
      <c r="F109" s="103" t="s">
        <v>84</v>
      </c>
      <c r="G109" s="106" t="s">
        <v>158</v>
      </c>
      <c r="H109" s="102" t="s">
        <v>96</v>
      </c>
      <c r="I109" s="103" t="s">
        <v>278</v>
      </c>
      <c r="J109" s="224">
        <v>42461</v>
      </c>
      <c r="K109" s="224"/>
      <c r="L109" s="224">
        <f t="shared" si="4"/>
        <v>42461</v>
      </c>
      <c r="M109" s="224">
        <v>42825</v>
      </c>
      <c r="N109" s="224"/>
      <c r="O109" s="224">
        <f t="shared" si="7"/>
        <v>42825</v>
      </c>
      <c r="P109" s="105" t="s">
        <v>122</v>
      </c>
      <c r="Q109" s="103" t="s">
        <v>251</v>
      </c>
      <c r="R109" s="103"/>
      <c r="S109" s="104" t="s">
        <v>143</v>
      </c>
      <c r="T109" s="104" t="s">
        <v>126</v>
      </c>
      <c r="U109" s="110">
        <v>18000000</v>
      </c>
      <c r="V109" s="109"/>
      <c r="W109" s="110">
        <v>0</v>
      </c>
      <c r="X109" s="259">
        <v>900000</v>
      </c>
      <c r="Y109" s="260">
        <v>17100000</v>
      </c>
      <c r="Z109" s="259">
        <v>0</v>
      </c>
      <c r="AA109" s="226">
        <v>0</v>
      </c>
      <c r="AB109" s="219"/>
      <c r="AC109" s="219"/>
      <c r="AD109" s="219"/>
      <c r="AE109" s="219"/>
      <c r="AF109" s="219"/>
      <c r="AG109" s="100"/>
      <c r="AH109" s="230"/>
    </row>
    <row r="110" spans="1:256" s="229" customFormat="1" ht="90" hidden="1" customHeight="1">
      <c r="A110" s="101">
        <f t="shared" si="6"/>
        <v>36</v>
      </c>
      <c r="B110" s="103" t="s">
        <v>313</v>
      </c>
      <c r="C110" s="104" t="s">
        <v>138</v>
      </c>
      <c r="D110" s="103" t="s">
        <v>314</v>
      </c>
      <c r="E110" s="104" t="s">
        <v>114</v>
      </c>
      <c r="F110" s="103" t="s">
        <v>84</v>
      </c>
      <c r="G110" s="106" t="s">
        <v>165</v>
      </c>
      <c r="H110" s="102" t="s">
        <v>96</v>
      </c>
      <c r="I110" s="103" t="s">
        <v>173</v>
      </c>
      <c r="J110" s="224">
        <v>42461</v>
      </c>
      <c r="K110" s="224"/>
      <c r="L110" s="224">
        <f t="shared" si="4"/>
        <v>42461</v>
      </c>
      <c r="M110" s="224">
        <v>43100</v>
      </c>
      <c r="N110" s="224"/>
      <c r="O110" s="224">
        <f t="shared" si="7"/>
        <v>43100</v>
      </c>
      <c r="P110" s="105" t="s">
        <v>122</v>
      </c>
      <c r="Q110" s="103" t="s">
        <v>123</v>
      </c>
      <c r="R110" s="103"/>
      <c r="S110" s="104" t="s">
        <v>138</v>
      </c>
      <c r="T110" s="104" t="s">
        <v>126</v>
      </c>
      <c r="U110" s="110">
        <v>23000000</v>
      </c>
      <c r="V110" s="109"/>
      <c r="W110" s="110">
        <v>0</v>
      </c>
      <c r="X110" s="259">
        <v>0</v>
      </c>
      <c r="Y110" s="260">
        <v>1150000</v>
      </c>
      <c r="Z110" s="259">
        <v>21850000</v>
      </c>
      <c r="AA110" s="226">
        <v>0</v>
      </c>
      <c r="AB110" s="219"/>
      <c r="AC110" s="219"/>
      <c r="AD110" s="219"/>
      <c r="AE110" s="219"/>
      <c r="AF110" s="219"/>
      <c r="AG110" s="100"/>
      <c r="AH110" s="230"/>
    </row>
    <row r="111" spans="1:256" s="229" customFormat="1" ht="90" hidden="1" customHeight="1">
      <c r="A111" s="101">
        <f t="shared" si="6"/>
        <v>37</v>
      </c>
      <c r="B111" s="103" t="s">
        <v>315</v>
      </c>
      <c r="C111" s="104" t="s">
        <v>134</v>
      </c>
      <c r="D111" s="103" t="s">
        <v>316</v>
      </c>
      <c r="E111" s="104" t="s">
        <v>114</v>
      </c>
      <c r="F111" s="103" t="s">
        <v>91</v>
      </c>
      <c r="G111" s="106" t="s">
        <v>197</v>
      </c>
      <c r="H111" s="102" t="s">
        <v>7</v>
      </c>
      <c r="I111" s="103" t="s">
        <v>173</v>
      </c>
      <c r="J111" s="224">
        <v>42461</v>
      </c>
      <c r="K111" s="224"/>
      <c r="L111" s="224">
        <f t="shared" si="4"/>
        <v>42461</v>
      </c>
      <c r="M111" s="224">
        <v>42825</v>
      </c>
      <c r="N111" s="224"/>
      <c r="O111" s="224">
        <f t="shared" si="7"/>
        <v>42825</v>
      </c>
      <c r="P111" s="105" t="s">
        <v>122</v>
      </c>
      <c r="Q111" s="103" t="s">
        <v>123</v>
      </c>
      <c r="R111" s="103"/>
      <c r="S111" s="104" t="s">
        <v>138</v>
      </c>
      <c r="T111" s="104" t="s">
        <v>253</v>
      </c>
      <c r="U111" s="110">
        <f>+(14*((1141850+1714473+2097122)/9)+3658606+1350713+929210+1293526+22*1022001/14+300000+1050000+150000+9*190000+12*10000)*1.23*1.07</f>
        <v>26155402.087323807</v>
      </c>
      <c r="V111" s="109"/>
      <c r="W111" s="110">
        <v>0</v>
      </c>
      <c r="X111" s="259">
        <v>0</v>
      </c>
      <c r="Y111" s="260">
        <f>+U111*0.235*0.3</f>
        <v>1843955.8471563284</v>
      </c>
      <c r="Z111" s="259">
        <f>+U111-Y111-AA111</f>
        <v>22742122.114928052</v>
      </c>
      <c r="AA111" s="226">
        <f>+U111*0.06</f>
        <v>1569324.1252394284</v>
      </c>
      <c r="AB111" s="219"/>
      <c r="AC111" s="219"/>
      <c r="AD111" s="219"/>
      <c r="AE111" s="219"/>
      <c r="AF111" s="219"/>
      <c r="AG111" s="100"/>
      <c r="AH111" s="230"/>
    </row>
    <row r="112" spans="1:256" s="229" customFormat="1" ht="90" hidden="1" customHeight="1">
      <c r="A112" s="101">
        <f t="shared" si="6"/>
        <v>38</v>
      </c>
      <c r="B112" s="103" t="s">
        <v>317</v>
      </c>
      <c r="C112" s="104" t="s">
        <v>134</v>
      </c>
      <c r="D112" s="103" t="s">
        <v>318</v>
      </c>
      <c r="E112" s="104" t="s">
        <v>114</v>
      </c>
      <c r="F112" s="103" t="s">
        <v>91</v>
      </c>
      <c r="G112" s="106" t="s">
        <v>197</v>
      </c>
      <c r="H112" s="102" t="s">
        <v>7</v>
      </c>
      <c r="I112" s="103" t="s">
        <v>173</v>
      </c>
      <c r="J112" s="224">
        <v>42461</v>
      </c>
      <c r="K112" s="224"/>
      <c r="L112" s="224">
        <f t="shared" si="4"/>
        <v>42461</v>
      </c>
      <c r="M112" s="224">
        <v>43100</v>
      </c>
      <c r="N112" s="224"/>
      <c r="O112" s="224">
        <f t="shared" si="7"/>
        <v>43100</v>
      </c>
      <c r="P112" s="105" t="s">
        <v>122</v>
      </c>
      <c r="Q112" s="103" t="s">
        <v>123</v>
      </c>
      <c r="R112" s="103"/>
      <c r="S112" s="104" t="s">
        <v>138</v>
      </c>
      <c r="T112" s="104"/>
      <c r="U112" s="110">
        <f>+(1350713+929210+300000+250000+1293526+4298671+1050000+150000+25*190000+450000)*1.23*1.07</f>
        <v>19507392.132000003</v>
      </c>
      <c r="V112" s="109"/>
      <c r="W112" s="110">
        <v>0</v>
      </c>
      <c r="X112" s="259">
        <v>0</v>
      </c>
      <c r="Y112" s="260">
        <f>+U112*0.235*0.3</f>
        <v>1375271.1453060003</v>
      </c>
      <c r="Z112" s="259">
        <f>+U112-Y112-AA112</f>
        <v>16961677.458774004</v>
      </c>
      <c r="AA112" s="226">
        <f>+U112*0.06</f>
        <v>1170443.52792</v>
      </c>
      <c r="AB112" s="219"/>
      <c r="AC112" s="219"/>
      <c r="AD112" s="219"/>
      <c r="AE112" s="219"/>
      <c r="AF112" s="219"/>
      <c r="AG112" s="100"/>
      <c r="AH112" s="230"/>
    </row>
    <row r="113" spans="1:256" s="229" customFormat="1" ht="90" hidden="1" customHeight="1">
      <c r="A113" s="101">
        <f t="shared" si="6"/>
        <v>39</v>
      </c>
      <c r="B113" s="103" t="s">
        <v>319</v>
      </c>
      <c r="C113" s="104" t="s">
        <v>134</v>
      </c>
      <c r="D113" s="103" t="s">
        <v>321</v>
      </c>
      <c r="E113" s="104" t="s">
        <v>114</v>
      </c>
      <c r="F113" s="103" t="s">
        <v>88</v>
      </c>
      <c r="G113" s="106" t="s">
        <v>320</v>
      </c>
      <c r="H113" s="102" t="s">
        <v>23</v>
      </c>
      <c r="I113" s="103" t="s">
        <v>173</v>
      </c>
      <c r="J113" s="224">
        <v>42461</v>
      </c>
      <c r="K113" s="224"/>
      <c r="L113" s="224">
        <f t="shared" si="4"/>
        <v>42461</v>
      </c>
      <c r="M113" s="224">
        <v>43100</v>
      </c>
      <c r="N113" s="224"/>
      <c r="O113" s="224">
        <f t="shared" si="7"/>
        <v>43100</v>
      </c>
      <c r="P113" s="105" t="s">
        <v>122</v>
      </c>
      <c r="Q113" s="103" t="s">
        <v>123</v>
      </c>
      <c r="R113" s="103"/>
      <c r="S113" s="104" t="s">
        <v>138</v>
      </c>
      <c r="T113" s="104"/>
      <c r="U113" s="110">
        <f>+(1823640+12*((1141850+1714473+2097122)/9)+3658606+1293526+1350713+300000+929210+12*1022001/14+1050000+150000)*1.23*1.07</f>
        <v>23737560.203585718</v>
      </c>
      <c r="V113" s="109"/>
      <c r="W113" s="110">
        <v>0</v>
      </c>
      <c r="X113" s="259">
        <v>0</v>
      </c>
      <c r="Y113" s="260">
        <f>+U113*0.235*0.3</f>
        <v>1673497.9943527931</v>
      </c>
      <c r="Z113" s="259">
        <f>+U113-Y113-AA113</f>
        <v>20639808.597017784</v>
      </c>
      <c r="AA113" s="226">
        <f>+U113*0.06</f>
        <v>1424253.6122151429</v>
      </c>
      <c r="AB113" s="219"/>
      <c r="AC113" s="219"/>
      <c r="AD113" s="219"/>
      <c r="AE113" s="219"/>
      <c r="AF113" s="219"/>
      <c r="AG113" s="100"/>
      <c r="AH113" s="231"/>
      <c r="AI113" s="232"/>
      <c r="AJ113" s="232"/>
      <c r="AK113" s="232"/>
      <c r="AL113" s="232"/>
      <c r="AM113" s="232"/>
      <c r="AN113" s="232"/>
      <c r="AO113" s="232"/>
      <c r="AP113" s="232"/>
      <c r="AQ113" s="232"/>
      <c r="AR113" s="232"/>
      <c r="AS113" s="232"/>
      <c r="AT113" s="232"/>
      <c r="AU113" s="232"/>
      <c r="AV113" s="232"/>
      <c r="AW113" s="232"/>
      <c r="AX113" s="232"/>
      <c r="AY113" s="232"/>
      <c r="AZ113" s="232"/>
      <c r="BA113" s="232"/>
      <c r="BB113" s="232"/>
      <c r="BC113" s="232"/>
      <c r="BD113" s="232"/>
      <c r="BE113" s="232"/>
      <c r="BF113" s="232"/>
      <c r="BG113" s="232"/>
      <c r="BH113" s="232"/>
      <c r="BI113" s="232"/>
      <c r="BJ113" s="232"/>
      <c r="BK113" s="232"/>
      <c r="BL113" s="232"/>
      <c r="BM113" s="232"/>
      <c r="BN113" s="232"/>
      <c r="BO113" s="232"/>
      <c r="BP113" s="232"/>
      <c r="BQ113" s="232"/>
      <c r="BR113" s="232"/>
      <c r="BS113" s="232"/>
      <c r="BT113" s="232"/>
      <c r="BU113" s="232"/>
      <c r="BV113" s="232"/>
      <c r="BW113" s="232"/>
      <c r="BX113" s="232"/>
      <c r="BY113" s="232"/>
      <c r="BZ113" s="232"/>
      <c r="CA113" s="232"/>
      <c r="CB113" s="232"/>
      <c r="CC113" s="232"/>
      <c r="CD113" s="232"/>
      <c r="CE113" s="232"/>
      <c r="CF113" s="232"/>
      <c r="CG113" s="232"/>
      <c r="CH113" s="232"/>
      <c r="CI113" s="232"/>
      <c r="CJ113" s="232"/>
      <c r="CK113" s="232"/>
      <c r="CL113" s="232"/>
      <c r="CM113" s="232"/>
      <c r="CN113" s="232"/>
      <c r="CO113" s="232"/>
      <c r="CP113" s="232"/>
      <c r="CQ113" s="232"/>
      <c r="CR113" s="232"/>
      <c r="CS113" s="232"/>
      <c r="CT113" s="232"/>
      <c r="CU113" s="232"/>
      <c r="CV113" s="232"/>
      <c r="CW113" s="232"/>
      <c r="CX113" s="232"/>
      <c r="CY113" s="232"/>
      <c r="CZ113" s="232"/>
      <c r="DA113" s="232"/>
      <c r="DB113" s="232"/>
      <c r="DC113" s="232"/>
      <c r="DD113" s="232"/>
      <c r="DE113" s="232"/>
      <c r="DF113" s="232"/>
      <c r="DG113" s="232"/>
      <c r="DH113" s="232"/>
      <c r="DI113" s="232"/>
      <c r="DJ113" s="232"/>
      <c r="DK113" s="232"/>
      <c r="DL113" s="232"/>
      <c r="DM113" s="232"/>
      <c r="DN113" s="232"/>
      <c r="DO113" s="232"/>
      <c r="DP113" s="232"/>
      <c r="DQ113" s="232"/>
      <c r="DR113" s="232"/>
      <c r="DS113" s="232"/>
      <c r="DT113" s="232"/>
      <c r="DU113" s="232"/>
      <c r="DV113" s="232"/>
      <c r="DW113" s="232"/>
      <c r="DX113" s="232"/>
      <c r="DY113" s="232"/>
      <c r="DZ113" s="232"/>
      <c r="EA113" s="232"/>
      <c r="EB113" s="232"/>
      <c r="EC113" s="232"/>
      <c r="ED113" s="232"/>
      <c r="EE113" s="232"/>
      <c r="EF113" s="232"/>
      <c r="EG113" s="232"/>
      <c r="EH113" s="232"/>
      <c r="EI113" s="232"/>
      <c r="EJ113" s="232"/>
      <c r="EK113" s="232"/>
      <c r="EL113" s="232"/>
      <c r="EM113" s="232"/>
      <c r="EN113" s="232"/>
      <c r="EO113" s="232"/>
      <c r="EP113" s="232"/>
      <c r="EQ113" s="232"/>
      <c r="ER113" s="232"/>
      <c r="ES113" s="232"/>
      <c r="ET113" s="232"/>
      <c r="EU113" s="232"/>
      <c r="EV113" s="232"/>
      <c r="EW113" s="232"/>
      <c r="EX113" s="232"/>
      <c r="EY113" s="232"/>
      <c r="EZ113" s="232"/>
      <c r="FA113" s="232"/>
      <c r="FB113" s="232"/>
      <c r="FC113" s="232"/>
      <c r="FD113" s="232"/>
      <c r="FE113" s="232"/>
      <c r="FF113" s="232"/>
      <c r="FG113" s="232"/>
      <c r="FH113" s="232"/>
      <c r="FI113" s="232"/>
      <c r="FJ113" s="232"/>
      <c r="FK113" s="232"/>
      <c r="FL113" s="232"/>
      <c r="FM113" s="232"/>
      <c r="FN113" s="232"/>
      <c r="FO113" s="232"/>
      <c r="FP113" s="232"/>
      <c r="FQ113" s="232"/>
      <c r="FR113" s="232"/>
      <c r="FS113" s="232"/>
      <c r="FT113" s="232"/>
      <c r="FU113" s="232"/>
      <c r="FV113" s="232"/>
      <c r="FW113" s="232"/>
      <c r="FX113" s="232"/>
      <c r="FY113" s="232"/>
      <c r="FZ113" s="232"/>
      <c r="GA113" s="232"/>
      <c r="GB113" s="232"/>
      <c r="GC113" s="232"/>
      <c r="GD113" s="232"/>
      <c r="GE113" s="232"/>
      <c r="GF113" s="232"/>
      <c r="GG113" s="232"/>
      <c r="GH113" s="232"/>
      <c r="GI113" s="232"/>
      <c r="GJ113" s="232"/>
      <c r="GK113" s="232"/>
      <c r="GL113" s="232"/>
      <c r="GM113" s="232"/>
      <c r="GN113" s="232"/>
      <c r="GO113" s="232"/>
      <c r="GP113" s="232"/>
      <c r="GQ113" s="232"/>
      <c r="GR113" s="232"/>
      <c r="GS113" s="232"/>
      <c r="GT113" s="232"/>
      <c r="GU113" s="232"/>
      <c r="GV113" s="232"/>
      <c r="GW113" s="232"/>
      <c r="GX113" s="232"/>
      <c r="GY113" s="232"/>
      <c r="GZ113" s="232"/>
      <c r="HA113" s="232"/>
      <c r="HB113" s="232"/>
      <c r="HC113" s="232"/>
      <c r="HD113" s="232"/>
      <c r="HE113" s="232"/>
      <c r="HF113" s="232"/>
      <c r="HG113" s="232"/>
      <c r="HH113" s="232"/>
      <c r="HI113" s="232"/>
      <c r="HJ113" s="232"/>
      <c r="HK113" s="232"/>
      <c r="HL113" s="232"/>
      <c r="HM113" s="232"/>
      <c r="HN113" s="232"/>
      <c r="HO113" s="232"/>
      <c r="HP113" s="232"/>
      <c r="HQ113" s="232"/>
      <c r="HR113" s="232"/>
      <c r="HS113" s="232"/>
      <c r="HT113" s="232"/>
      <c r="HU113" s="232"/>
      <c r="HV113" s="232"/>
      <c r="HW113" s="232"/>
      <c r="HX113" s="232"/>
      <c r="HY113" s="232"/>
      <c r="HZ113" s="232"/>
      <c r="IA113" s="232"/>
      <c r="IB113" s="232"/>
      <c r="IC113" s="232"/>
      <c r="ID113" s="232"/>
      <c r="IE113" s="232"/>
      <c r="IF113" s="232"/>
      <c r="IG113" s="232"/>
      <c r="IH113" s="232"/>
      <c r="II113" s="232"/>
      <c r="IJ113" s="232"/>
      <c r="IK113" s="232"/>
      <c r="IL113" s="232"/>
      <c r="IM113" s="232"/>
      <c r="IN113" s="232"/>
      <c r="IO113" s="232"/>
      <c r="IP113" s="232"/>
      <c r="IQ113" s="232"/>
      <c r="IR113" s="232"/>
      <c r="IS113" s="232"/>
      <c r="IT113" s="232"/>
      <c r="IU113" s="232"/>
      <c r="IV113" s="232"/>
    </row>
    <row r="114" spans="1:256" s="182" customFormat="1" ht="67.5" hidden="1">
      <c r="A114" s="346">
        <v>32</v>
      </c>
      <c r="B114" s="347" t="s">
        <v>1324</v>
      </c>
      <c r="C114" s="348" t="s">
        <v>134</v>
      </c>
      <c r="D114" s="347" t="s">
        <v>322</v>
      </c>
      <c r="E114" s="104" t="s">
        <v>114</v>
      </c>
      <c r="F114" s="353" t="s">
        <v>88</v>
      </c>
      <c r="G114" s="353"/>
      <c r="H114" s="348" t="s">
        <v>23</v>
      </c>
      <c r="I114" s="353" t="s">
        <v>136</v>
      </c>
      <c r="J114" s="351" t="s">
        <v>1201</v>
      </c>
      <c r="K114" s="352" t="s">
        <v>1201</v>
      </c>
      <c r="L114" s="351" t="s">
        <v>1201</v>
      </c>
      <c r="M114" s="351">
        <v>42156</v>
      </c>
      <c r="N114" s="352">
        <v>15</v>
      </c>
      <c r="O114" s="351">
        <f t="shared" si="7"/>
        <v>42486</v>
      </c>
      <c r="P114" s="353" t="s">
        <v>122</v>
      </c>
      <c r="Q114" s="353" t="s">
        <v>115</v>
      </c>
      <c r="R114" s="353" t="s">
        <v>65</v>
      </c>
      <c r="S114" s="402" t="s">
        <v>143</v>
      </c>
      <c r="T114" s="348" t="s">
        <v>253</v>
      </c>
      <c r="U114" s="354">
        <v>48000000</v>
      </c>
      <c r="V114" s="109"/>
      <c r="W114" s="110">
        <v>0</v>
      </c>
      <c r="X114" s="355">
        <v>33910000</v>
      </c>
      <c r="Y114" s="355">
        <v>13440000</v>
      </c>
      <c r="Z114" s="355">
        <v>0</v>
      </c>
      <c r="AA114" s="356" t="s">
        <v>132</v>
      </c>
      <c r="AB114" s="357"/>
      <c r="AC114" s="357"/>
      <c r="AD114" s="357"/>
      <c r="AE114" s="357"/>
      <c r="AF114" s="357"/>
      <c r="AG114" s="147"/>
    </row>
    <row r="115" spans="1:256" s="229" customFormat="1" ht="90" hidden="1" customHeight="1">
      <c r="A115" s="101">
        <f t="shared" si="6"/>
        <v>33</v>
      </c>
      <c r="B115" s="103" t="s">
        <v>323</v>
      </c>
      <c r="C115" s="104" t="s">
        <v>134</v>
      </c>
      <c r="D115" s="103" t="s">
        <v>324</v>
      </c>
      <c r="E115" s="104" t="s">
        <v>114</v>
      </c>
      <c r="F115" s="103" t="s">
        <v>84</v>
      </c>
      <c r="G115" s="106" t="s">
        <v>135</v>
      </c>
      <c r="H115" s="102" t="s">
        <v>96</v>
      </c>
      <c r="I115" s="103" t="s">
        <v>173</v>
      </c>
      <c r="J115" s="224">
        <v>42461</v>
      </c>
      <c r="K115" s="224"/>
      <c r="L115" s="224">
        <f t="shared" si="4"/>
        <v>42461</v>
      </c>
      <c r="M115" s="224">
        <v>42369</v>
      </c>
      <c r="N115" s="224"/>
      <c r="O115" s="224">
        <f t="shared" si="7"/>
        <v>42369</v>
      </c>
      <c r="P115" s="105" t="s">
        <v>122</v>
      </c>
      <c r="Q115" s="103" t="s">
        <v>123</v>
      </c>
      <c r="R115" s="103"/>
      <c r="S115" s="104" t="s">
        <v>138</v>
      </c>
      <c r="T115" s="104"/>
      <c r="U115" s="110">
        <v>18000000</v>
      </c>
      <c r="V115" s="109"/>
      <c r="W115" s="110">
        <v>0</v>
      </c>
      <c r="X115" s="259">
        <v>0</v>
      </c>
      <c r="Y115" s="260">
        <f>+U115*0.235*0.3</f>
        <v>1269000</v>
      </c>
      <c r="Z115" s="259">
        <f>+U115-Y115-AA115</f>
        <v>15651000</v>
      </c>
      <c r="AA115" s="226">
        <f>+U115*0.06</f>
        <v>1080000</v>
      </c>
      <c r="AB115" s="219"/>
      <c r="AC115" s="219"/>
      <c r="AD115" s="219"/>
      <c r="AE115" s="219"/>
      <c r="AF115" s="219"/>
      <c r="AG115" s="100"/>
      <c r="AH115" s="227"/>
      <c r="AI115" s="228"/>
      <c r="AJ115" s="228"/>
      <c r="AK115" s="228"/>
      <c r="AL115" s="228"/>
      <c r="AM115" s="228"/>
      <c r="AN115" s="228"/>
      <c r="AO115" s="228"/>
      <c r="AP115" s="228"/>
      <c r="AQ115" s="228"/>
      <c r="AR115" s="228"/>
      <c r="AS115" s="228"/>
      <c r="AT115" s="228"/>
      <c r="AU115" s="228"/>
      <c r="AV115" s="228"/>
      <c r="AW115" s="228"/>
      <c r="AX115" s="228"/>
      <c r="AY115" s="228"/>
      <c r="AZ115" s="228"/>
      <c r="BA115" s="228"/>
      <c r="BB115" s="228"/>
      <c r="BC115" s="228"/>
      <c r="BD115" s="228"/>
      <c r="BE115" s="228"/>
      <c r="BF115" s="228"/>
      <c r="BG115" s="228"/>
      <c r="BH115" s="228"/>
      <c r="BI115" s="228"/>
      <c r="BJ115" s="228"/>
      <c r="BK115" s="228"/>
      <c r="BL115" s="228"/>
      <c r="BM115" s="228"/>
      <c r="BN115" s="228"/>
      <c r="BO115" s="228"/>
      <c r="BP115" s="228"/>
      <c r="BQ115" s="228"/>
      <c r="BR115" s="228"/>
      <c r="BS115" s="228"/>
      <c r="BT115" s="228"/>
      <c r="BU115" s="228"/>
      <c r="BV115" s="228"/>
      <c r="BW115" s="228"/>
      <c r="BX115" s="228"/>
      <c r="BY115" s="228"/>
      <c r="BZ115" s="228"/>
      <c r="CA115" s="228"/>
      <c r="CB115" s="228"/>
      <c r="CC115" s="228"/>
      <c r="CD115" s="228"/>
      <c r="CE115" s="228"/>
      <c r="CF115" s="228"/>
      <c r="CG115" s="228"/>
      <c r="CH115" s="228"/>
      <c r="CI115" s="228"/>
      <c r="CJ115" s="228"/>
      <c r="CK115" s="228"/>
      <c r="CL115" s="228"/>
      <c r="CM115" s="228"/>
      <c r="CN115" s="228"/>
      <c r="CO115" s="228"/>
      <c r="CP115" s="228"/>
      <c r="CQ115" s="228"/>
      <c r="CR115" s="228"/>
      <c r="CS115" s="228"/>
      <c r="CT115" s="228"/>
      <c r="CU115" s="228"/>
      <c r="CV115" s="228"/>
      <c r="CW115" s="228"/>
      <c r="CX115" s="228"/>
      <c r="CY115" s="228"/>
      <c r="CZ115" s="228"/>
      <c r="DA115" s="228"/>
      <c r="DB115" s="228"/>
      <c r="DC115" s="228"/>
      <c r="DD115" s="228"/>
      <c r="DE115" s="228"/>
      <c r="DF115" s="228"/>
      <c r="DG115" s="228"/>
      <c r="DH115" s="228"/>
      <c r="DI115" s="228"/>
      <c r="DJ115" s="228"/>
      <c r="DK115" s="228"/>
      <c r="DL115" s="228"/>
      <c r="DM115" s="228"/>
      <c r="DN115" s="228"/>
      <c r="DO115" s="228"/>
      <c r="DP115" s="228"/>
      <c r="DQ115" s="228"/>
      <c r="DR115" s="228"/>
      <c r="DS115" s="228"/>
      <c r="DT115" s="228"/>
      <c r="DU115" s="228"/>
      <c r="DV115" s="228"/>
      <c r="DW115" s="228"/>
      <c r="DX115" s="228"/>
      <c r="DY115" s="228"/>
      <c r="DZ115" s="228"/>
      <c r="EA115" s="228"/>
      <c r="EB115" s="228"/>
      <c r="EC115" s="228"/>
      <c r="ED115" s="228"/>
      <c r="EE115" s="228"/>
      <c r="EF115" s="228"/>
      <c r="EG115" s="228"/>
      <c r="EH115" s="228"/>
      <c r="EI115" s="228"/>
      <c r="EJ115" s="228"/>
      <c r="EK115" s="228"/>
      <c r="EL115" s="228"/>
      <c r="EM115" s="228"/>
      <c r="EN115" s="228"/>
      <c r="EO115" s="228"/>
      <c r="EP115" s="228"/>
      <c r="EQ115" s="228"/>
      <c r="ER115" s="228"/>
      <c r="ES115" s="228"/>
      <c r="ET115" s="228"/>
      <c r="EU115" s="228"/>
      <c r="EV115" s="228"/>
      <c r="EW115" s="228"/>
      <c r="EX115" s="228"/>
      <c r="EY115" s="228"/>
      <c r="EZ115" s="228"/>
      <c r="FA115" s="228"/>
      <c r="FB115" s="228"/>
      <c r="FC115" s="228"/>
      <c r="FD115" s="228"/>
      <c r="FE115" s="228"/>
      <c r="FF115" s="228"/>
      <c r="FG115" s="228"/>
      <c r="FH115" s="228"/>
      <c r="FI115" s="228"/>
      <c r="FJ115" s="228"/>
      <c r="FK115" s="228"/>
      <c r="FL115" s="228"/>
      <c r="FM115" s="228"/>
      <c r="FN115" s="228"/>
      <c r="FO115" s="228"/>
      <c r="FP115" s="228"/>
      <c r="FQ115" s="228"/>
      <c r="FR115" s="228"/>
      <c r="FS115" s="228"/>
      <c r="FT115" s="228"/>
      <c r="FU115" s="228"/>
      <c r="FV115" s="228"/>
      <c r="FW115" s="228"/>
      <c r="FX115" s="228"/>
      <c r="FY115" s="228"/>
      <c r="FZ115" s="228"/>
      <c r="GA115" s="228"/>
      <c r="GB115" s="228"/>
      <c r="GC115" s="228"/>
      <c r="GD115" s="228"/>
      <c r="GE115" s="228"/>
      <c r="GF115" s="228"/>
      <c r="GG115" s="228"/>
      <c r="GH115" s="228"/>
      <c r="GI115" s="228"/>
      <c r="GJ115" s="228"/>
      <c r="GK115" s="228"/>
      <c r="GL115" s="228"/>
      <c r="GM115" s="228"/>
      <c r="GN115" s="228"/>
      <c r="GO115" s="228"/>
      <c r="GP115" s="228"/>
      <c r="GQ115" s="228"/>
      <c r="GR115" s="228"/>
      <c r="GS115" s="228"/>
      <c r="GT115" s="228"/>
      <c r="GU115" s="228"/>
      <c r="GV115" s="228"/>
      <c r="GW115" s="228"/>
      <c r="GX115" s="228"/>
      <c r="GY115" s="228"/>
      <c r="GZ115" s="228"/>
      <c r="HA115" s="228"/>
      <c r="HB115" s="228"/>
      <c r="HC115" s="228"/>
      <c r="HD115" s="228"/>
      <c r="HE115" s="228"/>
      <c r="HF115" s="228"/>
      <c r="HG115" s="228"/>
      <c r="HH115" s="228"/>
      <c r="HI115" s="228"/>
      <c r="HJ115" s="228"/>
      <c r="HK115" s="228"/>
      <c r="HL115" s="228"/>
      <c r="HM115" s="228"/>
      <c r="HN115" s="228"/>
      <c r="HO115" s="228"/>
      <c r="HP115" s="228"/>
      <c r="HQ115" s="228"/>
      <c r="HR115" s="228"/>
      <c r="HS115" s="228"/>
      <c r="HT115" s="228"/>
      <c r="HU115" s="228"/>
      <c r="HV115" s="228"/>
      <c r="HW115" s="228"/>
      <c r="HX115" s="228"/>
      <c r="HY115" s="228"/>
      <c r="HZ115" s="228"/>
      <c r="IA115" s="228"/>
      <c r="IB115" s="228"/>
      <c r="IC115" s="228"/>
      <c r="ID115" s="228"/>
      <c r="IE115" s="228"/>
      <c r="IF115" s="228"/>
      <c r="IG115" s="228"/>
      <c r="IH115" s="228"/>
      <c r="II115" s="228"/>
      <c r="IJ115" s="228"/>
      <c r="IK115" s="228"/>
      <c r="IL115" s="228"/>
      <c r="IM115" s="228"/>
      <c r="IN115" s="228"/>
      <c r="IO115" s="228"/>
      <c r="IP115" s="228"/>
      <c r="IQ115" s="228"/>
      <c r="IR115" s="228"/>
      <c r="IS115" s="228"/>
      <c r="IT115" s="228"/>
      <c r="IU115" s="228"/>
      <c r="IV115" s="228"/>
    </row>
    <row r="116" spans="1:256" s="229" customFormat="1" ht="90" hidden="1" customHeight="1">
      <c r="A116" s="101">
        <f t="shared" si="6"/>
        <v>34</v>
      </c>
      <c r="B116" s="103" t="s">
        <v>325</v>
      </c>
      <c r="C116" s="104" t="s">
        <v>140</v>
      </c>
      <c r="D116" s="103" t="s">
        <v>326</v>
      </c>
      <c r="E116" s="104" t="s">
        <v>114</v>
      </c>
      <c r="F116" s="103" t="s">
        <v>84</v>
      </c>
      <c r="G116" s="106" t="s">
        <v>135</v>
      </c>
      <c r="H116" s="102" t="s">
        <v>96</v>
      </c>
      <c r="I116" s="103" t="s">
        <v>173</v>
      </c>
      <c r="J116" s="224">
        <v>42461</v>
      </c>
      <c r="K116" s="224"/>
      <c r="L116" s="224">
        <f t="shared" si="4"/>
        <v>42461</v>
      </c>
      <c r="M116" s="224">
        <v>43100</v>
      </c>
      <c r="N116" s="224"/>
      <c r="O116" s="224">
        <f t="shared" si="7"/>
        <v>43100</v>
      </c>
      <c r="P116" s="105" t="s">
        <v>122</v>
      </c>
      <c r="Q116" s="103" t="s">
        <v>123</v>
      </c>
      <c r="R116" s="103"/>
      <c r="S116" s="104" t="s">
        <v>138</v>
      </c>
      <c r="T116" s="104"/>
      <c r="U116" s="110">
        <v>30000000</v>
      </c>
      <c r="V116" s="109"/>
      <c r="W116" s="110">
        <v>0</v>
      </c>
      <c r="X116" s="259">
        <v>0</v>
      </c>
      <c r="Y116" s="259">
        <v>0</v>
      </c>
      <c r="Z116" s="259">
        <f>+U116*0.235*0.3</f>
        <v>2115000</v>
      </c>
      <c r="AA116" s="226">
        <f>+U116-Z116-AB116</f>
        <v>27885000</v>
      </c>
      <c r="AB116" s="219"/>
      <c r="AC116" s="219"/>
      <c r="AD116" s="219"/>
      <c r="AE116" s="219"/>
      <c r="AF116" s="219"/>
      <c r="AG116" s="100"/>
      <c r="AH116" s="230"/>
    </row>
    <row r="117" spans="1:256" s="229" customFormat="1" ht="90" hidden="1" customHeight="1">
      <c r="A117" s="101">
        <f t="shared" si="6"/>
        <v>35</v>
      </c>
      <c r="B117" s="103" t="s">
        <v>327</v>
      </c>
      <c r="C117" s="104" t="s">
        <v>299</v>
      </c>
      <c r="D117" s="103" t="s">
        <v>329</v>
      </c>
      <c r="E117" s="104" t="s">
        <v>114</v>
      </c>
      <c r="F117" s="103" t="s">
        <v>88</v>
      </c>
      <c r="G117" s="106" t="s">
        <v>328</v>
      </c>
      <c r="H117" s="102" t="s">
        <v>25</v>
      </c>
      <c r="I117" s="103" t="s">
        <v>173</v>
      </c>
      <c r="J117" s="224">
        <v>42095</v>
      </c>
      <c r="K117" s="224"/>
      <c r="L117" s="224">
        <f t="shared" si="4"/>
        <v>42095</v>
      </c>
      <c r="M117" s="224">
        <v>42460</v>
      </c>
      <c r="N117" s="224"/>
      <c r="O117" s="224">
        <f t="shared" si="7"/>
        <v>42460</v>
      </c>
      <c r="P117" s="105" t="s">
        <v>122</v>
      </c>
      <c r="Q117" s="103" t="s">
        <v>123</v>
      </c>
      <c r="R117" s="103"/>
      <c r="S117" s="104" t="s">
        <v>138</v>
      </c>
      <c r="T117" s="104"/>
      <c r="U117" s="110">
        <v>8000000</v>
      </c>
      <c r="V117" s="109"/>
      <c r="W117" s="110">
        <v>0</v>
      </c>
      <c r="X117" s="259">
        <v>0</v>
      </c>
      <c r="Y117" s="260">
        <v>400000</v>
      </c>
      <c r="Z117" s="259">
        <v>7600000</v>
      </c>
      <c r="AA117" s="226">
        <v>0</v>
      </c>
      <c r="AB117" s="219"/>
      <c r="AC117" s="219"/>
      <c r="AD117" s="219"/>
      <c r="AE117" s="219"/>
      <c r="AF117" s="219"/>
      <c r="AG117" s="100"/>
      <c r="AH117" s="230"/>
    </row>
    <row r="118" spans="1:256" s="229" customFormat="1" ht="90" hidden="1" customHeight="1">
      <c r="A118" s="101">
        <f t="shared" si="6"/>
        <v>36</v>
      </c>
      <c r="B118" s="103" t="s">
        <v>330</v>
      </c>
      <c r="C118" s="104" t="s">
        <v>134</v>
      </c>
      <c r="D118" s="103" t="s">
        <v>331</v>
      </c>
      <c r="E118" s="104" t="s">
        <v>114</v>
      </c>
      <c r="F118" s="103" t="s">
        <v>84</v>
      </c>
      <c r="G118" s="106" t="s">
        <v>165</v>
      </c>
      <c r="H118" s="102" t="s">
        <v>96</v>
      </c>
      <c r="I118" s="103" t="s">
        <v>173</v>
      </c>
      <c r="J118" s="224">
        <v>42461</v>
      </c>
      <c r="K118" s="224"/>
      <c r="L118" s="224">
        <f t="shared" si="4"/>
        <v>42461</v>
      </c>
      <c r="M118" s="224">
        <v>43100</v>
      </c>
      <c r="N118" s="224"/>
      <c r="O118" s="224">
        <f t="shared" si="7"/>
        <v>43100</v>
      </c>
      <c r="P118" s="105" t="s">
        <v>122</v>
      </c>
      <c r="Q118" s="103" t="s">
        <v>123</v>
      </c>
      <c r="R118" s="103"/>
      <c r="S118" s="104" t="s">
        <v>138</v>
      </c>
      <c r="T118" s="104"/>
      <c r="U118" s="110">
        <v>18000000</v>
      </c>
      <c r="V118" s="109"/>
      <c r="W118" s="110">
        <v>0</v>
      </c>
      <c r="X118" s="259">
        <v>0</v>
      </c>
      <c r="Y118" s="260">
        <v>900000</v>
      </c>
      <c r="Z118" s="259">
        <v>17100000</v>
      </c>
      <c r="AA118" s="226">
        <v>0</v>
      </c>
      <c r="AB118" s="219"/>
      <c r="AC118" s="219"/>
      <c r="AD118" s="219"/>
      <c r="AE118" s="219"/>
      <c r="AF118" s="219"/>
      <c r="AG118" s="100"/>
      <c r="AH118" s="230"/>
    </row>
    <row r="119" spans="1:256" s="229" customFormat="1" ht="90" hidden="1" customHeight="1">
      <c r="A119" s="101">
        <f t="shared" si="6"/>
        <v>37</v>
      </c>
      <c r="B119" s="103" t="s">
        <v>332</v>
      </c>
      <c r="C119" s="104" t="s">
        <v>134</v>
      </c>
      <c r="D119" s="103" t="s">
        <v>333</v>
      </c>
      <c r="E119" s="104" t="s">
        <v>114</v>
      </c>
      <c r="F119" s="103" t="s">
        <v>84</v>
      </c>
      <c r="G119" s="106" t="s">
        <v>158</v>
      </c>
      <c r="H119" s="102" t="s">
        <v>96</v>
      </c>
      <c r="I119" s="103" t="s">
        <v>173</v>
      </c>
      <c r="J119" s="224">
        <v>41791</v>
      </c>
      <c r="K119" s="224"/>
      <c r="L119" s="224">
        <f t="shared" si="4"/>
        <v>41791</v>
      </c>
      <c r="M119" s="224">
        <v>42094</v>
      </c>
      <c r="N119" s="224"/>
      <c r="O119" s="224">
        <f t="shared" si="7"/>
        <v>42094</v>
      </c>
      <c r="P119" s="105" t="s">
        <v>122</v>
      </c>
      <c r="Q119" s="103" t="s">
        <v>123</v>
      </c>
      <c r="R119" s="103"/>
      <c r="S119" s="104" t="s">
        <v>334</v>
      </c>
      <c r="T119" s="104"/>
      <c r="U119" s="110">
        <f>(20*190000+(3658606+1350713)*1.07+4*25000+2097122)*1.235</f>
        <v>14026010.262550002</v>
      </c>
      <c r="V119" s="109"/>
      <c r="W119" s="110">
        <v>0</v>
      </c>
      <c r="X119" s="259">
        <v>0</v>
      </c>
      <c r="Y119" s="259">
        <f>+U119*0.45</f>
        <v>6311704.6181475008</v>
      </c>
      <c r="Z119" s="260">
        <f>+U119-Y119</f>
        <v>7714305.6444025012</v>
      </c>
      <c r="AA119" s="226"/>
      <c r="AB119" s="219"/>
      <c r="AC119" s="219"/>
      <c r="AD119" s="219"/>
      <c r="AE119" s="219"/>
      <c r="AF119" s="219"/>
      <c r="AG119" s="100"/>
      <c r="AH119" s="230"/>
    </row>
    <row r="120" spans="1:256" s="229" customFormat="1" ht="90" hidden="1" customHeight="1">
      <c r="A120" s="101">
        <f t="shared" si="6"/>
        <v>38</v>
      </c>
      <c r="B120" s="103" t="s">
        <v>335</v>
      </c>
      <c r="C120" s="104" t="s">
        <v>140</v>
      </c>
      <c r="D120" s="103" t="s">
        <v>336</v>
      </c>
      <c r="E120" s="104" t="s">
        <v>114</v>
      </c>
      <c r="F120" s="103" t="s">
        <v>141</v>
      </c>
      <c r="G120" s="106" t="s">
        <v>151</v>
      </c>
      <c r="H120" s="102" t="s">
        <v>3</v>
      </c>
      <c r="I120" s="103" t="s">
        <v>173</v>
      </c>
      <c r="J120" s="224">
        <v>42461</v>
      </c>
      <c r="K120" s="224"/>
      <c r="L120" s="224">
        <f t="shared" si="4"/>
        <v>42461</v>
      </c>
      <c r="M120" s="224">
        <v>43100</v>
      </c>
      <c r="N120" s="224"/>
      <c r="O120" s="224">
        <f t="shared" si="7"/>
        <v>43100</v>
      </c>
      <c r="P120" s="105" t="s">
        <v>122</v>
      </c>
      <c r="Q120" s="103" t="s">
        <v>123</v>
      </c>
      <c r="R120" s="103"/>
      <c r="S120" s="104" t="s">
        <v>138</v>
      </c>
      <c r="T120" s="104"/>
      <c r="U120" s="110">
        <v>12000000</v>
      </c>
      <c r="V120" s="109"/>
      <c r="W120" s="110">
        <v>0</v>
      </c>
      <c r="X120" s="259">
        <v>0</v>
      </c>
      <c r="Y120" s="260">
        <v>600000</v>
      </c>
      <c r="Z120" s="259">
        <v>11400000</v>
      </c>
      <c r="AA120" s="226">
        <v>0</v>
      </c>
      <c r="AB120" s="219"/>
      <c r="AC120" s="219"/>
      <c r="AD120" s="219"/>
      <c r="AE120" s="219"/>
      <c r="AF120" s="219"/>
      <c r="AG120" s="100"/>
      <c r="AH120" s="230"/>
    </row>
    <row r="121" spans="1:256" s="229" customFormat="1" ht="90" hidden="1" customHeight="1">
      <c r="A121" s="101">
        <f t="shared" si="6"/>
        <v>39</v>
      </c>
      <c r="B121" s="103" t="s">
        <v>337</v>
      </c>
      <c r="C121" s="104" t="s">
        <v>134</v>
      </c>
      <c r="D121" s="103" t="s">
        <v>339</v>
      </c>
      <c r="E121" s="104" t="s">
        <v>114</v>
      </c>
      <c r="F121" s="103" t="s">
        <v>91</v>
      </c>
      <c r="G121" s="106" t="s">
        <v>338</v>
      </c>
      <c r="H121" s="102" t="s">
        <v>200</v>
      </c>
      <c r="I121" s="103" t="s">
        <v>173</v>
      </c>
      <c r="J121" s="224">
        <v>42522</v>
      </c>
      <c r="K121" s="224"/>
      <c r="L121" s="224">
        <f t="shared" si="4"/>
        <v>42522</v>
      </c>
      <c r="M121" s="224">
        <v>43100</v>
      </c>
      <c r="N121" s="224"/>
      <c r="O121" s="224">
        <f t="shared" si="7"/>
        <v>43100</v>
      </c>
      <c r="P121" s="105" t="s">
        <v>122</v>
      </c>
      <c r="Q121" s="103" t="s">
        <v>123</v>
      </c>
      <c r="R121" s="103"/>
      <c r="S121" s="104" t="s">
        <v>138</v>
      </c>
      <c r="T121" s="104"/>
      <c r="U121" s="110">
        <f>+(1823640+3658606+1293526+1350713+929210+1350000+10*1022001/14+600000+350000+750000+150000+300000+6*190000)*1.23*1.07</f>
        <v>18985658.12957143</v>
      </c>
      <c r="V121" s="109"/>
      <c r="W121" s="110">
        <v>0</v>
      </c>
      <c r="X121" s="259">
        <v>0</v>
      </c>
      <c r="Y121" s="260">
        <f>+U121*0.235*0.3</f>
        <v>1338488.8981347857</v>
      </c>
      <c r="Z121" s="259">
        <f>+U121-Y121-AA121</f>
        <v>16508029.743662357</v>
      </c>
      <c r="AA121" s="226">
        <f>+U121*0.06</f>
        <v>1139139.4877742857</v>
      </c>
      <c r="AB121" s="219"/>
      <c r="AC121" s="219"/>
      <c r="AD121" s="219"/>
      <c r="AE121" s="219"/>
      <c r="AF121" s="219"/>
      <c r="AG121" s="100"/>
      <c r="AH121" s="230"/>
    </row>
    <row r="122" spans="1:256" s="229" customFormat="1" ht="90" hidden="1" customHeight="1">
      <c r="A122" s="101">
        <f t="shared" si="6"/>
        <v>40</v>
      </c>
      <c r="B122" s="103" t="s">
        <v>340</v>
      </c>
      <c r="C122" s="104" t="s">
        <v>134</v>
      </c>
      <c r="D122" s="103" t="s">
        <v>341</v>
      </c>
      <c r="E122" s="104" t="s">
        <v>114</v>
      </c>
      <c r="F122" s="103" t="s">
        <v>91</v>
      </c>
      <c r="G122" s="106" t="s">
        <v>228</v>
      </c>
      <c r="H122" s="102" t="s">
        <v>200</v>
      </c>
      <c r="I122" s="103" t="s">
        <v>173</v>
      </c>
      <c r="J122" s="224">
        <v>41791</v>
      </c>
      <c r="K122" s="224"/>
      <c r="L122" s="224">
        <f t="shared" si="4"/>
        <v>41791</v>
      </c>
      <c r="M122" s="224">
        <v>42094</v>
      </c>
      <c r="N122" s="224"/>
      <c r="O122" s="224">
        <f t="shared" si="7"/>
        <v>42094</v>
      </c>
      <c r="P122" s="105" t="s">
        <v>122</v>
      </c>
      <c r="Q122" s="103" t="s">
        <v>123</v>
      </c>
      <c r="R122" s="103"/>
      <c r="S122" s="104" t="s">
        <v>138</v>
      </c>
      <c r="T122" s="104"/>
      <c r="U122" s="110">
        <f>+(1823640+10*((1141850+1714473+2097122)/9)+3658606+1350713+929210+1293526+1350000+28*1022001/14+600000+350000+1050000+150000+300000)*1.23*1.07</f>
        <v>26853078.960033331</v>
      </c>
      <c r="V122" s="109"/>
      <c r="W122" s="110">
        <v>0</v>
      </c>
      <c r="X122" s="259">
        <v>0</v>
      </c>
      <c r="Y122" s="259">
        <v>0</v>
      </c>
      <c r="Z122" s="259">
        <f>+U122*0.235*0.3</f>
        <v>1893142.0666823494</v>
      </c>
      <c r="AA122" s="226">
        <f>+U122-Z122-AB122</f>
        <v>24959936.893350981</v>
      </c>
      <c r="AB122" s="219"/>
      <c r="AC122" s="219"/>
      <c r="AD122" s="219"/>
      <c r="AE122" s="219"/>
      <c r="AF122" s="219"/>
      <c r="AG122" s="100"/>
      <c r="AH122" s="230"/>
    </row>
    <row r="123" spans="1:256" s="229" customFormat="1" ht="90" hidden="1" customHeight="1">
      <c r="A123" s="101">
        <f t="shared" si="6"/>
        <v>41</v>
      </c>
      <c r="B123" s="103" t="s">
        <v>342</v>
      </c>
      <c r="C123" s="104" t="s">
        <v>138</v>
      </c>
      <c r="D123" s="103" t="s">
        <v>343</v>
      </c>
      <c r="E123" s="104" t="s">
        <v>114</v>
      </c>
      <c r="F123" s="103" t="s">
        <v>91</v>
      </c>
      <c r="G123" s="106" t="s">
        <v>338</v>
      </c>
      <c r="H123" s="102" t="s">
        <v>200</v>
      </c>
      <c r="I123" s="103" t="s">
        <v>173</v>
      </c>
      <c r="J123" s="224">
        <v>42461</v>
      </c>
      <c r="K123" s="224"/>
      <c r="L123" s="224">
        <f t="shared" si="4"/>
        <v>42461</v>
      </c>
      <c r="M123" s="224">
        <v>42825</v>
      </c>
      <c r="N123" s="224"/>
      <c r="O123" s="224">
        <f t="shared" si="7"/>
        <v>42825</v>
      </c>
      <c r="P123" s="105" t="s">
        <v>122</v>
      </c>
      <c r="Q123" s="103" t="s">
        <v>123</v>
      </c>
      <c r="R123" s="103"/>
      <c r="S123" s="104" t="s">
        <v>138</v>
      </c>
      <c r="T123" s="104"/>
      <c r="U123" s="110">
        <f>+(5*((1141850+1714473+2097122)/9)+3658606+1247367+929210+1293526+4298671+1350000+20*1022001/14+300000+1050000+150000+14*190000)*1.23*1.07</f>
        <v>27834587.567309525</v>
      </c>
      <c r="V123" s="109"/>
      <c r="W123" s="110">
        <v>0</v>
      </c>
      <c r="X123" s="259">
        <v>0</v>
      </c>
      <c r="Y123" s="259">
        <v>0</v>
      </c>
      <c r="Z123" s="259">
        <f>+U123*0.235*0.3</f>
        <v>1962338.4234953213</v>
      </c>
      <c r="AA123" s="226">
        <f>+U123-Z123-AB123</f>
        <v>25872249.143814202</v>
      </c>
      <c r="AB123" s="219"/>
      <c r="AC123" s="219"/>
      <c r="AD123" s="219"/>
      <c r="AE123" s="219"/>
      <c r="AF123" s="219"/>
      <c r="AG123" s="100"/>
      <c r="AH123" s="230"/>
    </row>
    <row r="124" spans="1:256" s="229" customFormat="1" ht="90" hidden="1" customHeight="1">
      <c r="A124" s="101">
        <f t="shared" si="6"/>
        <v>42</v>
      </c>
      <c r="B124" s="103" t="s">
        <v>344</v>
      </c>
      <c r="C124" s="104" t="s">
        <v>134</v>
      </c>
      <c r="D124" s="103" t="s">
        <v>345</v>
      </c>
      <c r="E124" s="104" t="s">
        <v>114</v>
      </c>
      <c r="F124" s="103" t="s">
        <v>84</v>
      </c>
      <c r="G124" s="106" t="s">
        <v>135</v>
      </c>
      <c r="H124" s="102" t="s">
        <v>96</v>
      </c>
      <c r="I124" s="103" t="s">
        <v>173</v>
      </c>
      <c r="J124" s="224">
        <v>42461</v>
      </c>
      <c r="K124" s="224"/>
      <c r="L124" s="224">
        <f t="shared" si="4"/>
        <v>42461</v>
      </c>
      <c r="M124" s="224">
        <v>43100</v>
      </c>
      <c r="N124" s="224"/>
      <c r="O124" s="224">
        <f t="shared" si="7"/>
        <v>43100</v>
      </c>
      <c r="P124" s="105" t="s">
        <v>122</v>
      </c>
      <c r="Q124" s="103" t="s">
        <v>123</v>
      </c>
      <c r="R124" s="103"/>
      <c r="S124" s="104" t="s">
        <v>138</v>
      </c>
      <c r="T124" s="104"/>
      <c r="U124" s="110">
        <f>+(10*((1141850+1714473+2097122)/9)+3658606+1293526+1350713*3+4298671+300000+1350000+929210+350000+13*(1022001/14)+750000+150000)*1.23*1.07</f>
        <v>31040193.107626192</v>
      </c>
      <c r="V124" s="109"/>
      <c r="W124" s="110">
        <v>0</v>
      </c>
      <c r="X124" s="259">
        <v>0</v>
      </c>
      <c r="Y124" s="259">
        <v>0</v>
      </c>
      <c r="Z124" s="259">
        <f>+U124*0.235*0.3</f>
        <v>2188333.6140876464</v>
      </c>
      <c r="AA124" s="226">
        <f>+U124-Z124-AB124</f>
        <v>28851859.493538547</v>
      </c>
      <c r="AB124" s="219"/>
      <c r="AC124" s="219"/>
      <c r="AD124" s="219"/>
      <c r="AE124" s="219"/>
      <c r="AF124" s="219"/>
      <c r="AG124" s="100"/>
      <c r="AH124" s="230"/>
    </row>
    <row r="125" spans="1:256" s="229" customFormat="1" ht="90" hidden="1" customHeight="1">
      <c r="A125" s="101">
        <f t="shared" si="6"/>
        <v>43</v>
      </c>
      <c r="B125" s="103" t="s">
        <v>346</v>
      </c>
      <c r="C125" s="104"/>
      <c r="D125" s="103" t="s">
        <v>348</v>
      </c>
      <c r="E125" s="104" t="s">
        <v>114</v>
      </c>
      <c r="F125" s="103" t="s">
        <v>91</v>
      </c>
      <c r="G125" s="106" t="s">
        <v>347</v>
      </c>
      <c r="H125" s="102" t="s">
        <v>189</v>
      </c>
      <c r="I125" s="103" t="s">
        <v>173</v>
      </c>
      <c r="J125" s="224">
        <v>42461</v>
      </c>
      <c r="K125" s="224"/>
      <c r="L125" s="224">
        <f t="shared" si="4"/>
        <v>42461</v>
      </c>
      <c r="M125" s="224">
        <v>42825</v>
      </c>
      <c r="N125" s="224"/>
      <c r="O125" s="224">
        <f t="shared" si="7"/>
        <v>42825</v>
      </c>
      <c r="P125" s="105" t="s">
        <v>122</v>
      </c>
      <c r="Q125" s="103" t="s">
        <v>123</v>
      </c>
      <c r="R125" s="103"/>
      <c r="S125" s="104" t="s">
        <v>138</v>
      </c>
      <c r="T125" s="104"/>
      <c r="U125" s="110">
        <f>+(16*190000+(1823640+1293526+929210+16*1022001/14)*1.07)*1.23</f>
        <v>10601841.757714286</v>
      </c>
      <c r="V125" s="109"/>
      <c r="W125" s="110">
        <v>0</v>
      </c>
      <c r="X125" s="259">
        <v>0</v>
      </c>
      <c r="Y125" s="260">
        <f>+U125*0.235*0.3</f>
        <v>747429.84391885716</v>
      </c>
      <c r="Z125" s="259">
        <f>+U125-Y125-AA125</f>
        <v>9324319.8259097151</v>
      </c>
      <c r="AA125" s="226">
        <f>+U125*0.05</f>
        <v>530092.08788571437</v>
      </c>
      <c r="AB125" s="219"/>
      <c r="AC125" s="219"/>
      <c r="AD125" s="219"/>
      <c r="AE125" s="219"/>
      <c r="AF125" s="219"/>
      <c r="AG125" s="100"/>
      <c r="AH125" s="230"/>
    </row>
    <row r="126" spans="1:256" s="229" customFormat="1" ht="90" hidden="1" customHeight="1">
      <c r="A126" s="101">
        <f t="shared" si="6"/>
        <v>44</v>
      </c>
      <c r="B126" s="103" t="s">
        <v>349</v>
      </c>
      <c r="C126" s="104" t="s">
        <v>134</v>
      </c>
      <c r="D126" s="103" t="s">
        <v>351</v>
      </c>
      <c r="E126" s="104" t="s">
        <v>114</v>
      </c>
      <c r="F126" s="103" t="s">
        <v>141</v>
      </c>
      <c r="G126" s="106" t="s">
        <v>350</v>
      </c>
      <c r="H126" s="102" t="s">
        <v>3</v>
      </c>
      <c r="I126" s="103" t="s">
        <v>173</v>
      </c>
      <c r="J126" s="224">
        <v>41730</v>
      </c>
      <c r="K126" s="224"/>
      <c r="L126" s="224">
        <f t="shared" si="4"/>
        <v>41730</v>
      </c>
      <c r="M126" s="224">
        <v>42460</v>
      </c>
      <c r="N126" s="224"/>
      <c r="O126" s="224">
        <f t="shared" si="7"/>
        <v>42460</v>
      </c>
      <c r="P126" s="105" t="s">
        <v>122</v>
      </c>
      <c r="Q126" s="103" t="s">
        <v>123</v>
      </c>
      <c r="R126" s="103"/>
      <c r="S126" s="104" t="s">
        <v>143</v>
      </c>
      <c r="T126" s="104"/>
      <c r="U126" s="110">
        <v>18206609.399999999</v>
      </c>
      <c r="V126" s="109"/>
      <c r="W126" s="110">
        <v>0</v>
      </c>
      <c r="X126" s="259">
        <f>+U126*0.235*0.3</f>
        <v>1283565.9626999998</v>
      </c>
      <c r="Y126" s="260">
        <f>+U126-X126-Z126</f>
        <v>15830646.873300001</v>
      </c>
      <c r="Z126" s="259">
        <f>+U126*0.06</f>
        <v>1092396.5639999998</v>
      </c>
      <c r="AA126" s="226">
        <v>0</v>
      </c>
      <c r="AB126" s="219"/>
      <c r="AC126" s="219"/>
      <c r="AD126" s="219"/>
      <c r="AE126" s="219"/>
      <c r="AF126" s="219"/>
      <c r="AG126" s="100"/>
      <c r="AH126" s="230"/>
    </row>
    <row r="127" spans="1:256" s="229" customFormat="1" ht="90" hidden="1" customHeight="1">
      <c r="A127" s="101">
        <f t="shared" si="6"/>
        <v>45</v>
      </c>
      <c r="B127" s="103" t="s">
        <v>352</v>
      </c>
      <c r="C127" s="104" t="s">
        <v>138</v>
      </c>
      <c r="D127" s="103" t="s">
        <v>354</v>
      </c>
      <c r="E127" s="104" t="s">
        <v>114</v>
      </c>
      <c r="F127" s="103" t="s">
        <v>84</v>
      </c>
      <c r="G127" s="106" t="s">
        <v>353</v>
      </c>
      <c r="H127" s="102" t="s">
        <v>96</v>
      </c>
      <c r="I127" s="103" t="s">
        <v>173</v>
      </c>
      <c r="J127" s="224">
        <v>42461</v>
      </c>
      <c r="K127" s="224"/>
      <c r="L127" s="224">
        <f t="shared" si="4"/>
        <v>42461</v>
      </c>
      <c r="M127" s="224">
        <v>43100</v>
      </c>
      <c r="N127" s="224"/>
      <c r="O127" s="224">
        <f t="shared" si="7"/>
        <v>43100</v>
      </c>
      <c r="P127" s="105" t="s">
        <v>122</v>
      </c>
      <c r="Q127" s="103" t="s">
        <v>123</v>
      </c>
      <c r="R127" s="103"/>
      <c r="S127" s="104" t="s">
        <v>138</v>
      </c>
      <c r="T127" s="104"/>
      <c r="U127" s="110">
        <f>1823640*1.07*1.235</f>
        <v>2409849.0780000002</v>
      </c>
      <c r="V127" s="109"/>
      <c r="W127" s="110">
        <v>0</v>
      </c>
      <c r="X127" s="259">
        <v>0</v>
      </c>
      <c r="Y127" s="260">
        <f>+U127*0.235*0.3</f>
        <v>169894.35999900001</v>
      </c>
      <c r="Z127" s="259">
        <f>+U127-Y127</f>
        <v>2239954.7180010001</v>
      </c>
      <c r="AA127" s="226">
        <v>0</v>
      </c>
      <c r="AB127" s="219"/>
      <c r="AC127" s="219"/>
      <c r="AD127" s="219"/>
      <c r="AE127" s="219"/>
      <c r="AF127" s="219"/>
      <c r="AG127" s="100"/>
      <c r="AH127" s="230"/>
    </row>
    <row r="128" spans="1:256" s="229" customFormat="1" ht="90" hidden="1" customHeight="1">
      <c r="A128" s="101">
        <f t="shared" si="6"/>
        <v>46</v>
      </c>
      <c r="B128" s="103" t="s">
        <v>355</v>
      </c>
      <c r="C128" s="104" t="s">
        <v>134</v>
      </c>
      <c r="D128" s="103" t="s">
        <v>356</v>
      </c>
      <c r="E128" s="104" t="s">
        <v>114</v>
      </c>
      <c r="F128" s="103" t="s">
        <v>84</v>
      </c>
      <c r="G128" s="106" t="s">
        <v>165</v>
      </c>
      <c r="H128" s="102" t="s">
        <v>96</v>
      </c>
      <c r="I128" s="103" t="s">
        <v>173</v>
      </c>
      <c r="J128" s="224">
        <v>42461</v>
      </c>
      <c r="K128" s="224"/>
      <c r="L128" s="224">
        <f t="shared" ref="L128:L191" si="8">J128+(K128*31)</f>
        <v>42461</v>
      </c>
      <c r="M128" s="224">
        <v>43100</v>
      </c>
      <c r="N128" s="224"/>
      <c r="O128" s="224">
        <f t="shared" si="7"/>
        <v>43100</v>
      </c>
      <c r="P128" s="105" t="s">
        <v>122</v>
      </c>
      <c r="Q128" s="103" t="s">
        <v>123</v>
      </c>
      <c r="R128" s="103"/>
      <c r="S128" s="104" t="s">
        <v>138</v>
      </c>
      <c r="T128" s="104"/>
      <c r="U128" s="110">
        <v>26000000</v>
      </c>
      <c r="V128" s="109"/>
      <c r="W128" s="110">
        <v>0</v>
      </c>
      <c r="X128" s="259">
        <v>0</v>
      </c>
      <c r="Y128" s="260">
        <v>2181000</v>
      </c>
      <c r="Z128" s="259">
        <f>+U128-Y128-AA128</f>
        <v>22259000</v>
      </c>
      <c r="AA128" s="226">
        <f>+U128*0.06</f>
        <v>1560000</v>
      </c>
      <c r="AB128" s="219"/>
      <c r="AC128" s="219"/>
      <c r="AD128" s="219"/>
      <c r="AE128" s="219"/>
      <c r="AF128" s="219"/>
      <c r="AG128" s="100"/>
      <c r="AH128" s="230"/>
    </row>
    <row r="129" spans="1:256" s="229" customFormat="1" ht="90" hidden="1" customHeight="1">
      <c r="A129" s="101">
        <f t="shared" si="6"/>
        <v>47</v>
      </c>
      <c r="B129" s="103" t="s">
        <v>357</v>
      </c>
      <c r="C129" s="104" t="s">
        <v>140</v>
      </c>
      <c r="D129" s="103" t="s">
        <v>358</v>
      </c>
      <c r="E129" s="104" t="s">
        <v>114</v>
      </c>
      <c r="F129" s="103" t="s">
        <v>84</v>
      </c>
      <c r="G129" s="106" t="s">
        <v>135</v>
      </c>
      <c r="H129" s="102" t="s">
        <v>96</v>
      </c>
      <c r="I129" s="103" t="s">
        <v>173</v>
      </c>
      <c r="J129" s="224">
        <v>42461</v>
      </c>
      <c r="K129" s="224"/>
      <c r="L129" s="224">
        <f t="shared" si="8"/>
        <v>42461</v>
      </c>
      <c r="M129" s="224">
        <v>43100</v>
      </c>
      <c r="N129" s="224"/>
      <c r="O129" s="224">
        <f t="shared" si="7"/>
        <v>43100</v>
      </c>
      <c r="P129" s="105" t="s">
        <v>122</v>
      </c>
      <c r="Q129" s="103" t="s">
        <v>123</v>
      </c>
      <c r="R129" s="103"/>
      <c r="S129" s="104" t="s">
        <v>138</v>
      </c>
      <c r="T129" s="104"/>
      <c r="U129" s="110">
        <v>18000000</v>
      </c>
      <c r="V129" s="109"/>
      <c r="W129" s="110">
        <v>0</v>
      </c>
      <c r="X129" s="259">
        <v>0</v>
      </c>
      <c r="Y129" s="260">
        <f>+U129*0.235*0.3</f>
        <v>1269000</v>
      </c>
      <c r="Z129" s="259">
        <f>+U129-Y129-AA129</f>
        <v>15831000</v>
      </c>
      <c r="AA129" s="226">
        <f>+U129*0.05</f>
        <v>900000</v>
      </c>
      <c r="AB129" s="219"/>
      <c r="AC129" s="219"/>
      <c r="AD129" s="219"/>
      <c r="AE129" s="219"/>
      <c r="AF129" s="219"/>
      <c r="AG129" s="100"/>
      <c r="AH129" s="230"/>
    </row>
    <row r="130" spans="1:256" s="229" customFormat="1" ht="90" hidden="1" customHeight="1">
      <c r="A130" s="101">
        <f t="shared" si="6"/>
        <v>48</v>
      </c>
      <c r="B130" s="103" t="s">
        <v>359</v>
      </c>
      <c r="C130" s="104" t="s">
        <v>134</v>
      </c>
      <c r="D130" s="103" t="s">
        <v>360</v>
      </c>
      <c r="E130" s="104" t="s">
        <v>114</v>
      </c>
      <c r="F130" s="103" t="s">
        <v>88</v>
      </c>
      <c r="G130" s="106" t="s">
        <v>308</v>
      </c>
      <c r="H130" s="102" t="s">
        <v>309</v>
      </c>
      <c r="I130" s="103" t="s">
        <v>173</v>
      </c>
      <c r="J130" s="224">
        <v>42461</v>
      </c>
      <c r="K130" s="224"/>
      <c r="L130" s="224">
        <f t="shared" si="8"/>
        <v>42461</v>
      </c>
      <c r="M130" s="224">
        <v>43100</v>
      </c>
      <c r="N130" s="224"/>
      <c r="O130" s="224">
        <f t="shared" si="7"/>
        <v>43100</v>
      </c>
      <c r="P130" s="105" t="s">
        <v>122</v>
      </c>
      <c r="Q130" s="103" t="s">
        <v>123</v>
      </c>
      <c r="R130" s="103"/>
      <c r="S130" s="104" t="s">
        <v>138</v>
      </c>
      <c r="T130" s="104"/>
      <c r="U130" s="110">
        <v>30000000</v>
      </c>
      <c r="V130" s="109"/>
      <c r="W130" s="110">
        <v>0</v>
      </c>
      <c r="X130" s="259">
        <v>0</v>
      </c>
      <c r="Y130" s="260">
        <f>+U130*0.235*0.3</f>
        <v>2115000</v>
      </c>
      <c r="Z130" s="259">
        <f>+U130-Y130-AA130</f>
        <v>26085000</v>
      </c>
      <c r="AA130" s="226">
        <f>+U130*0.06</f>
        <v>1800000</v>
      </c>
      <c r="AB130" s="219"/>
      <c r="AC130" s="219"/>
      <c r="AD130" s="219"/>
      <c r="AE130" s="219"/>
      <c r="AF130" s="219"/>
      <c r="AG130" s="100"/>
      <c r="AH130" s="230"/>
    </row>
    <row r="131" spans="1:256" s="229" customFormat="1" ht="90" hidden="1" customHeight="1">
      <c r="A131" s="101">
        <f t="shared" si="6"/>
        <v>49</v>
      </c>
      <c r="B131" s="103" t="s">
        <v>361</v>
      </c>
      <c r="C131" s="104" t="s">
        <v>134</v>
      </c>
      <c r="D131" s="103" t="s">
        <v>362</v>
      </c>
      <c r="E131" s="104" t="s">
        <v>114</v>
      </c>
      <c r="F131" s="103" t="s">
        <v>141</v>
      </c>
      <c r="G131" s="106" t="s">
        <v>151</v>
      </c>
      <c r="H131" s="102" t="s">
        <v>3</v>
      </c>
      <c r="I131" s="103" t="s">
        <v>173</v>
      </c>
      <c r="J131" s="224">
        <v>41730</v>
      </c>
      <c r="K131" s="224"/>
      <c r="L131" s="224">
        <f t="shared" si="8"/>
        <v>41730</v>
      </c>
      <c r="M131" s="224">
        <v>42460</v>
      </c>
      <c r="N131" s="224"/>
      <c r="O131" s="224">
        <f t="shared" si="7"/>
        <v>42460</v>
      </c>
      <c r="P131" s="105" t="s">
        <v>122</v>
      </c>
      <c r="Q131" s="103" t="s">
        <v>123</v>
      </c>
      <c r="R131" s="103"/>
      <c r="S131" s="104" t="s">
        <v>138</v>
      </c>
      <c r="T131" s="104"/>
      <c r="U131" s="110">
        <v>19852125.300000001</v>
      </c>
      <c r="V131" s="109"/>
      <c r="W131" s="110">
        <v>0</v>
      </c>
      <c r="X131" s="259">
        <v>0</v>
      </c>
      <c r="Y131" s="260">
        <f>+U131*0.235*0.3</f>
        <v>1399574.8336499997</v>
      </c>
      <c r="Z131" s="259">
        <f>+U131-Y131-AA131</f>
        <v>17261422.948350001</v>
      </c>
      <c r="AA131" s="226">
        <f>+U131*0.06</f>
        <v>1191127.5179999999</v>
      </c>
      <c r="AB131" s="219"/>
      <c r="AC131" s="219"/>
      <c r="AD131" s="219"/>
      <c r="AE131" s="219"/>
      <c r="AF131" s="219"/>
      <c r="AG131" s="100"/>
      <c r="AH131" s="230"/>
    </row>
    <row r="132" spans="1:256" s="329" customFormat="1" ht="57.75" hidden="1" customHeight="1">
      <c r="A132" s="400">
        <v>33</v>
      </c>
      <c r="B132" s="401" t="s">
        <v>1325</v>
      </c>
      <c r="C132" s="360" t="s">
        <v>134</v>
      </c>
      <c r="D132" s="401" t="s">
        <v>1257</v>
      </c>
      <c r="E132" s="320" t="s">
        <v>114</v>
      </c>
      <c r="F132" s="363" t="s">
        <v>141</v>
      </c>
      <c r="G132" s="363" t="s">
        <v>363</v>
      </c>
      <c r="H132" s="402" t="s">
        <v>3</v>
      </c>
      <c r="I132" s="363" t="s">
        <v>173</v>
      </c>
      <c r="J132" s="403" t="s">
        <v>1201</v>
      </c>
      <c r="K132" s="404" t="s">
        <v>1201</v>
      </c>
      <c r="L132" s="403" t="s">
        <v>1201</v>
      </c>
      <c r="M132" s="403">
        <v>42566</v>
      </c>
      <c r="N132" s="404">
        <v>12</v>
      </c>
      <c r="O132" s="403">
        <f t="shared" si="7"/>
        <v>42830</v>
      </c>
      <c r="P132" s="363" t="s">
        <v>122</v>
      </c>
      <c r="Q132" s="363" t="s">
        <v>123</v>
      </c>
      <c r="R132" s="363" t="s">
        <v>65</v>
      </c>
      <c r="S132" s="402" t="s">
        <v>143</v>
      </c>
      <c r="T132" s="360"/>
      <c r="U132" s="405">
        <v>29011782</v>
      </c>
      <c r="V132" s="332"/>
      <c r="W132" s="324">
        <v>700000</v>
      </c>
      <c r="X132" s="355">
        <v>16305308</v>
      </c>
      <c r="Y132" s="410">
        <v>4076327</v>
      </c>
      <c r="Z132" s="355">
        <v>8630147</v>
      </c>
      <c r="AA132" s="406" t="s">
        <v>132</v>
      </c>
      <c r="AB132" s="361"/>
      <c r="AC132" s="361"/>
      <c r="AD132" s="361"/>
      <c r="AE132" s="361"/>
      <c r="AF132" s="361"/>
      <c r="AG132" s="362"/>
    </row>
    <row r="133" spans="1:256" s="229" customFormat="1" ht="90" hidden="1" customHeight="1">
      <c r="A133" s="101">
        <f t="shared" si="6"/>
        <v>34</v>
      </c>
      <c r="B133" s="103" t="s">
        <v>364</v>
      </c>
      <c r="C133" s="104" t="s">
        <v>140</v>
      </c>
      <c r="D133" s="103" t="s">
        <v>367</v>
      </c>
      <c r="E133" s="104" t="s">
        <v>114</v>
      </c>
      <c r="F133" s="103" t="s">
        <v>141</v>
      </c>
      <c r="G133" s="106" t="s">
        <v>365</v>
      </c>
      <c r="H133" s="102" t="s">
        <v>366</v>
      </c>
      <c r="I133" s="103" t="s">
        <v>173</v>
      </c>
      <c r="J133" s="224">
        <v>42461</v>
      </c>
      <c r="K133" s="224"/>
      <c r="L133" s="224">
        <f t="shared" si="8"/>
        <v>42461</v>
      </c>
      <c r="M133" s="224">
        <v>43100</v>
      </c>
      <c r="N133" s="224"/>
      <c r="O133" s="224">
        <f t="shared" si="7"/>
        <v>43100</v>
      </c>
      <c r="P133" s="105" t="s">
        <v>122</v>
      </c>
      <c r="Q133" s="103" t="s">
        <v>123</v>
      </c>
      <c r="R133" s="103"/>
      <c r="S133" s="104" t="s">
        <v>138</v>
      </c>
      <c r="T133" s="104"/>
      <c r="U133" s="110">
        <v>8000000</v>
      </c>
      <c r="V133" s="109"/>
      <c r="W133" s="110">
        <v>0</v>
      </c>
      <c r="X133" s="259">
        <v>0</v>
      </c>
      <c r="Y133" s="260">
        <f>+U133*0.235*0.3</f>
        <v>564000</v>
      </c>
      <c r="Z133" s="259">
        <f>+U133-Y133-AA133</f>
        <v>7036000</v>
      </c>
      <c r="AA133" s="226">
        <f>+U133*0.05</f>
        <v>400000</v>
      </c>
      <c r="AB133" s="219"/>
      <c r="AC133" s="219"/>
      <c r="AD133" s="219"/>
      <c r="AE133" s="219"/>
      <c r="AF133" s="219"/>
      <c r="AG133" s="100"/>
      <c r="AH133" s="230"/>
    </row>
    <row r="134" spans="1:256" s="229" customFormat="1" ht="90" hidden="1" customHeight="1">
      <c r="A134" s="101">
        <f t="shared" si="6"/>
        <v>35</v>
      </c>
      <c r="B134" s="103" t="s">
        <v>368</v>
      </c>
      <c r="C134" s="104" t="s">
        <v>134</v>
      </c>
      <c r="D134" s="103" t="s">
        <v>369</v>
      </c>
      <c r="E134" s="104" t="s">
        <v>114</v>
      </c>
      <c r="F134" s="103" t="s">
        <v>141</v>
      </c>
      <c r="G134" s="106" t="s">
        <v>286</v>
      </c>
      <c r="H134" s="102" t="s">
        <v>3</v>
      </c>
      <c r="I134" s="103" t="s">
        <v>173</v>
      </c>
      <c r="J134" s="224">
        <v>41730</v>
      </c>
      <c r="K134" s="224"/>
      <c r="L134" s="224">
        <f t="shared" si="8"/>
        <v>41730</v>
      </c>
      <c r="M134" s="224">
        <v>42369</v>
      </c>
      <c r="N134" s="224"/>
      <c r="O134" s="224">
        <f t="shared" si="7"/>
        <v>42369</v>
      </c>
      <c r="P134" s="105" t="s">
        <v>122</v>
      </c>
      <c r="Q134" s="103" t="s">
        <v>123</v>
      </c>
      <c r="R134" s="103"/>
      <c r="S134" s="104" t="s">
        <v>138</v>
      </c>
      <c r="T134" s="104"/>
      <c r="U134" s="110">
        <f>+(3658606+1293526+1350713+929210+300000+1050000+150000)*1.23*1.07</f>
        <v>11492257.585500002</v>
      </c>
      <c r="V134" s="109"/>
      <c r="W134" s="110">
        <v>0</v>
      </c>
      <c r="X134" s="259">
        <v>0</v>
      </c>
      <c r="Y134" s="259">
        <v>0</v>
      </c>
      <c r="Z134" s="259">
        <v>0</v>
      </c>
      <c r="AA134" s="226">
        <v>0</v>
      </c>
      <c r="AB134" s="219"/>
      <c r="AC134" s="219"/>
      <c r="AD134" s="219"/>
      <c r="AE134" s="219"/>
      <c r="AF134" s="219"/>
      <c r="AG134" s="100"/>
      <c r="AH134" s="230">
        <f>+U134*0.06</f>
        <v>689535.45513000013</v>
      </c>
    </row>
    <row r="135" spans="1:256" s="229" customFormat="1" ht="90" hidden="1" customHeight="1">
      <c r="A135" s="101">
        <f t="shared" si="6"/>
        <v>36</v>
      </c>
      <c r="B135" s="103" t="s">
        <v>370</v>
      </c>
      <c r="C135" s="104" t="s">
        <v>140</v>
      </c>
      <c r="D135" s="103" t="s">
        <v>371</v>
      </c>
      <c r="E135" s="104" t="s">
        <v>114</v>
      </c>
      <c r="F135" s="103" t="s">
        <v>88</v>
      </c>
      <c r="G135" s="106" t="s">
        <v>255</v>
      </c>
      <c r="H135" s="103" t="s">
        <v>240</v>
      </c>
      <c r="I135" s="103" t="s">
        <v>278</v>
      </c>
      <c r="J135" s="224">
        <v>42826</v>
      </c>
      <c r="K135" s="224"/>
      <c r="L135" s="224">
        <f t="shared" si="8"/>
        <v>42826</v>
      </c>
      <c r="M135" s="224">
        <v>43190</v>
      </c>
      <c r="N135" s="224"/>
      <c r="O135" s="224">
        <f t="shared" si="7"/>
        <v>43190</v>
      </c>
      <c r="P135" s="105" t="s">
        <v>122</v>
      </c>
      <c r="Q135" s="103" t="s">
        <v>251</v>
      </c>
      <c r="R135" s="103"/>
      <c r="S135" s="104" t="s">
        <v>138</v>
      </c>
      <c r="T135" s="104"/>
      <c r="U135" s="110">
        <v>15000000</v>
      </c>
      <c r="V135" s="109"/>
      <c r="W135" s="110">
        <v>0</v>
      </c>
      <c r="X135" s="259">
        <v>0</v>
      </c>
      <c r="Y135" s="260">
        <v>750000</v>
      </c>
      <c r="Z135" s="259">
        <f>+U135-Y135-AA135</f>
        <v>13350000</v>
      </c>
      <c r="AA135" s="226">
        <f>+U135*0.06</f>
        <v>900000</v>
      </c>
      <c r="AB135" s="219"/>
      <c r="AC135" s="219"/>
      <c r="AD135" s="219"/>
      <c r="AE135" s="219"/>
      <c r="AF135" s="219"/>
      <c r="AG135" s="100"/>
      <c r="AH135" s="230"/>
      <c r="AL135" s="229">
        <f>SUM(BK135:BV135)</f>
        <v>0</v>
      </c>
      <c r="AM135" s="229">
        <v>39845.173041894348</v>
      </c>
      <c r="AN135" s="229">
        <v>119535.51912568304</v>
      </c>
      <c r="AO135" s="229">
        <v>199225.86520947178</v>
      </c>
      <c r="AP135" s="229">
        <v>278916.21129326039</v>
      </c>
      <c r="AQ135" s="229">
        <v>358606.55737704958</v>
      </c>
      <c r="AR135" s="229">
        <v>438296.90346083755</v>
      </c>
      <c r="AS135" s="229">
        <v>517987.2495446268</v>
      </c>
      <c r="AT135" s="229">
        <v>597677.59562841477</v>
      </c>
      <c r="AU135" s="229">
        <v>677367.94171220483</v>
      </c>
      <c r="AV135" s="229">
        <v>757058.2877959935</v>
      </c>
      <c r="AW135" s="229">
        <v>836748.63387977937</v>
      </c>
      <c r="AX135" s="229">
        <v>916438.97996357083</v>
      </c>
      <c r="AY135" s="229">
        <v>996129.3260473581</v>
      </c>
      <c r="AZ135" s="229">
        <v>1075819.6721311491</v>
      </c>
      <c r="BA135" s="229">
        <v>1142269.1607117839</v>
      </c>
      <c r="BB135" s="229">
        <v>1059472.9344729334</v>
      </c>
      <c r="BC135" s="229">
        <v>934829.05982905999</v>
      </c>
      <c r="BD135" s="229">
        <v>810185.1851851847</v>
      </c>
      <c r="BE135" s="229">
        <v>685541.31054131128</v>
      </c>
      <c r="BF135" s="229">
        <v>560897.43589743413</v>
      </c>
      <c r="BG135" s="229">
        <v>436253.56125356071</v>
      </c>
      <c r="BH135" s="229">
        <v>311609.68660968915</v>
      </c>
      <c r="BI135" s="229">
        <v>186965.811965812</v>
      </c>
      <c r="BJ135" s="229">
        <v>62321.937321936712</v>
      </c>
    </row>
    <row r="136" spans="1:256" s="229" customFormat="1" ht="90" hidden="1" customHeight="1">
      <c r="A136" s="101">
        <f t="shared" si="6"/>
        <v>37</v>
      </c>
      <c r="B136" s="103" t="s">
        <v>372</v>
      </c>
      <c r="C136" s="104" t="s">
        <v>134</v>
      </c>
      <c r="D136" s="103" t="s">
        <v>373</v>
      </c>
      <c r="E136" s="104" t="s">
        <v>114</v>
      </c>
      <c r="F136" s="103" t="s">
        <v>141</v>
      </c>
      <c r="G136" s="106" t="s">
        <v>365</v>
      </c>
      <c r="H136" s="102" t="s">
        <v>366</v>
      </c>
      <c r="I136" s="103" t="s">
        <v>173</v>
      </c>
      <c r="J136" s="224">
        <v>42461</v>
      </c>
      <c r="K136" s="224"/>
      <c r="L136" s="224">
        <f t="shared" si="8"/>
        <v>42461</v>
      </c>
      <c r="M136" s="224">
        <v>43100</v>
      </c>
      <c r="N136" s="224"/>
      <c r="O136" s="224">
        <f t="shared" si="7"/>
        <v>43100</v>
      </c>
      <c r="P136" s="105" t="s">
        <v>122</v>
      </c>
      <c r="Q136" s="103" t="s">
        <v>123</v>
      </c>
      <c r="R136" s="103"/>
      <c r="S136" s="104" t="s">
        <v>138</v>
      </c>
      <c r="T136" s="104"/>
      <c r="U136" s="110">
        <f>+(((5*((1141850+1714473+2097122)/9)+1350713+929210)*1.07)+450000+8*25000)*1.23</f>
        <v>7421900.5294666672</v>
      </c>
      <c r="V136" s="109"/>
      <c r="W136" s="110">
        <v>0</v>
      </c>
      <c r="X136" s="259">
        <v>0</v>
      </c>
      <c r="Y136" s="260">
        <f>+U136*0.235*0.3</f>
        <v>523243.98732739995</v>
      </c>
      <c r="Z136" s="259">
        <f>+U136-Y136-AA136</f>
        <v>6898656.5421392675</v>
      </c>
      <c r="AA136" s="226">
        <v>0</v>
      </c>
      <c r="AB136" s="219"/>
      <c r="AC136" s="219"/>
      <c r="AD136" s="219"/>
      <c r="AE136" s="219"/>
      <c r="AF136" s="219"/>
      <c r="AG136" s="100"/>
      <c r="AH136" s="230"/>
    </row>
    <row r="137" spans="1:256" s="229" customFormat="1" ht="90" hidden="1" customHeight="1">
      <c r="A137" s="101">
        <f t="shared" si="6"/>
        <v>38</v>
      </c>
      <c r="B137" s="103" t="s">
        <v>374</v>
      </c>
      <c r="C137" s="104" t="s">
        <v>134</v>
      </c>
      <c r="D137" s="103" t="s">
        <v>375</v>
      </c>
      <c r="E137" s="104" t="s">
        <v>114</v>
      </c>
      <c r="F137" s="103" t="s">
        <v>84</v>
      </c>
      <c r="G137" s="106" t="s">
        <v>135</v>
      </c>
      <c r="H137" s="102" t="s">
        <v>96</v>
      </c>
      <c r="I137" s="103" t="s">
        <v>173</v>
      </c>
      <c r="J137" s="224">
        <v>42461</v>
      </c>
      <c r="K137" s="224"/>
      <c r="L137" s="224">
        <f t="shared" si="8"/>
        <v>42461</v>
      </c>
      <c r="M137" s="224">
        <v>43100</v>
      </c>
      <c r="N137" s="224"/>
      <c r="O137" s="224">
        <f t="shared" si="7"/>
        <v>43100</v>
      </c>
      <c r="P137" s="105" t="s">
        <v>122</v>
      </c>
      <c r="Q137" s="103" t="s">
        <v>123</v>
      </c>
      <c r="R137" s="103"/>
      <c r="S137" s="104" t="s">
        <v>138</v>
      </c>
      <c r="T137" s="104"/>
      <c r="U137" s="110">
        <f>+(3658606+1293526+1350713+4298671+23*(1022001/14)+1350000+929210+350000+750000+150000)*1.23*1.07</f>
        <v>20807182.550764289</v>
      </c>
      <c r="V137" s="109"/>
      <c r="W137" s="110">
        <v>0</v>
      </c>
      <c r="X137" s="259">
        <v>0</v>
      </c>
      <c r="Y137" s="260">
        <f>+U137*0.235*0.3</f>
        <v>1466906.3698288822</v>
      </c>
      <c r="Z137" s="259">
        <f>+U137-Y137-AA137</f>
        <v>18299917.05339719</v>
      </c>
      <c r="AA137" s="226">
        <f>+U137*0.05</f>
        <v>1040359.1275382144</v>
      </c>
      <c r="AB137" s="219"/>
      <c r="AC137" s="219"/>
      <c r="AD137" s="219"/>
      <c r="AE137" s="219"/>
      <c r="AF137" s="219"/>
      <c r="AG137" s="100"/>
      <c r="AH137" s="231"/>
      <c r="AI137" s="232"/>
      <c r="AJ137" s="232"/>
      <c r="AK137" s="232"/>
      <c r="AL137" s="232"/>
      <c r="AM137" s="232"/>
      <c r="AN137" s="232"/>
      <c r="AO137" s="232"/>
      <c r="AP137" s="232"/>
      <c r="AQ137" s="232"/>
      <c r="AR137" s="232"/>
      <c r="AS137" s="232"/>
      <c r="AT137" s="232"/>
      <c r="AU137" s="232"/>
      <c r="AV137" s="232"/>
      <c r="AW137" s="232"/>
      <c r="AX137" s="232"/>
      <c r="AY137" s="232"/>
      <c r="AZ137" s="232"/>
      <c r="BA137" s="232"/>
      <c r="BB137" s="232"/>
      <c r="BC137" s="232"/>
      <c r="BD137" s="232"/>
      <c r="BE137" s="232"/>
      <c r="BF137" s="232"/>
      <c r="BG137" s="232"/>
      <c r="BH137" s="232"/>
      <c r="BI137" s="232"/>
      <c r="BJ137" s="232"/>
      <c r="BK137" s="232"/>
      <c r="BL137" s="232"/>
      <c r="BM137" s="232"/>
      <c r="BN137" s="232"/>
      <c r="BO137" s="232"/>
      <c r="BP137" s="232"/>
      <c r="BQ137" s="232"/>
      <c r="BR137" s="232"/>
      <c r="BS137" s="232"/>
      <c r="BT137" s="232"/>
      <c r="BU137" s="232"/>
      <c r="BV137" s="232"/>
      <c r="BW137" s="232"/>
      <c r="BX137" s="232"/>
      <c r="BY137" s="232"/>
      <c r="BZ137" s="232"/>
      <c r="CA137" s="232"/>
      <c r="CB137" s="232"/>
      <c r="CC137" s="232"/>
      <c r="CD137" s="232"/>
      <c r="CE137" s="232"/>
      <c r="CF137" s="232"/>
      <c r="CG137" s="232"/>
      <c r="CH137" s="232"/>
      <c r="CI137" s="232"/>
      <c r="CJ137" s="232"/>
      <c r="CK137" s="232"/>
      <c r="CL137" s="232"/>
      <c r="CM137" s="232"/>
      <c r="CN137" s="232"/>
      <c r="CO137" s="232"/>
      <c r="CP137" s="232"/>
      <c r="CQ137" s="232"/>
      <c r="CR137" s="232"/>
      <c r="CS137" s="232"/>
      <c r="CT137" s="232"/>
      <c r="CU137" s="232"/>
      <c r="CV137" s="232"/>
      <c r="CW137" s="232"/>
      <c r="CX137" s="232"/>
      <c r="CY137" s="232"/>
      <c r="CZ137" s="232"/>
      <c r="DA137" s="232"/>
      <c r="DB137" s="232"/>
      <c r="DC137" s="232"/>
      <c r="DD137" s="232"/>
      <c r="DE137" s="232"/>
      <c r="DF137" s="232"/>
      <c r="DG137" s="232"/>
      <c r="DH137" s="232"/>
      <c r="DI137" s="232"/>
      <c r="DJ137" s="232"/>
      <c r="DK137" s="232"/>
      <c r="DL137" s="232"/>
      <c r="DM137" s="232"/>
      <c r="DN137" s="232"/>
      <c r="DO137" s="232"/>
      <c r="DP137" s="232"/>
      <c r="DQ137" s="232"/>
      <c r="DR137" s="232"/>
      <c r="DS137" s="232"/>
      <c r="DT137" s="232"/>
      <c r="DU137" s="232"/>
      <c r="DV137" s="232"/>
      <c r="DW137" s="232"/>
      <c r="DX137" s="232"/>
      <c r="DY137" s="232"/>
      <c r="DZ137" s="232"/>
      <c r="EA137" s="232"/>
      <c r="EB137" s="232"/>
      <c r="EC137" s="232"/>
      <c r="ED137" s="232"/>
      <c r="EE137" s="232"/>
      <c r="EF137" s="232"/>
      <c r="EG137" s="232"/>
      <c r="EH137" s="232"/>
      <c r="EI137" s="232"/>
      <c r="EJ137" s="232"/>
      <c r="EK137" s="232"/>
      <c r="EL137" s="232"/>
      <c r="EM137" s="232"/>
      <c r="EN137" s="232"/>
      <c r="EO137" s="232"/>
      <c r="EP137" s="232"/>
      <c r="EQ137" s="232"/>
      <c r="ER137" s="232"/>
      <c r="ES137" s="232"/>
      <c r="ET137" s="232"/>
      <c r="EU137" s="232"/>
      <c r="EV137" s="232"/>
      <c r="EW137" s="232"/>
      <c r="EX137" s="232"/>
      <c r="EY137" s="232"/>
      <c r="EZ137" s="232"/>
      <c r="FA137" s="232"/>
      <c r="FB137" s="232"/>
      <c r="FC137" s="232"/>
      <c r="FD137" s="232"/>
      <c r="FE137" s="232"/>
      <c r="FF137" s="232"/>
      <c r="FG137" s="232"/>
      <c r="FH137" s="232"/>
      <c r="FI137" s="232"/>
      <c r="FJ137" s="232"/>
      <c r="FK137" s="232"/>
      <c r="FL137" s="232"/>
      <c r="FM137" s="232"/>
      <c r="FN137" s="232"/>
      <c r="FO137" s="232"/>
      <c r="FP137" s="232"/>
      <c r="FQ137" s="232"/>
      <c r="FR137" s="232"/>
      <c r="FS137" s="232"/>
      <c r="FT137" s="232"/>
      <c r="FU137" s="232"/>
      <c r="FV137" s="232"/>
      <c r="FW137" s="232"/>
      <c r="FX137" s="232"/>
      <c r="FY137" s="232"/>
      <c r="FZ137" s="232"/>
      <c r="GA137" s="232"/>
      <c r="GB137" s="232"/>
      <c r="GC137" s="232"/>
      <c r="GD137" s="232"/>
      <c r="GE137" s="232"/>
      <c r="GF137" s="232"/>
      <c r="GG137" s="232"/>
      <c r="GH137" s="232"/>
      <c r="GI137" s="232"/>
      <c r="GJ137" s="232"/>
      <c r="GK137" s="232"/>
      <c r="GL137" s="232"/>
      <c r="GM137" s="232"/>
      <c r="GN137" s="232"/>
      <c r="GO137" s="232"/>
      <c r="GP137" s="232"/>
      <c r="GQ137" s="232"/>
      <c r="GR137" s="232"/>
      <c r="GS137" s="232"/>
      <c r="GT137" s="232"/>
      <c r="GU137" s="232"/>
      <c r="GV137" s="232"/>
      <c r="GW137" s="232"/>
      <c r="GX137" s="232"/>
      <c r="GY137" s="232"/>
      <c r="GZ137" s="232"/>
      <c r="HA137" s="232"/>
      <c r="HB137" s="232"/>
      <c r="HC137" s="232"/>
      <c r="HD137" s="232"/>
      <c r="HE137" s="232"/>
      <c r="HF137" s="232"/>
      <c r="HG137" s="232"/>
      <c r="HH137" s="232"/>
      <c r="HI137" s="232"/>
      <c r="HJ137" s="232"/>
      <c r="HK137" s="232"/>
      <c r="HL137" s="232"/>
      <c r="HM137" s="232"/>
      <c r="HN137" s="232"/>
      <c r="HO137" s="232"/>
      <c r="HP137" s="232"/>
      <c r="HQ137" s="232"/>
      <c r="HR137" s="232"/>
      <c r="HS137" s="232"/>
      <c r="HT137" s="232"/>
      <c r="HU137" s="232"/>
      <c r="HV137" s="232"/>
      <c r="HW137" s="232"/>
      <c r="HX137" s="232"/>
      <c r="HY137" s="232"/>
      <c r="HZ137" s="232"/>
      <c r="IA137" s="232"/>
      <c r="IB137" s="232"/>
      <c r="IC137" s="232"/>
      <c r="ID137" s="232"/>
      <c r="IE137" s="232"/>
      <c r="IF137" s="232"/>
      <c r="IG137" s="232"/>
      <c r="IH137" s="232"/>
      <c r="II137" s="232"/>
      <c r="IJ137" s="232"/>
      <c r="IK137" s="232"/>
      <c r="IL137" s="232"/>
      <c r="IM137" s="232"/>
      <c r="IN137" s="232"/>
      <c r="IO137" s="232"/>
      <c r="IP137" s="232"/>
      <c r="IQ137" s="232"/>
      <c r="IR137" s="232"/>
      <c r="IS137" s="232"/>
      <c r="IT137" s="232"/>
      <c r="IU137" s="232"/>
      <c r="IV137" s="232"/>
    </row>
    <row r="138" spans="1:256" s="182" customFormat="1" ht="90" hidden="1" customHeight="1">
      <c r="A138" s="101">
        <f t="shared" si="6"/>
        <v>39</v>
      </c>
      <c r="B138" s="103" t="s">
        <v>376</v>
      </c>
      <c r="C138" s="104" t="s">
        <v>140</v>
      </c>
      <c r="D138" s="103" t="s">
        <v>377</v>
      </c>
      <c r="E138" s="104" t="s">
        <v>114</v>
      </c>
      <c r="F138" s="103" t="s">
        <v>91</v>
      </c>
      <c r="G138" s="106" t="s">
        <v>199</v>
      </c>
      <c r="H138" s="102" t="s">
        <v>200</v>
      </c>
      <c r="I138" s="103" t="s">
        <v>278</v>
      </c>
      <c r="J138" s="224">
        <v>42826</v>
      </c>
      <c r="K138" s="224"/>
      <c r="L138" s="224">
        <f t="shared" si="8"/>
        <v>42826</v>
      </c>
      <c r="M138" s="224">
        <v>43190</v>
      </c>
      <c r="N138" s="224"/>
      <c r="O138" s="224">
        <f t="shared" si="7"/>
        <v>43190</v>
      </c>
      <c r="P138" s="105" t="s">
        <v>122</v>
      </c>
      <c r="Q138" s="103" t="s">
        <v>251</v>
      </c>
      <c r="R138" s="103"/>
      <c r="S138" s="104" t="s">
        <v>334</v>
      </c>
      <c r="T138" s="104"/>
      <c r="U138" s="110">
        <f>+(14*190000+450000+(1247367+1293526+1350713+4298671+929210+1050000)*1.07)*1.23</f>
        <v>17209361.840700001</v>
      </c>
      <c r="V138" s="109"/>
      <c r="W138" s="110">
        <v>0</v>
      </c>
      <c r="X138" s="259">
        <v>0</v>
      </c>
      <c r="Y138" s="259">
        <f>+U138*0.45</f>
        <v>7744212.828315</v>
      </c>
      <c r="Z138" s="260">
        <f>+U138-Y138</f>
        <v>9465149.0123849995</v>
      </c>
      <c r="AA138" s="226"/>
      <c r="AB138" s="219"/>
      <c r="AC138" s="219"/>
      <c r="AD138" s="219"/>
      <c r="AE138" s="219"/>
      <c r="AF138" s="219"/>
      <c r="AG138" s="100"/>
      <c r="AH138" s="97"/>
    </row>
    <row r="139" spans="1:256" s="229" customFormat="1" ht="90" hidden="1" customHeight="1">
      <c r="A139" s="101">
        <f t="shared" si="6"/>
        <v>40</v>
      </c>
      <c r="B139" s="103" t="s">
        <v>378</v>
      </c>
      <c r="C139" s="104" t="s">
        <v>134</v>
      </c>
      <c r="D139" s="103" t="s">
        <v>379</v>
      </c>
      <c r="E139" s="104" t="s">
        <v>114</v>
      </c>
      <c r="F139" s="103" t="s">
        <v>91</v>
      </c>
      <c r="G139" s="106" t="s">
        <v>199</v>
      </c>
      <c r="H139" s="102" t="s">
        <v>200</v>
      </c>
      <c r="I139" s="103" t="s">
        <v>278</v>
      </c>
      <c r="J139" s="224">
        <v>42461</v>
      </c>
      <c r="K139" s="224"/>
      <c r="L139" s="224">
        <f t="shared" si="8"/>
        <v>42461</v>
      </c>
      <c r="M139" s="224">
        <v>42643</v>
      </c>
      <c r="N139" s="224"/>
      <c r="O139" s="224">
        <f t="shared" si="7"/>
        <v>42643</v>
      </c>
      <c r="P139" s="105" t="s">
        <v>122</v>
      </c>
      <c r="Q139" s="103" t="s">
        <v>251</v>
      </c>
      <c r="R139" s="103"/>
      <c r="S139" s="104" t="s">
        <v>143</v>
      </c>
      <c r="T139" s="104"/>
      <c r="U139" s="110">
        <v>3000000</v>
      </c>
      <c r="V139" s="109"/>
      <c r="W139" s="110">
        <v>0</v>
      </c>
      <c r="X139" s="259">
        <f>+U139*0.235*0.3</f>
        <v>211500</v>
      </c>
      <c r="Y139" s="260">
        <f>+U139-X139</f>
        <v>2788500</v>
      </c>
      <c r="Z139" s="259">
        <v>0</v>
      </c>
      <c r="AA139" s="226">
        <v>0</v>
      </c>
      <c r="AB139" s="219"/>
      <c r="AC139" s="219"/>
      <c r="AD139" s="219"/>
      <c r="AE139" s="219"/>
      <c r="AF139" s="219"/>
      <c r="AG139" s="100"/>
      <c r="AH139" s="227"/>
      <c r="AI139" s="228"/>
      <c r="AJ139" s="228"/>
      <c r="AK139" s="228"/>
      <c r="AL139" s="228"/>
      <c r="AM139" s="228"/>
      <c r="AN139" s="228"/>
      <c r="AO139" s="228"/>
      <c r="AP139" s="228"/>
      <c r="AQ139" s="228"/>
      <c r="AR139" s="228"/>
      <c r="AS139" s="228"/>
      <c r="AT139" s="228"/>
      <c r="AU139" s="228"/>
      <c r="AV139" s="228"/>
      <c r="AW139" s="228"/>
      <c r="AX139" s="228"/>
      <c r="AY139" s="228"/>
      <c r="AZ139" s="228"/>
      <c r="BA139" s="228"/>
      <c r="BB139" s="228"/>
      <c r="BC139" s="228"/>
      <c r="BD139" s="228"/>
      <c r="BE139" s="228"/>
      <c r="BF139" s="228"/>
      <c r="BG139" s="228"/>
      <c r="BH139" s="228"/>
      <c r="BI139" s="228"/>
      <c r="BJ139" s="228"/>
      <c r="BK139" s="228"/>
      <c r="BL139" s="228"/>
      <c r="BM139" s="228"/>
      <c r="BN139" s="228"/>
      <c r="BO139" s="228"/>
      <c r="BP139" s="228"/>
      <c r="BQ139" s="228"/>
      <c r="BR139" s="228"/>
      <c r="BS139" s="228"/>
      <c r="BT139" s="228"/>
      <c r="BU139" s="228"/>
      <c r="BV139" s="228"/>
      <c r="BW139" s="228"/>
      <c r="BX139" s="228"/>
      <c r="BY139" s="228"/>
      <c r="BZ139" s="228"/>
      <c r="CA139" s="228"/>
      <c r="CB139" s="228"/>
      <c r="CC139" s="228"/>
      <c r="CD139" s="228"/>
      <c r="CE139" s="228"/>
      <c r="CF139" s="228"/>
      <c r="CG139" s="228"/>
      <c r="CH139" s="228"/>
      <c r="CI139" s="228"/>
      <c r="CJ139" s="228"/>
      <c r="CK139" s="228"/>
      <c r="CL139" s="228"/>
      <c r="CM139" s="228"/>
      <c r="CN139" s="228"/>
      <c r="CO139" s="228"/>
      <c r="CP139" s="228"/>
      <c r="CQ139" s="228"/>
      <c r="CR139" s="228"/>
      <c r="CS139" s="228"/>
      <c r="CT139" s="228"/>
      <c r="CU139" s="228"/>
      <c r="CV139" s="228"/>
      <c r="CW139" s="228"/>
      <c r="CX139" s="228"/>
      <c r="CY139" s="228"/>
      <c r="CZ139" s="228"/>
      <c r="DA139" s="228"/>
      <c r="DB139" s="228"/>
      <c r="DC139" s="228"/>
      <c r="DD139" s="228"/>
      <c r="DE139" s="228"/>
      <c r="DF139" s="228"/>
      <c r="DG139" s="228"/>
      <c r="DH139" s="228"/>
      <c r="DI139" s="228"/>
      <c r="DJ139" s="228"/>
      <c r="DK139" s="228"/>
      <c r="DL139" s="228"/>
      <c r="DM139" s="228"/>
      <c r="DN139" s="228"/>
      <c r="DO139" s="228"/>
      <c r="DP139" s="228"/>
      <c r="DQ139" s="228"/>
      <c r="DR139" s="228"/>
      <c r="DS139" s="228"/>
      <c r="DT139" s="228"/>
      <c r="DU139" s="228"/>
      <c r="DV139" s="228"/>
      <c r="DW139" s="228"/>
      <c r="DX139" s="228"/>
      <c r="DY139" s="228"/>
      <c r="DZ139" s="228"/>
      <c r="EA139" s="228"/>
      <c r="EB139" s="228"/>
      <c r="EC139" s="228"/>
      <c r="ED139" s="228"/>
      <c r="EE139" s="228"/>
      <c r="EF139" s="228"/>
      <c r="EG139" s="228"/>
      <c r="EH139" s="228"/>
      <c r="EI139" s="228"/>
      <c r="EJ139" s="228"/>
      <c r="EK139" s="228"/>
      <c r="EL139" s="228"/>
      <c r="EM139" s="228"/>
      <c r="EN139" s="228"/>
      <c r="EO139" s="228"/>
      <c r="EP139" s="228"/>
      <c r="EQ139" s="228"/>
      <c r="ER139" s="228"/>
      <c r="ES139" s="228"/>
      <c r="ET139" s="228"/>
      <c r="EU139" s="228"/>
      <c r="EV139" s="228"/>
      <c r="EW139" s="228"/>
      <c r="EX139" s="228"/>
      <c r="EY139" s="228"/>
      <c r="EZ139" s="228"/>
      <c r="FA139" s="228"/>
      <c r="FB139" s="228"/>
      <c r="FC139" s="228"/>
      <c r="FD139" s="228"/>
      <c r="FE139" s="228"/>
      <c r="FF139" s="228"/>
      <c r="FG139" s="228"/>
      <c r="FH139" s="228"/>
      <c r="FI139" s="228"/>
      <c r="FJ139" s="228"/>
      <c r="FK139" s="228"/>
      <c r="FL139" s="228"/>
      <c r="FM139" s="228"/>
      <c r="FN139" s="228"/>
      <c r="FO139" s="228"/>
      <c r="FP139" s="228"/>
      <c r="FQ139" s="228"/>
      <c r="FR139" s="228"/>
      <c r="FS139" s="228"/>
      <c r="FT139" s="228"/>
      <c r="FU139" s="228"/>
      <c r="FV139" s="228"/>
      <c r="FW139" s="228"/>
      <c r="FX139" s="228"/>
      <c r="FY139" s="228"/>
      <c r="FZ139" s="228"/>
      <c r="GA139" s="228"/>
      <c r="GB139" s="228"/>
      <c r="GC139" s="228"/>
      <c r="GD139" s="228"/>
      <c r="GE139" s="228"/>
      <c r="GF139" s="228"/>
      <c r="GG139" s="228"/>
      <c r="GH139" s="228"/>
      <c r="GI139" s="228"/>
      <c r="GJ139" s="228"/>
      <c r="GK139" s="228"/>
      <c r="GL139" s="228"/>
      <c r="GM139" s="228"/>
      <c r="GN139" s="228"/>
      <c r="GO139" s="228"/>
      <c r="GP139" s="228"/>
      <c r="GQ139" s="228"/>
      <c r="GR139" s="228"/>
      <c r="GS139" s="228"/>
      <c r="GT139" s="228"/>
      <c r="GU139" s="228"/>
      <c r="GV139" s="228"/>
      <c r="GW139" s="228"/>
      <c r="GX139" s="228"/>
      <c r="GY139" s="228"/>
      <c r="GZ139" s="228"/>
      <c r="HA139" s="228"/>
      <c r="HB139" s="228"/>
      <c r="HC139" s="228"/>
      <c r="HD139" s="228"/>
      <c r="HE139" s="228"/>
      <c r="HF139" s="228"/>
      <c r="HG139" s="228"/>
      <c r="HH139" s="228"/>
      <c r="HI139" s="228"/>
      <c r="HJ139" s="228"/>
      <c r="HK139" s="228"/>
      <c r="HL139" s="228"/>
      <c r="HM139" s="228"/>
      <c r="HN139" s="228"/>
      <c r="HO139" s="228"/>
      <c r="HP139" s="228"/>
      <c r="HQ139" s="228"/>
      <c r="HR139" s="228"/>
      <c r="HS139" s="228"/>
      <c r="HT139" s="228"/>
      <c r="HU139" s="228"/>
      <c r="HV139" s="228"/>
      <c r="HW139" s="228"/>
      <c r="HX139" s="228"/>
      <c r="HY139" s="228"/>
      <c r="HZ139" s="228"/>
      <c r="IA139" s="228"/>
      <c r="IB139" s="228"/>
      <c r="IC139" s="228"/>
      <c r="ID139" s="228"/>
      <c r="IE139" s="228"/>
      <c r="IF139" s="228"/>
      <c r="IG139" s="228"/>
      <c r="IH139" s="228"/>
      <c r="II139" s="228"/>
      <c r="IJ139" s="228"/>
      <c r="IK139" s="228"/>
      <c r="IL139" s="228"/>
      <c r="IM139" s="228"/>
      <c r="IN139" s="228"/>
      <c r="IO139" s="228"/>
      <c r="IP139" s="228"/>
      <c r="IQ139" s="228"/>
      <c r="IR139" s="228"/>
      <c r="IS139" s="228"/>
      <c r="IT139" s="228"/>
      <c r="IU139" s="228"/>
      <c r="IV139" s="228"/>
    </row>
    <row r="140" spans="1:256" s="229" customFormat="1" ht="90" hidden="1" customHeight="1">
      <c r="A140" s="101">
        <f t="shared" si="6"/>
        <v>41</v>
      </c>
      <c r="B140" s="103" t="s">
        <v>380</v>
      </c>
      <c r="C140" s="104" t="s">
        <v>134</v>
      </c>
      <c r="D140" s="103" t="s">
        <v>382</v>
      </c>
      <c r="E140" s="104" t="s">
        <v>114</v>
      </c>
      <c r="F140" s="103" t="s">
        <v>88</v>
      </c>
      <c r="G140" s="106" t="s">
        <v>381</v>
      </c>
      <c r="H140" s="102" t="s">
        <v>25</v>
      </c>
      <c r="I140" s="103" t="s">
        <v>173</v>
      </c>
      <c r="J140" s="224">
        <v>42461</v>
      </c>
      <c r="K140" s="224"/>
      <c r="L140" s="224">
        <f t="shared" si="8"/>
        <v>42461</v>
      </c>
      <c r="M140" s="224">
        <v>43100</v>
      </c>
      <c r="N140" s="224"/>
      <c r="O140" s="224">
        <f t="shared" si="7"/>
        <v>43100</v>
      </c>
      <c r="P140" s="105" t="s">
        <v>122</v>
      </c>
      <c r="Q140" s="103" t="s">
        <v>123</v>
      </c>
      <c r="R140" s="103"/>
      <c r="S140" s="104" t="s">
        <v>138</v>
      </c>
      <c r="T140" s="104"/>
      <c r="U140" s="110">
        <v>18000000</v>
      </c>
      <c r="V140" s="109"/>
      <c r="W140" s="110">
        <v>0</v>
      </c>
      <c r="X140" s="259">
        <v>0</v>
      </c>
      <c r="Y140" s="260">
        <v>900000</v>
      </c>
      <c r="Z140" s="259">
        <v>17100000</v>
      </c>
      <c r="AA140" s="226">
        <v>0</v>
      </c>
      <c r="AB140" s="219"/>
      <c r="AC140" s="219"/>
      <c r="AD140" s="219"/>
      <c r="AE140" s="219"/>
      <c r="AF140" s="219"/>
      <c r="AG140" s="100"/>
      <c r="AH140" s="231"/>
      <c r="AI140" s="232"/>
      <c r="AJ140" s="232"/>
      <c r="AK140" s="232"/>
      <c r="AL140" s="232"/>
      <c r="AM140" s="232"/>
      <c r="AN140" s="232"/>
      <c r="AO140" s="232"/>
      <c r="AP140" s="232"/>
      <c r="AQ140" s="232"/>
      <c r="AR140" s="232"/>
      <c r="AS140" s="232"/>
      <c r="AT140" s="232"/>
      <c r="AU140" s="232"/>
      <c r="AV140" s="232"/>
      <c r="AW140" s="232"/>
      <c r="AX140" s="232"/>
      <c r="AY140" s="232"/>
      <c r="AZ140" s="232"/>
      <c r="BA140" s="232"/>
      <c r="BB140" s="232"/>
      <c r="BC140" s="232"/>
      <c r="BD140" s="232"/>
      <c r="BE140" s="232"/>
      <c r="BF140" s="232"/>
      <c r="BG140" s="232"/>
      <c r="BH140" s="232"/>
      <c r="BI140" s="232"/>
      <c r="BJ140" s="232"/>
      <c r="BK140" s="232"/>
      <c r="BL140" s="232"/>
      <c r="BM140" s="232"/>
      <c r="BN140" s="232"/>
      <c r="BO140" s="232"/>
      <c r="BP140" s="232"/>
      <c r="BQ140" s="232"/>
      <c r="BR140" s="232"/>
      <c r="BS140" s="232"/>
      <c r="BT140" s="232"/>
      <c r="BU140" s="232"/>
      <c r="BV140" s="232"/>
      <c r="BW140" s="232"/>
      <c r="BX140" s="232"/>
      <c r="BY140" s="232"/>
      <c r="BZ140" s="232"/>
      <c r="CA140" s="232"/>
      <c r="CB140" s="232"/>
      <c r="CC140" s="232"/>
      <c r="CD140" s="232"/>
      <c r="CE140" s="232"/>
      <c r="CF140" s="232"/>
      <c r="CG140" s="232"/>
      <c r="CH140" s="232"/>
      <c r="CI140" s="232"/>
      <c r="CJ140" s="232"/>
      <c r="CK140" s="232"/>
      <c r="CL140" s="232"/>
      <c r="CM140" s="232"/>
      <c r="CN140" s="232"/>
      <c r="CO140" s="232"/>
      <c r="CP140" s="232"/>
      <c r="CQ140" s="232"/>
      <c r="CR140" s="232"/>
      <c r="CS140" s="232"/>
      <c r="CT140" s="232"/>
      <c r="CU140" s="232"/>
      <c r="CV140" s="232"/>
      <c r="CW140" s="232"/>
      <c r="CX140" s="232"/>
      <c r="CY140" s="232"/>
      <c r="CZ140" s="232"/>
      <c r="DA140" s="232"/>
      <c r="DB140" s="232"/>
      <c r="DC140" s="232"/>
      <c r="DD140" s="232"/>
      <c r="DE140" s="232"/>
      <c r="DF140" s="232"/>
      <c r="DG140" s="232"/>
      <c r="DH140" s="232"/>
      <c r="DI140" s="232"/>
      <c r="DJ140" s="232"/>
      <c r="DK140" s="232"/>
      <c r="DL140" s="232"/>
      <c r="DM140" s="232"/>
      <c r="DN140" s="232"/>
      <c r="DO140" s="232"/>
      <c r="DP140" s="232"/>
      <c r="DQ140" s="232"/>
      <c r="DR140" s="232"/>
      <c r="DS140" s="232"/>
      <c r="DT140" s="232"/>
      <c r="DU140" s="232"/>
      <c r="DV140" s="232"/>
      <c r="DW140" s="232"/>
      <c r="DX140" s="232"/>
      <c r="DY140" s="232"/>
      <c r="DZ140" s="232"/>
      <c r="EA140" s="232"/>
      <c r="EB140" s="232"/>
      <c r="EC140" s="232"/>
      <c r="ED140" s="232"/>
      <c r="EE140" s="232"/>
      <c r="EF140" s="232"/>
      <c r="EG140" s="232"/>
      <c r="EH140" s="232"/>
      <c r="EI140" s="232"/>
      <c r="EJ140" s="232"/>
      <c r="EK140" s="232"/>
      <c r="EL140" s="232"/>
      <c r="EM140" s="232"/>
      <c r="EN140" s="232"/>
      <c r="EO140" s="232"/>
      <c r="EP140" s="232"/>
      <c r="EQ140" s="232"/>
      <c r="ER140" s="232"/>
      <c r="ES140" s="232"/>
      <c r="ET140" s="232"/>
      <c r="EU140" s="232"/>
      <c r="EV140" s="232"/>
      <c r="EW140" s="232"/>
      <c r="EX140" s="232"/>
      <c r="EY140" s="232"/>
      <c r="EZ140" s="232"/>
      <c r="FA140" s="232"/>
      <c r="FB140" s="232"/>
      <c r="FC140" s="232"/>
      <c r="FD140" s="232"/>
      <c r="FE140" s="232"/>
      <c r="FF140" s="232"/>
      <c r="FG140" s="232"/>
      <c r="FH140" s="232"/>
      <c r="FI140" s="232"/>
      <c r="FJ140" s="232"/>
      <c r="FK140" s="232"/>
      <c r="FL140" s="232"/>
      <c r="FM140" s="232"/>
      <c r="FN140" s="232"/>
      <c r="FO140" s="232"/>
      <c r="FP140" s="232"/>
      <c r="FQ140" s="232"/>
      <c r="FR140" s="232"/>
      <c r="FS140" s="232"/>
      <c r="FT140" s="232"/>
      <c r="FU140" s="232"/>
      <c r="FV140" s="232"/>
      <c r="FW140" s="232"/>
      <c r="FX140" s="232"/>
      <c r="FY140" s="232"/>
      <c r="FZ140" s="232"/>
      <c r="GA140" s="232"/>
      <c r="GB140" s="232"/>
      <c r="GC140" s="232"/>
      <c r="GD140" s="232"/>
      <c r="GE140" s="232"/>
      <c r="GF140" s="232"/>
      <c r="GG140" s="232"/>
      <c r="GH140" s="232"/>
      <c r="GI140" s="232"/>
      <c r="GJ140" s="232"/>
      <c r="GK140" s="232"/>
      <c r="GL140" s="232"/>
      <c r="GM140" s="232"/>
      <c r="GN140" s="232"/>
      <c r="GO140" s="232"/>
      <c r="GP140" s="232"/>
      <c r="GQ140" s="232"/>
      <c r="GR140" s="232"/>
      <c r="GS140" s="232"/>
      <c r="GT140" s="232"/>
      <c r="GU140" s="232"/>
      <c r="GV140" s="232"/>
      <c r="GW140" s="232"/>
      <c r="GX140" s="232"/>
      <c r="GY140" s="232"/>
      <c r="GZ140" s="232"/>
      <c r="HA140" s="232"/>
      <c r="HB140" s="232"/>
      <c r="HC140" s="232"/>
      <c r="HD140" s="232"/>
      <c r="HE140" s="232"/>
      <c r="HF140" s="232"/>
      <c r="HG140" s="232"/>
      <c r="HH140" s="232"/>
      <c r="HI140" s="232"/>
      <c r="HJ140" s="232"/>
      <c r="HK140" s="232"/>
      <c r="HL140" s="232"/>
      <c r="HM140" s="232"/>
      <c r="HN140" s="232"/>
      <c r="HO140" s="232"/>
      <c r="HP140" s="232"/>
      <c r="HQ140" s="232"/>
      <c r="HR140" s="232"/>
      <c r="HS140" s="232"/>
      <c r="HT140" s="232"/>
      <c r="HU140" s="232"/>
      <c r="HV140" s="232"/>
      <c r="HW140" s="232"/>
      <c r="HX140" s="232"/>
      <c r="HY140" s="232"/>
      <c r="HZ140" s="232"/>
      <c r="IA140" s="232"/>
      <c r="IB140" s="232"/>
      <c r="IC140" s="232"/>
      <c r="ID140" s="232"/>
      <c r="IE140" s="232"/>
      <c r="IF140" s="232"/>
      <c r="IG140" s="232"/>
      <c r="IH140" s="232"/>
      <c r="II140" s="232"/>
      <c r="IJ140" s="232"/>
      <c r="IK140" s="232"/>
      <c r="IL140" s="232"/>
      <c r="IM140" s="232"/>
      <c r="IN140" s="232"/>
      <c r="IO140" s="232"/>
      <c r="IP140" s="232"/>
      <c r="IQ140" s="232"/>
      <c r="IR140" s="232"/>
      <c r="IS140" s="232"/>
      <c r="IT140" s="232"/>
      <c r="IU140" s="232"/>
      <c r="IV140" s="232"/>
    </row>
    <row r="141" spans="1:256" s="182" customFormat="1" ht="33.75">
      <c r="A141" s="346">
        <v>34</v>
      </c>
      <c r="B141" s="347" t="s">
        <v>920</v>
      </c>
      <c r="C141" s="348" t="s">
        <v>140</v>
      </c>
      <c r="D141" s="347" t="s">
        <v>384</v>
      </c>
      <c r="E141" s="104" t="s">
        <v>114</v>
      </c>
      <c r="F141" s="353" t="s">
        <v>88</v>
      </c>
      <c r="G141" s="353" t="s">
        <v>383</v>
      </c>
      <c r="H141" s="348" t="s">
        <v>25</v>
      </c>
      <c r="I141" s="353" t="s">
        <v>216</v>
      </c>
      <c r="J141" s="351" t="s">
        <v>83</v>
      </c>
      <c r="K141" s="352" t="s">
        <v>83</v>
      </c>
      <c r="L141" s="351" t="s">
        <v>83</v>
      </c>
      <c r="M141" s="351">
        <v>41954</v>
      </c>
      <c r="N141" s="352">
        <v>12</v>
      </c>
      <c r="O141" s="351">
        <v>42319</v>
      </c>
      <c r="P141" s="353" t="s">
        <v>215</v>
      </c>
      <c r="Q141" s="353" t="s">
        <v>123</v>
      </c>
      <c r="R141" s="353" t="s">
        <v>65</v>
      </c>
      <c r="S141" s="348" t="s">
        <v>118</v>
      </c>
      <c r="T141" s="348" t="s">
        <v>119</v>
      </c>
      <c r="U141" s="354">
        <v>12400000</v>
      </c>
      <c r="V141" s="109"/>
      <c r="W141" s="110">
        <v>7000000</v>
      </c>
      <c r="X141" s="355">
        <v>5400000</v>
      </c>
      <c r="Y141" s="355">
        <v>0</v>
      </c>
      <c r="Z141" s="355">
        <v>0</v>
      </c>
      <c r="AA141" s="356" t="s">
        <v>132</v>
      </c>
      <c r="AB141" s="357"/>
      <c r="AC141" s="357"/>
      <c r="AD141" s="357"/>
      <c r="AE141" s="357"/>
      <c r="AF141" s="357"/>
      <c r="AG141" s="147"/>
    </row>
    <row r="142" spans="1:256" s="229" customFormat="1" ht="90" hidden="1" customHeight="1">
      <c r="A142" s="101">
        <f t="shared" si="6"/>
        <v>35</v>
      </c>
      <c r="B142" s="103" t="s">
        <v>385</v>
      </c>
      <c r="C142" s="104" t="s">
        <v>134</v>
      </c>
      <c r="D142" s="103" t="s">
        <v>387</v>
      </c>
      <c r="E142" s="104" t="s">
        <v>114</v>
      </c>
      <c r="F142" s="103" t="s">
        <v>141</v>
      </c>
      <c r="G142" s="106" t="s">
        <v>386</v>
      </c>
      <c r="H142" s="102" t="s">
        <v>3</v>
      </c>
      <c r="I142" s="103" t="s">
        <v>162</v>
      </c>
      <c r="J142" s="224">
        <v>42125</v>
      </c>
      <c r="K142" s="224"/>
      <c r="L142" s="224">
        <f t="shared" si="8"/>
        <v>42125</v>
      </c>
      <c r="M142" s="224">
        <v>42735</v>
      </c>
      <c r="N142" s="224"/>
      <c r="O142" s="224">
        <f t="shared" si="7"/>
        <v>42735</v>
      </c>
      <c r="P142" s="105" t="s">
        <v>122</v>
      </c>
      <c r="Q142" s="103" t="s">
        <v>115</v>
      </c>
      <c r="R142" s="103"/>
      <c r="S142" s="104" t="s">
        <v>138</v>
      </c>
      <c r="T142" s="104"/>
      <c r="U142" s="110">
        <v>20000000</v>
      </c>
      <c r="V142" s="109"/>
      <c r="W142" s="110">
        <v>0</v>
      </c>
      <c r="X142" s="259">
        <v>0</v>
      </c>
      <c r="Y142" s="260">
        <f>+U142*0.235*0.3</f>
        <v>1410000</v>
      </c>
      <c r="Z142" s="259">
        <f>+U142-Y142-AA142</f>
        <v>17390000</v>
      </c>
      <c r="AA142" s="226">
        <f>+U142*0.06</f>
        <v>1200000</v>
      </c>
      <c r="AB142" s="219"/>
      <c r="AC142" s="219"/>
      <c r="AD142" s="219"/>
      <c r="AE142" s="219"/>
      <c r="AF142" s="219"/>
      <c r="AG142" s="100"/>
      <c r="AH142" s="97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182"/>
      <c r="AT142" s="182"/>
      <c r="AU142" s="182"/>
      <c r="AV142" s="182"/>
      <c r="AW142" s="182"/>
      <c r="AX142" s="182"/>
      <c r="AY142" s="182"/>
      <c r="AZ142" s="182"/>
      <c r="BA142" s="182"/>
      <c r="BB142" s="182"/>
      <c r="BC142" s="182"/>
      <c r="BD142" s="182"/>
      <c r="BE142" s="182"/>
      <c r="BF142" s="182"/>
      <c r="BG142" s="182"/>
      <c r="BH142" s="182"/>
      <c r="BI142" s="182"/>
      <c r="BJ142" s="182"/>
      <c r="BK142" s="182"/>
      <c r="BL142" s="182"/>
      <c r="BM142" s="182"/>
      <c r="BN142" s="182"/>
      <c r="BO142" s="182"/>
      <c r="BP142" s="182"/>
      <c r="BQ142" s="182"/>
      <c r="BR142" s="182"/>
      <c r="BS142" s="182"/>
      <c r="BT142" s="182"/>
      <c r="BU142" s="182"/>
      <c r="BV142" s="182"/>
      <c r="BW142" s="182"/>
      <c r="BX142" s="182"/>
      <c r="BY142" s="182"/>
      <c r="BZ142" s="182"/>
      <c r="CA142" s="182"/>
      <c r="CB142" s="182"/>
      <c r="CC142" s="182"/>
      <c r="CD142" s="182"/>
      <c r="CE142" s="182"/>
      <c r="CF142" s="182"/>
      <c r="CG142" s="182"/>
      <c r="CH142" s="182"/>
      <c r="CI142" s="182"/>
      <c r="CJ142" s="182"/>
      <c r="CK142" s="182"/>
      <c r="CL142" s="182"/>
      <c r="CM142" s="182"/>
      <c r="CN142" s="182"/>
      <c r="CO142" s="182"/>
      <c r="CP142" s="182"/>
      <c r="CQ142" s="182"/>
      <c r="CR142" s="182"/>
      <c r="CS142" s="182"/>
      <c r="CT142" s="182"/>
      <c r="CU142" s="182"/>
      <c r="CV142" s="182"/>
      <c r="CW142" s="182"/>
      <c r="CX142" s="182"/>
      <c r="CY142" s="182"/>
      <c r="CZ142" s="182"/>
      <c r="DA142" s="182"/>
      <c r="DB142" s="182"/>
      <c r="DC142" s="182"/>
      <c r="DD142" s="182"/>
      <c r="DE142" s="182"/>
      <c r="DF142" s="182"/>
      <c r="DG142" s="182"/>
      <c r="DH142" s="182"/>
      <c r="DI142" s="182"/>
      <c r="DJ142" s="182"/>
      <c r="DK142" s="182"/>
      <c r="DL142" s="182"/>
      <c r="DM142" s="182"/>
      <c r="DN142" s="182"/>
      <c r="DO142" s="182"/>
      <c r="DP142" s="182"/>
      <c r="DQ142" s="182"/>
      <c r="DR142" s="182"/>
      <c r="DS142" s="182"/>
      <c r="DT142" s="182"/>
      <c r="DU142" s="182"/>
      <c r="DV142" s="182"/>
      <c r="DW142" s="182"/>
      <c r="DX142" s="182"/>
      <c r="DY142" s="182"/>
      <c r="DZ142" s="182"/>
      <c r="EA142" s="182"/>
      <c r="EB142" s="182"/>
      <c r="EC142" s="182"/>
      <c r="ED142" s="182"/>
      <c r="EE142" s="182"/>
      <c r="EF142" s="182"/>
      <c r="EG142" s="182"/>
      <c r="EH142" s="182"/>
      <c r="EI142" s="182"/>
      <c r="EJ142" s="182"/>
      <c r="EK142" s="182"/>
      <c r="EL142" s="182"/>
      <c r="EM142" s="182"/>
      <c r="EN142" s="182"/>
      <c r="EO142" s="182"/>
      <c r="EP142" s="182"/>
      <c r="EQ142" s="182"/>
      <c r="ER142" s="182"/>
      <c r="ES142" s="182"/>
      <c r="ET142" s="182"/>
      <c r="EU142" s="182"/>
      <c r="EV142" s="182"/>
      <c r="EW142" s="182"/>
      <c r="EX142" s="182"/>
      <c r="EY142" s="182"/>
      <c r="EZ142" s="182"/>
      <c r="FA142" s="182"/>
      <c r="FB142" s="182"/>
      <c r="FC142" s="182"/>
      <c r="FD142" s="182"/>
      <c r="FE142" s="182"/>
      <c r="FF142" s="182"/>
      <c r="FG142" s="182"/>
      <c r="FH142" s="182"/>
      <c r="FI142" s="182"/>
      <c r="FJ142" s="182"/>
      <c r="FK142" s="182"/>
      <c r="FL142" s="182"/>
      <c r="FM142" s="182"/>
      <c r="FN142" s="182"/>
      <c r="FO142" s="182"/>
      <c r="FP142" s="182"/>
      <c r="FQ142" s="182"/>
      <c r="FR142" s="182"/>
      <c r="FS142" s="182"/>
      <c r="FT142" s="182"/>
      <c r="FU142" s="182"/>
      <c r="FV142" s="182"/>
      <c r="FW142" s="182"/>
      <c r="FX142" s="182"/>
      <c r="FY142" s="182"/>
      <c r="FZ142" s="182"/>
      <c r="GA142" s="182"/>
      <c r="GB142" s="182"/>
      <c r="GC142" s="182"/>
      <c r="GD142" s="182"/>
      <c r="GE142" s="182"/>
      <c r="GF142" s="182"/>
      <c r="GG142" s="182"/>
      <c r="GH142" s="182"/>
      <c r="GI142" s="182"/>
      <c r="GJ142" s="182"/>
      <c r="GK142" s="182"/>
      <c r="GL142" s="182"/>
      <c r="GM142" s="182"/>
      <c r="GN142" s="182"/>
      <c r="GO142" s="182"/>
      <c r="GP142" s="182"/>
      <c r="GQ142" s="182"/>
      <c r="GR142" s="182"/>
      <c r="GS142" s="182"/>
      <c r="GT142" s="182"/>
      <c r="GU142" s="182"/>
      <c r="GV142" s="182"/>
      <c r="GW142" s="182"/>
      <c r="GX142" s="182"/>
      <c r="GY142" s="182"/>
      <c r="GZ142" s="182"/>
      <c r="HA142" s="182"/>
      <c r="HB142" s="182"/>
      <c r="HC142" s="182"/>
      <c r="HD142" s="182"/>
      <c r="HE142" s="182"/>
      <c r="HF142" s="182"/>
      <c r="HG142" s="182"/>
      <c r="HH142" s="182"/>
      <c r="HI142" s="182"/>
      <c r="HJ142" s="182"/>
      <c r="HK142" s="182"/>
      <c r="HL142" s="182"/>
      <c r="HM142" s="182"/>
      <c r="HN142" s="182"/>
      <c r="HO142" s="182"/>
      <c r="HP142" s="182"/>
      <c r="HQ142" s="182"/>
      <c r="HR142" s="182"/>
      <c r="HS142" s="182"/>
      <c r="HT142" s="182"/>
      <c r="HU142" s="182"/>
      <c r="HV142" s="182"/>
      <c r="HW142" s="182"/>
      <c r="HX142" s="182"/>
      <c r="HY142" s="182"/>
      <c r="HZ142" s="182"/>
      <c r="IA142" s="182"/>
      <c r="IB142" s="182"/>
      <c r="IC142" s="182"/>
      <c r="ID142" s="182"/>
      <c r="IE142" s="182"/>
      <c r="IF142" s="182"/>
      <c r="IG142" s="182"/>
      <c r="IH142" s="182"/>
      <c r="II142" s="182"/>
      <c r="IJ142" s="182"/>
      <c r="IK142" s="182"/>
      <c r="IL142" s="182"/>
      <c r="IM142" s="182"/>
      <c r="IN142" s="182"/>
      <c r="IO142" s="182"/>
      <c r="IP142" s="182"/>
      <c r="IQ142" s="182"/>
      <c r="IR142" s="182"/>
      <c r="IS142" s="182"/>
      <c r="IT142" s="182"/>
      <c r="IU142" s="182"/>
      <c r="IV142" s="182"/>
    </row>
    <row r="143" spans="1:256" s="182" customFormat="1" ht="22.5">
      <c r="A143" s="346">
        <v>35</v>
      </c>
      <c r="B143" s="347" t="s">
        <v>1326</v>
      </c>
      <c r="C143" s="348" t="s">
        <v>140</v>
      </c>
      <c r="D143" s="347" t="s">
        <v>388</v>
      </c>
      <c r="E143" s="104" t="s">
        <v>114</v>
      </c>
      <c r="F143" s="353" t="s">
        <v>84</v>
      </c>
      <c r="G143" s="353" t="s">
        <v>165</v>
      </c>
      <c r="H143" s="348" t="s">
        <v>96</v>
      </c>
      <c r="I143" s="353" t="s">
        <v>216</v>
      </c>
      <c r="J143" s="351" t="s">
        <v>83</v>
      </c>
      <c r="K143" s="352" t="s">
        <v>83</v>
      </c>
      <c r="L143" s="351" t="s">
        <v>83</v>
      </c>
      <c r="M143" s="351">
        <v>41954</v>
      </c>
      <c r="N143" s="352">
        <v>12</v>
      </c>
      <c r="O143" s="351">
        <v>42319</v>
      </c>
      <c r="P143" s="353" t="s">
        <v>215</v>
      </c>
      <c r="Q143" s="353" t="s">
        <v>123</v>
      </c>
      <c r="R143" s="353" t="s">
        <v>65</v>
      </c>
      <c r="S143" s="348" t="s">
        <v>118</v>
      </c>
      <c r="T143" s="348" t="s">
        <v>119</v>
      </c>
      <c r="U143" s="354">
        <v>14000000</v>
      </c>
      <c r="V143" s="109"/>
      <c r="W143" s="110">
        <v>7000000</v>
      </c>
      <c r="X143" s="355">
        <v>7000000</v>
      </c>
      <c r="Y143" s="355">
        <v>0</v>
      </c>
      <c r="Z143" s="355">
        <v>0</v>
      </c>
      <c r="AA143" s="356" t="s">
        <v>132</v>
      </c>
      <c r="AB143" s="357"/>
      <c r="AC143" s="357"/>
      <c r="AD143" s="357"/>
      <c r="AE143" s="357"/>
      <c r="AF143" s="357"/>
      <c r="AG143" s="147"/>
    </row>
    <row r="144" spans="1:256" s="229" customFormat="1" ht="90" hidden="1" customHeight="1">
      <c r="A144" s="101">
        <f t="shared" si="6"/>
        <v>36</v>
      </c>
      <c r="B144" s="103" t="s">
        <v>389</v>
      </c>
      <c r="C144" s="104" t="s">
        <v>390</v>
      </c>
      <c r="D144" s="103" t="s">
        <v>391</v>
      </c>
      <c r="E144" s="104" t="s">
        <v>114</v>
      </c>
      <c r="F144" s="103" t="s">
        <v>91</v>
      </c>
      <c r="G144" s="106" t="s">
        <v>228</v>
      </c>
      <c r="H144" s="102" t="s">
        <v>200</v>
      </c>
      <c r="I144" s="103" t="s">
        <v>162</v>
      </c>
      <c r="J144" s="224">
        <v>42491</v>
      </c>
      <c r="K144" s="224"/>
      <c r="L144" s="224">
        <f t="shared" si="8"/>
        <v>42491</v>
      </c>
      <c r="M144" s="224">
        <v>42735</v>
      </c>
      <c r="N144" s="224"/>
      <c r="O144" s="224">
        <f t="shared" si="7"/>
        <v>42735</v>
      </c>
      <c r="P144" s="105" t="s">
        <v>122</v>
      </c>
      <c r="Q144" s="103" t="s">
        <v>115</v>
      </c>
      <c r="R144" s="103"/>
      <c r="S144" s="104" t="s">
        <v>138</v>
      </c>
      <c r="T144" s="104"/>
      <c r="U144" s="110">
        <f>+((1141850*7+1293526+1350713+929210+22*1022001/14+4298671+1050000+150000)*1.07+2000000+14*25000)*1.23</f>
        <v>27463497.295157142</v>
      </c>
      <c r="V144" s="109"/>
      <c r="W144" s="110">
        <v>0</v>
      </c>
      <c r="X144" s="259">
        <v>0</v>
      </c>
      <c r="Y144" s="260">
        <f>+U144*0.235*0.3</f>
        <v>1936176.5593085783</v>
      </c>
      <c r="Z144" s="259">
        <f>+U144-Y144-AA144</f>
        <v>23879510.898139138</v>
      </c>
      <c r="AA144" s="226">
        <f>+U144*0.06</f>
        <v>1647809.8377094285</v>
      </c>
      <c r="AB144" s="219"/>
      <c r="AC144" s="219"/>
      <c r="AD144" s="219"/>
      <c r="AE144" s="219"/>
      <c r="AF144" s="219"/>
      <c r="AG144" s="100"/>
      <c r="AH144" s="227"/>
      <c r="AI144" s="228"/>
      <c r="AJ144" s="228"/>
      <c r="AK144" s="228"/>
      <c r="AL144" s="228"/>
      <c r="AM144" s="228"/>
      <c r="AN144" s="228"/>
      <c r="AO144" s="228"/>
      <c r="AP144" s="228"/>
      <c r="AQ144" s="228"/>
      <c r="AR144" s="228"/>
      <c r="AS144" s="228"/>
      <c r="AT144" s="228"/>
      <c r="AU144" s="228"/>
      <c r="AV144" s="228"/>
      <c r="AW144" s="228"/>
      <c r="AX144" s="228"/>
      <c r="AY144" s="228"/>
      <c r="AZ144" s="228"/>
      <c r="BA144" s="228"/>
      <c r="BB144" s="228"/>
      <c r="BC144" s="228"/>
      <c r="BD144" s="228"/>
      <c r="BE144" s="228"/>
      <c r="BF144" s="228"/>
      <c r="BG144" s="228"/>
      <c r="BH144" s="228"/>
      <c r="BI144" s="228"/>
      <c r="BJ144" s="228"/>
      <c r="BK144" s="228"/>
      <c r="BL144" s="228"/>
      <c r="BM144" s="228"/>
      <c r="BN144" s="228"/>
      <c r="BO144" s="228"/>
      <c r="BP144" s="228"/>
      <c r="BQ144" s="228"/>
      <c r="BR144" s="228"/>
      <c r="BS144" s="228"/>
      <c r="BT144" s="228"/>
      <c r="BU144" s="228"/>
      <c r="BV144" s="228"/>
      <c r="BW144" s="228"/>
      <c r="BX144" s="228"/>
      <c r="BY144" s="228"/>
      <c r="BZ144" s="228"/>
      <c r="CA144" s="228"/>
      <c r="CB144" s="228"/>
      <c r="CC144" s="228"/>
      <c r="CD144" s="228"/>
      <c r="CE144" s="228"/>
      <c r="CF144" s="228"/>
      <c r="CG144" s="228"/>
      <c r="CH144" s="228"/>
      <c r="CI144" s="228"/>
      <c r="CJ144" s="228"/>
      <c r="CK144" s="228"/>
      <c r="CL144" s="228"/>
      <c r="CM144" s="228"/>
      <c r="CN144" s="228"/>
      <c r="CO144" s="228"/>
      <c r="CP144" s="228"/>
      <c r="CQ144" s="228"/>
      <c r="CR144" s="228"/>
      <c r="CS144" s="228"/>
      <c r="CT144" s="228"/>
      <c r="CU144" s="228"/>
      <c r="CV144" s="228"/>
      <c r="CW144" s="228"/>
      <c r="CX144" s="228"/>
      <c r="CY144" s="228"/>
      <c r="CZ144" s="228"/>
      <c r="DA144" s="228"/>
      <c r="DB144" s="228"/>
      <c r="DC144" s="228"/>
      <c r="DD144" s="228"/>
      <c r="DE144" s="228"/>
      <c r="DF144" s="228"/>
      <c r="DG144" s="228"/>
      <c r="DH144" s="228"/>
      <c r="DI144" s="228"/>
      <c r="DJ144" s="228"/>
      <c r="DK144" s="228"/>
      <c r="DL144" s="228"/>
      <c r="DM144" s="228"/>
      <c r="DN144" s="228"/>
      <c r="DO144" s="228"/>
      <c r="DP144" s="228"/>
      <c r="DQ144" s="228"/>
      <c r="DR144" s="228"/>
      <c r="DS144" s="228"/>
      <c r="DT144" s="228"/>
      <c r="DU144" s="228"/>
      <c r="DV144" s="228"/>
      <c r="DW144" s="228"/>
      <c r="DX144" s="228"/>
      <c r="DY144" s="228"/>
      <c r="DZ144" s="228"/>
      <c r="EA144" s="228"/>
      <c r="EB144" s="228"/>
      <c r="EC144" s="228"/>
      <c r="ED144" s="228"/>
      <c r="EE144" s="228"/>
      <c r="EF144" s="228"/>
      <c r="EG144" s="228"/>
      <c r="EH144" s="228"/>
      <c r="EI144" s="228"/>
      <c r="EJ144" s="228"/>
      <c r="EK144" s="228"/>
      <c r="EL144" s="228"/>
      <c r="EM144" s="228"/>
      <c r="EN144" s="228"/>
      <c r="EO144" s="228"/>
      <c r="EP144" s="228"/>
      <c r="EQ144" s="228"/>
      <c r="ER144" s="228"/>
      <c r="ES144" s="228"/>
      <c r="ET144" s="228"/>
      <c r="EU144" s="228"/>
      <c r="EV144" s="228"/>
      <c r="EW144" s="228"/>
      <c r="EX144" s="228"/>
      <c r="EY144" s="228"/>
      <c r="EZ144" s="228"/>
      <c r="FA144" s="228"/>
      <c r="FB144" s="228"/>
      <c r="FC144" s="228"/>
      <c r="FD144" s="228"/>
      <c r="FE144" s="228"/>
      <c r="FF144" s="228"/>
      <c r="FG144" s="228"/>
      <c r="FH144" s="228"/>
      <c r="FI144" s="228"/>
      <c r="FJ144" s="228"/>
      <c r="FK144" s="228"/>
      <c r="FL144" s="228"/>
      <c r="FM144" s="228"/>
      <c r="FN144" s="228"/>
      <c r="FO144" s="228"/>
      <c r="FP144" s="228"/>
      <c r="FQ144" s="228"/>
      <c r="FR144" s="228"/>
      <c r="FS144" s="228"/>
      <c r="FT144" s="228"/>
      <c r="FU144" s="228"/>
      <c r="FV144" s="228"/>
      <c r="FW144" s="228"/>
      <c r="FX144" s="228"/>
      <c r="FY144" s="228"/>
      <c r="FZ144" s="228"/>
      <c r="GA144" s="228"/>
      <c r="GB144" s="228"/>
      <c r="GC144" s="228"/>
      <c r="GD144" s="228"/>
      <c r="GE144" s="228"/>
      <c r="GF144" s="228"/>
      <c r="GG144" s="228"/>
      <c r="GH144" s="228"/>
      <c r="GI144" s="228"/>
      <c r="GJ144" s="228"/>
      <c r="GK144" s="228"/>
      <c r="GL144" s="228"/>
      <c r="GM144" s="228"/>
      <c r="GN144" s="228"/>
      <c r="GO144" s="228"/>
      <c r="GP144" s="228"/>
      <c r="GQ144" s="228"/>
      <c r="GR144" s="228"/>
      <c r="GS144" s="228"/>
      <c r="GT144" s="228"/>
      <c r="GU144" s="228"/>
      <c r="GV144" s="228"/>
      <c r="GW144" s="228"/>
      <c r="GX144" s="228"/>
      <c r="GY144" s="228"/>
      <c r="GZ144" s="228"/>
      <c r="HA144" s="228"/>
      <c r="HB144" s="228"/>
      <c r="HC144" s="228"/>
      <c r="HD144" s="228"/>
      <c r="HE144" s="228"/>
      <c r="HF144" s="228"/>
      <c r="HG144" s="228"/>
      <c r="HH144" s="228"/>
      <c r="HI144" s="228"/>
      <c r="HJ144" s="228"/>
      <c r="HK144" s="228"/>
      <c r="HL144" s="228"/>
      <c r="HM144" s="228"/>
      <c r="HN144" s="228"/>
      <c r="HO144" s="228"/>
      <c r="HP144" s="228"/>
      <c r="HQ144" s="228"/>
      <c r="HR144" s="228"/>
      <c r="HS144" s="228"/>
      <c r="HT144" s="228"/>
      <c r="HU144" s="228"/>
      <c r="HV144" s="228"/>
      <c r="HW144" s="228"/>
      <c r="HX144" s="228"/>
      <c r="HY144" s="228"/>
      <c r="HZ144" s="228"/>
      <c r="IA144" s="228"/>
      <c r="IB144" s="228"/>
      <c r="IC144" s="228"/>
      <c r="ID144" s="228"/>
      <c r="IE144" s="228"/>
      <c r="IF144" s="228"/>
      <c r="IG144" s="228"/>
      <c r="IH144" s="228"/>
      <c r="II144" s="228"/>
      <c r="IJ144" s="228"/>
      <c r="IK144" s="228"/>
      <c r="IL144" s="228"/>
      <c r="IM144" s="228"/>
      <c r="IN144" s="228"/>
      <c r="IO144" s="228"/>
      <c r="IP144" s="228"/>
      <c r="IQ144" s="228"/>
      <c r="IR144" s="228"/>
      <c r="IS144" s="228"/>
      <c r="IT144" s="228"/>
      <c r="IU144" s="228"/>
      <c r="IV144" s="228"/>
    </row>
    <row r="145" spans="1:34" s="229" customFormat="1" ht="89.25" hidden="1">
      <c r="A145" s="101">
        <f t="shared" si="6"/>
        <v>37</v>
      </c>
      <c r="B145" s="103" t="s">
        <v>392</v>
      </c>
      <c r="C145" s="104" t="s">
        <v>134</v>
      </c>
      <c r="D145" s="103" t="s">
        <v>394</v>
      </c>
      <c r="E145" s="104" t="s">
        <v>114</v>
      </c>
      <c r="F145" s="103" t="s">
        <v>141</v>
      </c>
      <c r="G145" s="106" t="s">
        <v>393</v>
      </c>
      <c r="H145" s="102" t="s">
        <v>3</v>
      </c>
      <c r="I145" s="103" t="s">
        <v>162</v>
      </c>
      <c r="J145" s="224">
        <v>42125</v>
      </c>
      <c r="K145" s="224"/>
      <c r="L145" s="224">
        <f t="shared" si="8"/>
        <v>42125</v>
      </c>
      <c r="M145" s="224">
        <v>42735</v>
      </c>
      <c r="N145" s="224"/>
      <c r="O145" s="224">
        <f t="shared" si="7"/>
        <v>42735</v>
      </c>
      <c r="P145" s="105" t="s">
        <v>122</v>
      </c>
      <c r="Q145" s="103" t="s">
        <v>115</v>
      </c>
      <c r="R145" s="103"/>
      <c r="S145" s="104" t="s">
        <v>138</v>
      </c>
      <c r="T145" s="104"/>
      <c r="U145" s="110">
        <v>28000000</v>
      </c>
      <c r="V145" s="109"/>
      <c r="W145" s="110">
        <v>0</v>
      </c>
      <c r="X145" s="259">
        <v>0</v>
      </c>
      <c r="Y145" s="260">
        <f>+U145*0.235*0.3</f>
        <v>1974000</v>
      </c>
      <c r="Z145" s="259">
        <f>+U145-Y145-AA145</f>
        <v>24346000</v>
      </c>
      <c r="AA145" s="226">
        <f>+U145*0.06</f>
        <v>1680000</v>
      </c>
      <c r="AB145" s="219"/>
      <c r="AC145" s="219"/>
      <c r="AD145" s="219"/>
      <c r="AE145" s="219"/>
      <c r="AF145" s="219"/>
      <c r="AG145" s="100"/>
      <c r="AH145" s="230"/>
    </row>
    <row r="146" spans="1:34" s="229" customFormat="1" ht="89.25" hidden="1">
      <c r="A146" s="101">
        <f t="shared" si="6"/>
        <v>38</v>
      </c>
      <c r="B146" s="103" t="s">
        <v>395</v>
      </c>
      <c r="C146" s="104" t="s">
        <v>134</v>
      </c>
      <c r="D146" s="103" t="s">
        <v>396</v>
      </c>
      <c r="E146" s="104" t="s">
        <v>114</v>
      </c>
      <c r="F146" s="103" t="s">
        <v>141</v>
      </c>
      <c r="G146" s="106" t="s">
        <v>224</v>
      </c>
      <c r="H146" s="102" t="s">
        <v>3</v>
      </c>
      <c r="I146" s="103" t="s">
        <v>173</v>
      </c>
      <c r="J146" s="224">
        <v>42125</v>
      </c>
      <c r="K146" s="224"/>
      <c r="L146" s="224">
        <f t="shared" si="8"/>
        <v>42125</v>
      </c>
      <c r="M146" s="224">
        <v>42735</v>
      </c>
      <c r="N146" s="224"/>
      <c r="O146" s="224">
        <f t="shared" si="7"/>
        <v>42735</v>
      </c>
      <c r="P146" s="105" t="s">
        <v>122</v>
      </c>
      <c r="Q146" s="103" t="s">
        <v>123</v>
      </c>
      <c r="R146" s="103"/>
      <c r="S146" s="104" t="s">
        <v>143</v>
      </c>
      <c r="T146" s="104"/>
      <c r="U146" s="110">
        <v>36000000</v>
      </c>
      <c r="V146" s="109"/>
      <c r="W146" s="110">
        <v>0</v>
      </c>
      <c r="X146" s="259">
        <v>800000</v>
      </c>
      <c r="Y146" s="260">
        <v>17700000</v>
      </c>
      <c r="Z146" s="259">
        <v>17500000</v>
      </c>
      <c r="AA146" s="226">
        <v>0</v>
      </c>
      <c r="AB146" s="219"/>
      <c r="AC146" s="219"/>
      <c r="AD146" s="219"/>
      <c r="AE146" s="219"/>
      <c r="AF146" s="219"/>
      <c r="AG146" s="100"/>
      <c r="AH146" s="230"/>
    </row>
    <row r="147" spans="1:34" s="229" customFormat="1" ht="63.75" hidden="1">
      <c r="A147" s="101">
        <f t="shared" si="6"/>
        <v>39</v>
      </c>
      <c r="B147" s="103" t="s">
        <v>397</v>
      </c>
      <c r="C147" s="104" t="s">
        <v>398</v>
      </c>
      <c r="D147" s="103" t="s">
        <v>399</v>
      </c>
      <c r="E147" s="104" t="s">
        <v>114</v>
      </c>
      <c r="F147" s="103" t="s">
        <v>141</v>
      </c>
      <c r="G147" s="106" t="s">
        <v>145</v>
      </c>
      <c r="H147" s="102" t="s">
        <v>3</v>
      </c>
      <c r="I147" s="103" t="s">
        <v>162</v>
      </c>
      <c r="J147" s="224">
        <v>41883</v>
      </c>
      <c r="K147" s="224"/>
      <c r="L147" s="224">
        <f t="shared" si="8"/>
        <v>41883</v>
      </c>
      <c r="M147" s="224">
        <v>42277</v>
      </c>
      <c r="N147" s="224"/>
      <c r="O147" s="224">
        <f t="shared" si="7"/>
        <v>42277</v>
      </c>
      <c r="P147" s="105" t="s">
        <v>122</v>
      </c>
      <c r="Q147" s="103" t="s">
        <v>115</v>
      </c>
      <c r="R147" s="103"/>
      <c r="S147" s="104" t="s">
        <v>143</v>
      </c>
      <c r="T147" s="104"/>
      <c r="U147" s="110">
        <f>+(12*((1141850+1714473+2097122)/9)+3658606+10*(1022001/14)+1350000+929210+300000+750000+150000)*1.23*1.07</f>
        <v>19047138.863671429</v>
      </c>
      <c r="V147" s="109"/>
      <c r="W147" s="110">
        <v>0</v>
      </c>
      <c r="X147" s="259">
        <f>+U147*0.235*0.3</f>
        <v>1342823.2898888357</v>
      </c>
      <c r="Y147" s="260">
        <f>+U147-X147</f>
        <v>17704315.573782593</v>
      </c>
      <c r="Z147" s="259">
        <f>+U147*0.06</f>
        <v>1142828.3318202856</v>
      </c>
      <c r="AA147" s="226">
        <v>0</v>
      </c>
      <c r="AB147" s="219"/>
      <c r="AC147" s="219"/>
      <c r="AD147" s="219"/>
      <c r="AE147" s="219"/>
      <c r="AF147" s="219"/>
      <c r="AG147" s="100"/>
      <c r="AH147" s="230"/>
    </row>
    <row r="148" spans="1:34" s="229" customFormat="1" ht="76.5" hidden="1">
      <c r="A148" s="101">
        <f t="shared" si="6"/>
        <v>40</v>
      </c>
      <c r="B148" s="103" t="s">
        <v>400</v>
      </c>
      <c r="C148" s="104" t="s">
        <v>134</v>
      </c>
      <c r="D148" s="103" t="s">
        <v>401</v>
      </c>
      <c r="E148" s="104" t="s">
        <v>114</v>
      </c>
      <c r="F148" s="103" t="s">
        <v>88</v>
      </c>
      <c r="G148" s="106" t="s">
        <v>195</v>
      </c>
      <c r="H148" s="102" t="s">
        <v>21</v>
      </c>
      <c r="I148" s="103" t="s">
        <v>162</v>
      </c>
      <c r="J148" s="224">
        <v>41730</v>
      </c>
      <c r="K148" s="224"/>
      <c r="L148" s="224">
        <f t="shared" si="8"/>
        <v>41730</v>
      </c>
      <c r="M148" s="224">
        <v>42368</v>
      </c>
      <c r="N148" s="224"/>
      <c r="O148" s="224">
        <f t="shared" si="7"/>
        <v>42368</v>
      </c>
      <c r="P148" s="105" t="s">
        <v>122</v>
      </c>
      <c r="Q148" s="103" t="s">
        <v>115</v>
      </c>
      <c r="R148" s="103"/>
      <c r="S148" s="104" t="s">
        <v>143</v>
      </c>
      <c r="T148" s="104"/>
      <c r="U148" s="110">
        <v>18000000</v>
      </c>
      <c r="V148" s="109"/>
      <c r="W148" s="110">
        <v>0</v>
      </c>
      <c r="X148" s="259">
        <v>200000</v>
      </c>
      <c r="Y148" s="260">
        <v>17800000</v>
      </c>
      <c r="Z148" s="259">
        <v>0</v>
      </c>
      <c r="AA148" s="226">
        <f>+U148*0.01</f>
        <v>180000</v>
      </c>
      <c r="AB148" s="219"/>
      <c r="AC148" s="219"/>
      <c r="AD148" s="219"/>
      <c r="AE148" s="219"/>
      <c r="AF148" s="219"/>
      <c r="AG148" s="100"/>
      <c r="AH148" s="230"/>
    </row>
    <row r="149" spans="1:34" s="229" customFormat="1" ht="89.25" hidden="1">
      <c r="A149" s="101">
        <f t="shared" si="6"/>
        <v>41</v>
      </c>
      <c r="B149" s="103" t="s">
        <v>402</v>
      </c>
      <c r="C149" s="104" t="s">
        <v>140</v>
      </c>
      <c r="D149" s="103" t="s">
        <v>403</v>
      </c>
      <c r="E149" s="104" t="s">
        <v>114</v>
      </c>
      <c r="F149" s="103" t="s">
        <v>141</v>
      </c>
      <c r="G149" s="106" t="s">
        <v>393</v>
      </c>
      <c r="H149" s="102" t="s">
        <v>3</v>
      </c>
      <c r="I149" s="103" t="s">
        <v>162</v>
      </c>
      <c r="J149" s="224"/>
      <c r="K149" s="224"/>
      <c r="L149" s="224">
        <f t="shared" si="8"/>
        <v>0</v>
      </c>
      <c r="M149" s="224"/>
      <c r="N149" s="224"/>
      <c r="O149" s="224">
        <f t="shared" si="7"/>
        <v>0</v>
      </c>
      <c r="P149" s="105" t="s">
        <v>122</v>
      </c>
      <c r="Q149" s="103" t="s">
        <v>115</v>
      </c>
      <c r="R149" s="103"/>
      <c r="S149" s="104" t="s">
        <v>138</v>
      </c>
      <c r="T149" s="104"/>
      <c r="U149" s="110">
        <f>+(1823640+12*((1141850+1714473+2097122)/9)+1293526+1247367+1350713*3+4298671+15*(1022001/14)+929210+300000+750000+150000)*1.23*1.07</f>
        <v>29670352.399407141</v>
      </c>
      <c r="V149" s="109"/>
      <c r="W149" s="110">
        <v>0</v>
      </c>
      <c r="X149" s="259">
        <v>0</v>
      </c>
      <c r="Y149" s="259">
        <v>0</v>
      </c>
      <c r="Z149" s="259">
        <v>0</v>
      </c>
      <c r="AA149" s="226">
        <v>0</v>
      </c>
      <c r="AB149" s="219"/>
      <c r="AC149" s="219"/>
      <c r="AD149" s="219"/>
      <c r="AE149" s="219"/>
      <c r="AF149" s="219"/>
      <c r="AG149" s="100"/>
      <c r="AH149" s="230"/>
    </row>
    <row r="150" spans="1:34" s="229" customFormat="1" ht="89.25" hidden="1">
      <c r="A150" s="101">
        <f t="shared" si="6"/>
        <v>42</v>
      </c>
      <c r="B150" s="103" t="s">
        <v>404</v>
      </c>
      <c r="C150" s="104" t="s">
        <v>134</v>
      </c>
      <c r="D150" s="103" t="s">
        <v>405</v>
      </c>
      <c r="E150" s="104" t="s">
        <v>114</v>
      </c>
      <c r="F150" s="103" t="s">
        <v>141</v>
      </c>
      <c r="G150" s="106" t="s">
        <v>393</v>
      </c>
      <c r="H150" s="102" t="s">
        <v>3</v>
      </c>
      <c r="I150" s="103" t="s">
        <v>162</v>
      </c>
      <c r="J150" s="224"/>
      <c r="K150" s="224"/>
      <c r="L150" s="224">
        <f t="shared" si="8"/>
        <v>0</v>
      </c>
      <c r="M150" s="224"/>
      <c r="N150" s="224"/>
      <c r="O150" s="224">
        <f t="shared" si="7"/>
        <v>0</v>
      </c>
      <c r="P150" s="105" t="s">
        <v>122</v>
      </c>
      <c r="Q150" s="103" t="s">
        <v>115</v>
      </c>
      <c r="R150" s="103"/>
      <c r="S150" s="104" t="s">
        <v>138</v>
      </c>
      <c r="T150" s="104"/>
      <c r="U150" s="110">
        <f>+(1823640+10*((1141850+1714473+2097122)/9)+1293526+1247367+1350713*3+4298671+17*(1022001/14)+929210+300000+750000+150000)*1.23*1.07</f>
        <v>28413785.639754761</v>
      </c>
      <c r="V150" s="109"/>
      <c r="W150" s="110">
        <v>0</v>
      </c>
      <c r="X150" s="259">
        <v>0</v>
      </c>
      <c r="Y150" s="259">
        <v>0</v>
      </c>
      <c r="Z150" s="259">
        <v>0</v>
      </c>
      <c r="AA150" s="226">
        <v>0</v>
      </c>
      <c r="AB150" s="219"/>
      <c r="AC150" s="219"/>
      <c r="AD150" s="219"/>
      <c r="AE150" s="219"/>
      <c r="AF150" s="219"/>
      <c r="AG150" s="100"/>
      <c r="AH150" s="230"/>
    </row>
    <row r="151" spans="1:34" s="229" customFormat="1" ht="38.25" hidden="1">
      <c r="A151" s="101">
        <f t="shared" si="6"/>
        <v>43</v>
      </c>
      <c r="B151" s="103" t="s">
        <v>406</v>
      </c>
      <c r="C151" s="104" t="s">
        <v>134</v>
      </c>
      <c r="D151" s="103" t="s">
        <v>407</v>
      </c>
      <c r="E151" s="104" t="s">
        <v>114</v>
      </c>
      <c r="F151" s="103" t="s">
        <v>141</v>
      </c>
      <c r="G151" s="106" t="s">
        <v>393</v>
      </c>
      <c r="H151" s="102" t="s">
        <v>3</v>
      </c>
      <c r="I151" s="103" t="s">
        <v>162</v>
      </c>
      <c r="J151" s="224"/>
      <c r="K151" s="224"/>
      <c r="L151" s="224">
        <f t="shared" si="8"/>
        <v>0</v>
      </c>
      <c r="M151" s="224"/>
      <c r="N151" s="224"/>
      <c r="O151" s="224">
        <f t="shared" si="7"/>
        <v>0</v>
      </c>
      <c r="P151" s="105" t="s">
        <v>122</v>
      </c>
      <c r="Q151" s="103" t="s">
        <v>115</v>
      </c>
      <c r="R151" s="103"/>
      <c r="S151" s="104" t="s">
        <v>143</v>
      </c>
      <c r="T151" s="104"/>
      <c r="U151" s="110">
        <f>+(1823640+9*((1141850+1714473+2097122)/9)+600000)*1.23*1.07</f>
        <v>9708981.568500001</v>
      </c>
      <c r="V151" s="109"/>
      <c r="W151" s="110">
        <v>0</v>
      </c>
      <c r="X151" s="259">
        <f>+U151*0.235*0.3</f>
        <v>684483.20057925011</v>
      </c>
      <c r="Y151" s="259">
        <f>+U151-X151-Z151</f>
        <v>8539049.2894957513</v>
      </c>
      <c r="Z151" s="259">
        <f>+U151*0.05</f>
        <v>485449.07842500007</v>
      </c>
      <c r="AA151" s="226">
        <v>0</v>
      </c>
      <c r="AB151" s="219"/>
      <c r="AC151" s="219"/>
      <c r="AD151" s="219"/>
      <c r="AE151" s="219"/>
      <c r="AF151" s="219"/>
      <c r="AG151" s="100"/>
      <c r="AH151" s="230"/>
    </row>
    <row r="152" spans="1:34" s="229" customFormat="1" ht="89.25" hidden="1">
      <c r="A152" s="101">
        <f t="shared" si="6"/>
        <v>44</v>
      </c>
      <c r="B152" s="103" t="s">
        <v>408</v>
      </c>
      <c r="C152" s="104" t="s">
        <v>134</v>
      </c>
      <c r="D152" s="103" t="s">
        <v>409</v>
      </c>
      <c r="E152" s="104" t="s">
        <v>114</v>
      </c>
      <c r="F152" s="103" t="s">
        <v>141</v>
      </c>
      <c r="G152" s="106" t="s">
        <v>393</v>
      </c>
      <c r="H152" s="102" t="s">
        <v>3</v>
      </c>
      <c r="I152" s="103" t="s">
        <v>162</v>
      </c>
      <c r="J152" s="224"/>
      <c r="K152" s="224"/>
      <c r="L152" s="224">
        <f t="shared" si="8"/>
        <v>0</v>
      </c>
      <c r="M152" s="224"/>
      <c r="N152" s="224"/>
      <c r="O152" s="224">
        <f t="shared" si="7"/>
        <v>0</v>
      </c>
      <c r="P152" s="105" t="s">
        <v>122</v>
      </c>
      <c r="Q152" s="103" t="s">
        <v>115</v>
      </c>
      <c r="R152" s="103"/>
      <c r="S152" s="104" t="s">
        <v>138</v>
      </c>
      <c r="T152" s="104"/>
      <c r="U152" s="110">
        <f>+(1823640+15*((1141850+1714473+2097122)/9)+1293526+1247367+1350713*3+4298671+929210+300000+750000+150000)*1.23*1.07</f>
        <v>30402297.810800001</v>
      </c>
      <c r="V152" s="109"/>
      <c r="W152" s="110">
        <v>0</v>
      </c>
      <c r="X152" s="259">
        <v>0</v>
      </c>
      <c r="Y152" s="259">
        <v>0</v>
      </c>
      <c r="Z152" s="259">
        <f>+U152*0.235*0.3</f>
        <v>2143361.9956613998</v>
      </c>
      <c r="AA152" s="226">
        <f>+U152-Z152-AB152</f>
        <v>28258935.815138601</v>
      </c>
      <c r="AB152" s="219"/>
      <c r="AC152" s="219"/>
      <c r="AD152" s="219"/>
      <c r="AE152" s="219"/>
      <c r="AF152" s="219"/>
      <c r="AG152" s="100"/>
      <c r="AH152" s="230"/>
    </row>
    <row r="153" spans="1:34" s="229" customFormat="1" ht="89.25" hidden="1">
      <c r="A153" s="101">
        <f t="shared" si="6"/>
        <v>45</v>
      </c>
      <c r="B153" s="103" t="s">
        <v>410</v>
      </c>
      <c r="C153" s="104" t="s">
        <v>134</v>
      </c>
      <c r="D153" s="103" t="s">
        <v>412</v>
      </c>
      <c r="E153" s="104" t="s">
        <v>114</v>
      </c>
      <c r="F153" s="103" t="s">
        <v>141</v>
      </c>
      <c r="G153" s="106" t="s">
        <v>411</v>
      </c>
      <c r="H153" s="102" t="s">
        <v>3</v>
      </c>
      <c r="I153" s="103" t="s">
        <v>162</v>
      </c>
      <c r="J153" s="224"/>
      <c r="K153" s="224"/>
      <c r="L153" s="224">
        <f t="shared" si="8"/>
        <v>0</v>
      </c>
      <c r="M153" s="224"/>
      <c r="N153" s="224"/>
      <c r="O153" s="224">
        <f t="shared" si="7"/>
        <v>0</v>
      </c>
      <c r="P153" s="105" t="s">
        <v>122</v>
      </c>
      <c r="Q153" s="103" t="s">
        <v>115</v>
      </c>
      <c r="R153" s="103"/>
      <c r="S153" s="104" t="s">
        <v>138</v>
      </c>
      <c r="T153" s="104"/>
      <c r="U153" s="110">
        <f>+(14*((1141850+1714473+2097122)/9)+1293526+1247367+1350713*3+4298671+8*(1022001/14)+1350000+929210+300000+400000+150000)*1.23*1.07</f>
        <v>29362549.585023805</v>
      </c>
      <c r="V153" s="109"/>
      <c r="W153" s="110">
        <v>0</v>
      </c>
      <c r="X153" s="259">
        <v>0</v>
      </c>
      <c r="Y153" s="259">
        <v>0</v>
      </c>
      <c r="Z153" s="259">
        <f>+U153*0.235*0.3</f>
        <v>2070059.7457441781</v>
      </c>
      <c r="AA153" s="226">
        <f>+U153-Z153-AB153</f>
        <v>27292489.839279629</v>
      </c>
      <c r="AB153" s="219"/>
      <c r="AC153" s="219"/>
      <c r="AD153" s="219"/>
      <c r="AE153" s="219"/>
      <c r="AF153" s="219"/>
      <c r="AG153" s="100"/>
      <c r="AH153" s="230"/>
    </row>
    <row r="154" spans="1:34" s="229" customFormat="1" ht="89.25" hidden="1">
      <c r="A154" s="101">
        <f t="shared" si="6"/>
        <v>46</v>
      </c>
      <c r="B154" s="103" t="s">
        <v>413</v>
      </c>
      <c r="C154" s="104" t="s">
        <v>134</v>
      </c>
      <c r="D154" s="103" t="s">
        <v>414</v>
      </c>
      <c r="E154" s="104" t="s">
        <v>114</v>
      </c>
      <c r="F154" s="103" t="s">
        <v>141</v>
      </c>
      <c r="G154" s="106" t="s">
        <v>151</v>
      </c>
      <c r="H154" s="102" t="s">
        <v>3</v>
      </c>
      <c r="I154" s="103" t="s">
        <v>162</v>
      </c>
      <c r="J154" s="224"/>
      <c r="K154" s="224"/>
      <c r="L154" s="224">
        <f t="shared" si="8"/>
        <v>0</v>
      </c>
      <c r="M154" s="224"/>
      <c r="N154" s="224"/>
      <c r="O154" s="224">
        <f t="shared" si="7"/>
        <v>0</v>
      </c>
      <c r="P154" s="105" t="s">
        <v>122</v>
      </c>
      <c r="Q154" s="103" t="s">
        <v>115</v>
      </c>
      <c r="R154" s="103"/>
      <c r="S154" s="104" t="s">
        <v>138</v>
      </c>
      <c r="T154" s="104"/>
      <c r="U154" s="110">
        <f>+(15*((1141850+1714473+2097122)/9)+1293526+1247367+1350713*3+4298671+14*(1022001/14)+1350000+929210+300000+400000+150000)*1.23*1.07</f>
        <v>30663360.722899996</v>
      </c>
      <c r="V154" s="109"/>
      <c r="W154" s="110">
        <v>0</v>
      </c>
      <c r="X154" s="259">
        <v>0</v>
      </c>
      <c r="Y154" s="259">
        <v>0</v>
      </c>
      <c r="Z154" s="259">
        <f>+U154*0.235*0.3</f>
        <v>2161766.9309644494</v>
      </c>
      <c r="AA154" s="226">
        <f>+U154-Z154-AB154</f>
        <v>28501593.791935548</v>
      </c>
      <c r="AB154" s="219"/>
      <c r="AC154" s="219"/>
      <c r="AD154" s="219"/>
      <c r="AE154" s="219"/>
      <c r="AF154" s="219"/>
      <c r="AG154" s="100"/>
      <c r="AH154" s="230"/>
    </row>
    <row r="155" spans="1:34" s="229" customFormat="1" ht="89.25" hidden="1">
      <c r="A155" s="101">
        <f t="shared" si="6"/>
        <v>47</v>
      </c>
      <c r="B155" s="103" t="s">
        <v>415</v>
      </c>
      <c r="C155" s="104" t="s">
        <v>134</v>
      </c>
      <c r="D155" s="103" t="s">
        <v>416</v>
      </c>
      <c r="E155" s="104" t="s">
        <v>114</v>
      </c>
      <c r="F155" s="103" t="s">
        <v>141</v>
      </c>
      <c r="G155" s="106" t="s">
        <v>151</v>
      </c>
      <c r="H155" s="102" t="s">
        <v>3</v>
      </c>
      <c r="I155" s="103" t="s">
        <v>162</v>
      </c>
      <c r="J155" s="224"/>
      <c r="K155" s="224"/>
      <c r="L155" s="224">
        <f t="shared" si="8"/>
        <v>0</v>
      </c>
      <c r="M155" s="224"/>
      <c r="N155" s="224"/>
      <c r="O155" s="224">
        <f t="shared" si="7"/>
        <v>0</v>
      </c>
      <c r="P155" s="105" t="s">
        <v>122</v>
      </c>
      <c r="Q155" s="103" t="s">
        <v>115</v>
      </c>
      <c r="R155" s="103"/>
      <c r="S155" s="104" t="s">
        <v>138</v>
      </c>
      <c r="T155" s="104"/>
      <c r="U155" s="110">
        <f>+(8*((1141850+1714473+2097122)/9)+1293526+1247367+1350713*3+4298671+8*(1022001/14)+1350000+929210+300000+400000+150000)*1.23*1.07</f>
        <v>25016396.94202381</v>
      </c>
      <c r="V155" s="109"/>
      <c r="W155" s="110">
        <v>0</v>
      </c>
      <c r="X155" s="259">
        <v>0</v>
      </c>
      <c r="Y155" s="259">
        <v>0</v>
      </c>
      <c r="Z155" s="259">
        <f>+U155*0.235*0.3</f>
        <v>1763655.9844126785</v>
      </c>
      <c r="AA155" s="226">
        <f>+U155-Z155-AB155</f>
        <v>23252740.957611132</v>
      </c>
      <c r="AB155" s="219"/>
      <c r="AC155" s="219"/>
      <c r="AD155" s="219"/>
      <c r="AE155" s="219"/>
      <c r="AF155" s="219"/>
      <c r="AG155" s="100"/>
      <c r="AH155" s="230"/>
    </row>
    <row r="156" spans="1:34" s="229" customFormat="1" ht="127.5" hidden="1">
      <c r="A156" s="101">
        <f t="shared" si="6"/>
        <v>48</v>
      </c>
      <c r="B156" s="103" t="s">
        <v>417</v>
      </c>
      <c r="C156" s="104" t="s">
        <v>138</v>
      </c>
      <c r="D156" s="103" t="s">
        <v>418</v>
      </c>
      <c r="E156" s="104" t="s">
        <v>114</v>
      </c>
      <c r="F156" s="103" t="s">
        <v>141</v>
      </c>
      <c r="G156" s="106" t="s">
        <v>151</v>
      </c>
      <c r="H156" s="102" t="s">
        <v>3</v>
      </c>
      <c r="I156" s="103" t="s">
        <v>162</v>
      </c>
      <c r="J156" s="224"/>
      <c r="K156" s="224"/>
      <c r="L156" s="224">
        <f t="shared" si="8"/>
        <v>0</v>
      </c>
      <c r="M156" s="224"/>
      <c r="N156" s="224"/>
      <c r="O156" s="224">
        <f t="shared" si="7"/>
        <v>0</v>
      </c>
      <c r="P156" s="105" t="s">
        <v>122</v>
      </c>
      <c r="Q156" s="103" t="s">
        <v>115</v>
      </c>
      <c r="R156" s="103"/>
      <c r="S156" s="104" t="s">
        <v>138</v>
      </c>
      <c r="T156" s="104"/>
      <c r="U156" s="110">
        <f>+(1823640+19*((1141850+1714473+2097122)/9)+3658606+1293526+1247367+1350713*3+3500000+4298671+18*(1022001/14)+1350000+600000+350000+929210+300000+750000+150000)*1.23*1.07</f>
        <v>47477561.3548619</v>
      </c>
      <c r="V156" s="109"/>
      <c r="W156" s="110">
        <v>0</v>
      </c>
      <c r="X156" s="259">
        <v>0</v>
      </c>
      <c r="Y156" s="259">
        <v>0</v>
      </c>
      <c r="Z156" s="259">
        <f>+U156*0.235*0.3</f>
        <v>3347168.0755177638</v>
      </c>
      <c r="AA156" s="226">
        <f>+U156-Z156-AB156</f>
        <v>44130393.279344134</v>
      </c>
      <c r="AB156" s="219"/>
      <c r="AC156" s="219"/>
      <c r="AD156" s="219"/>
      <c r="AE156" s="219"/>
      <c r="AF156" s="219"/>
      <c r="AG156" s="100"/>
      <c r="AH156" s="230"/>
    </row>
    <row r="157" spans="1:34" s="229" customFormat="1" ht="38.25" hidden="1">
      <c r="A157" s="101">
        <f t="shared" si="6"/>
        <v>49</v>
      </c>
      <c r="B157" s="103" t="s">
        <v>419</v>
      </c>
      <c r="C157" s="104" t="s">
        <v>134</v>
      </c>
      <c r="D157" s="103" t="s">
        <v>421</v>
      </c>
      <c r="E157" s="104" t="s">
        <v>114</v>
      </c>
      <c r="F157" s="103" t="s">
        <v>141</v>
      </c>
      <c r="G157" s="106" t="s">
        <v>420</v>
      </c>
      <c r="H157" s="102" t="s">
        <v>3</v>
      </c>
      <c r="I157" s="103" t="s">
        <v>162</v>
      </c>
      <c r="J157" s="224"/>
      <c r="K157" s="224"/>
      <c r="L157" s="224">
        <f t="shared" si="8"/>
        <v>0</v>
      </c>
      <c r="M157" s="224"/>
      <c r="N157" s="224"/>
      <c r="O157" s="224">
        <f t="shared" si="7"/>
        <v>0</v>
      </c>
      <c r="P157" s="105" t="s">
        <v>122</v>
      </c>
      <c r="Q157" s="103" t="s">
        <v>115</v>
      </c>
      <c r="R157" s="103"/>
      <c r="S157" s="104" t="s">
        <v>138</v>
      </c>
      <c r="T157" s="104"/>
      <c r="U157" s="110">
        <f>+(2097122+150000)*1.23*1.07</f>
        <v>2957437.2642000001</v>
      </c>
      <c r="V157" s="109"/>
      <c r="W157" s="110">
        <v>0</v>
      </c>
      <c r="X157" s="259">
        <v>0</v>
      </c>
      <c r="Y157" s="259">
        <v>0</v>
      </c>
      <c r="Z157" s="259">
        <v>0</v>
      </c>
      <c r="AA157" s="226">
        <f>+U157*0.235*0.3</f>
        <v>208499.32712609999</v>
      </c>
      <c r="AB157" s="219"/>
      <c r="AC157" s="219"/>
      <c r="AD157" s="219"/>
      <c r="AE157" s="219"/>
      <c r="AF157" s="219"/>
      <c r="AG157" s="100"/>
      <c r="AH157" s="230"/>
    </row>
    <row r="158" spans="1:34" s="229" customFormat="1" ht="38.25" hidden="1">
      <c r="A158" s="101">
        <f t="shared" ref="A158:A221" si="9">+A157+1</f>
        <v>50</v>
      </c>
      <c r="B158" s="103" t="s">
        <v>422</v>
      </c>
      <c r="C158" s="104" t="s">
        <v>134</v>
      </c>
      <c r="D158" s="103" t="s">
        <v>423</v>
      </c>
      <c r="E158" s="104" t="s">
        <v>114</v>
      </c>
      <c r="F158" s="103" t="s">
        <v>141</v>
      </c>
      <c r="G158" s="106" t="s">
        <v>420</v>
      </c>
      <c r="H158" s="102" t="s">
        <v>3</v>
      </c>
      <c r="I158" s="103" t="s">
        <v>162</v>
      </c>
      <c r="J158" s="224"/>
      <c r="K158" s="224"/>
      <c r="L158" s="224">
        <f t="shared" si="8"/>
        <v>0</v>
      </c>
      <c r="M158" s="224"/>
      <c r="N158" s="224"/>
      <c r="O158" s="224">
        <f t="shared" ref="O158:O221" si="10">M158+(N158*22)</f>
        <v>0</v>
      </c>
      <c r="P158" s="105" t="s">
        <v>122</v>
      </c>
      <c r="Q158" s="103" t="s">
        <v>115</v>
      </c>
      <c r="R158" s="103"/>
      <c r="S158" s="104" t="s">
        <v>138</v>
      </c>
      <c r="T158" s="104"/>
      <c r="U158" s="110">
        <f>+(1714473+150000)*1.23*1.07</f>
        <v>2453832.9153</v>
      </c>
      <c r="V158" s="109"/>
      <c r="W158" s="110">
        <v>0</v>
      </c>
      <c r="X158" s="259">
        <v>0</v>
      </c>
      <c r="Y158" s="259">
        <v>0</v>
      </c>
      <c r="Z158" s="259">
        <f>+U158*0.235*0.3</f>
        <v>172995.22052865001</v>
      </c>
      <c r="AA158" s="226">
        <f>+U158-Z158</f>
        <v>2280837.6947713499</v>
      </c>
      <c r="AB158" s="219"/>
      <c r="AC158" s="219"/>
      <c r="AD158" s="219"/>
      <c r="AE158" s="219"/>
      <c r="AF158" s="219"/>
      <c r="AG158" s="100"/>
      <c r="AH158" s="230"/>
    </row>
    <row r="159" spans="1:34" s="229" customFormat="1" ht="63.75" hidden="1">
      <c r="A159" s="101">
        <f t="shared" si="9"/>
        <v>51</v>
      </c>
      <c r="B159" s="103" t="s">
        <v>424</v>
      </c>
      <c r="C159" s="104" t="s">
        <v>134</v>
      </c>
      <c r="D159" s="103" t="s">
        <v>425</v>
      </c>
      <c r="E159" s="104" t="s">
        <v>114</v>
      </c>
      <c r="F159" s="103" t="s">
        <v>141</v>
      </c>
      <c r="G159" s="106" t="s">
        <v>350</v>
      </c>
      <c r="H159" s="102" t="s">
        <v>3</v>
      </c>
      <c r="I159" s="103" t="s">
        <v>162</v>
      </c>
      <c r="J159" s="224"/>
      <c r="K159" s="224"/>
      <c r="L159" s="224">
        <f t="shared" si="8"/>
        <v>0</v>
      </c>
      <c r="M159" s="224"/>
      <c r="N159" s="224"/>
      <c r="O159" s="224">
        <f t="shared" si="10"/>
        <v>0</v>
      </c>
      <c r="P159" s="105" t="s">
        <v>122</v>
      </c>
      <c r="Q159" s="103" t="s">
        <v>115</v>
      </c>
      <c r="R159" s="103"/>
      <c r="S159" s="104" t="s">
        <v>138</v>
      </c>
      <c r="T159" s="104"/>
      <c r="U159" s="110">
        <f>+(6*((1141850+1714473+2097122)/9)+3658606+1293526+6*(1022001/14)+600000+350000+929210+150000)*1.23*1.07</f>
        <v>14110749.213242857</v>
      </c>
      <c r="V159" s="109"/>
      <c r="W159" s="110">
        <v>0</v>
      </c>
      <c r="X159" s="259">
        <v>0</v>
      </c>
      <c r="Y159" s="259">
        <v>0</v>
      </c>
      <c r="Z159" s="259">
        <v>0</v>
      </c>
      <c r="AA159" s="226">
        <f>+U159*0.235*0.3</f>
        <v>994807.81953362131</v>
      </c>
      <c r="AB159" s="219"/>
      <c r="AC159" s="219"/>
      <c r="AD159" s="219"/>
      <c r="AE159" s="219"/>
      <c r="AF159" s="219"/>
      <c r="AG159" s="100"/>
      <c r="AH159" s="230"/>
    </row>
    <row r="160" spans="1:34" s="229" customFormat="1" ht="38.25" hidden="1">
      <c r="A160" s="101">
        <f t="shared" si="9"/>
        <v>52</v>
      </c>
      <c r="B160" s="103" t="s">
        <v>426</v>
      </c>
      <c r="C160" s="104" t="s">
        <v>134</v>
      </c>
      <c r="D160" s="103" t="s">
        <v>427</v>
      </c>
      <c r="E160" s="104" t="s">
        <v>114</v>
      </c>
      <c r="F160" s="103" t="s">
        <v>141</v>
      </c>
      <c r="G160" s="106" t="s">
        <v>350</v>
      </c>
      <c r="H160" s="102" t="s">
        <v>3</v>
      </c>
      <c r="I160" s="103" t="s">
        <v>162</v>
      </c>
      <c r="J160" s="224"/>
      <c r="K160" s="224"/>
      <c r="L160" s="224">
        <f t="shared" si="8"/>
        <v>0</v>
      </c>
      <c r="M160" s="224"/>
      <c r="N160" s="224"/>
      <c r="O160" s="224">
        <f t="shared" si="10"/>
        <v>0</v>
      </c>
      <c r="P160" s="105" t="s">
        <v>122</v>
      </c>
      <c r="Q160" s="103" t="s">
        <v>115</v>
      </c>
      <c r="R160" s="103"/>
      <c r="S160" s="104" t="s">
        <v>138</v>
      </c>
      <c r="T160" s="104"/>
      <c r="U160" s="110">
        <f>+(8*((1141850+1714473+2097122)/9)+3658606+8*(1022001/14)+1350000+929210+150000)*1.23*1.07</f>
        <v>14575647.98032381</v>
      </c>
      <c r="V160" s="109"/>
      <c r="W160" s="110">
        <v>0</v>
      </c>
      <c r="X160" s="259">
        <v>0</v>
      </c>
      <c r="Y160" s="259">
        <v>0</v>
      </c>
      <c r="Z160" s="259">
        <v>0</v>
      </c>
      <c r="AA160" s="226">
        <v>0</v>
      </c>
      <c r="AB160" s="219"/>
      <c r="AC160" s="219"/>
      <c r="AD160" s="219"/>
      <c r="AE160" s="219"/>
      <c r="AF160" s="219"/>
      <c r="AG160" s="100"/>
      <c r="AH160" s="230">
        <f>+U160*0.06</f>
        <v>874538.87881942862</v>
      </c>
    </row>
    <row r="161" spans="1:34" s="229" customFormat="1" ht="38.25" hidden="1">
      <c r="A161" s="101">
        <f t="shared" si="9"/>
        <v>53</v>
      </c>
      <c r="B161" s="103" t="s">
        <v>428</v>
      </c>
      <c r="C161" s="104" t="s">
        <v>140</v>
      </c>
      <c r="D161" s="103" t="s">
        <v>429</v>
      </c>
      <c r="E161" s="104" t="s">
        <v>114</v>
      </c>
      <c r="F161" s="103" t="s">
        <v>141</v>
      </c>
      <c r="G161" s="106" t="s">
        <v>350</v>
      </c>
      <c r="H161" s="102" t="s">
        <v>3</v>
      </c>
      <c r="I161" s="103" t="s">
        <v>162</v>
      </c>
      <c r="J161" s="224"/>
      <c r="K161" s="224"/>
      <c r="L161" s="224">
        <f t="shared" si="8"/>
        <v>0</v>
      </c>
      <c r="M161" s="224"/>
      <c r="N161" s="224"/>
      <c r="O161" s="224">
        <f t="shared" si="10"/>
        <v>0</v>
      </c>
      <c r="P161" s="105" t="s">
        <v>122</v>
      </c>
      <c r="Q161" s="103" t="s">
        <v>115</v>
      </c>
      <c r="R161" s="103"/>
      <c r="S161" s="104" t="s">
        <v>138</v>
      </c>
      <c r="T161" s="104"/>
      <c r="U161" s="110">
        <f>+(20*((1141850+1714473+2097122)/9)+3658606+8*(1022001/14)+350000+929210+150000)*1.23*1.07</f>
        <v>21951853.266323812</v>
      </c>
      <c r="V161" s="109"/>
      <c r="W161" s="110">
        <v>0</v>
      </c>
      <c r="X161" s="259">
        <v>0</v>
      </c>
      <c r="Y161" s="259">
        <v>0</v>
      </c>
      <c r="Z161" s="259">
        <v>0</v>
      </c>
      <c r="AA161" s="226">
        <v>0</v>
      </c>
      <c r="AB161" s="219"/>
      <c r="AC161" s="219"/>
      <c r="AD161" s="219"/>
      <c r="AE161" s="219"/>
      <c r="AF161" s="219"/>
      <c r="AG161" s="100"/>
      <c r="AH161" s="230"/>
    </row>
    <row r="162" spans="1:34" s="229" customFormat="1" ht="63.75" hidden="1">
      <c r="A162" s="101">
        <f t="shared" si="9"/>
        <v>54</v>
      </c>
      <c r="B162" s="103" t="s">
        <v>430</v>
      </c>
      <c r="C162" s="104" t="s">
        <v>134</v>
      </c>
      <c r="D162" s="103" t="s">
        <v>431</v>
      </c>
      <c r="E162" s="104" t="s">
        <v>114</v>
      </c>
      <c r="F162" s="103" t="s">
        <v>141</v>
      </c>
      <c r="G162" s="106" t="s">
        <v>145</v>
      </c>
      <c r="H162" s="102" t="s">
        <v>3</v>
      </c>
      <c r="I162" s="103" t="s">
        <v>162</v>
      </c>
      <c r="J162" s="224"/>
      <c r="K162" s="224"/>
      <c r="L162" s="224">
        <f t="shared" si="8"/>
        <v>0</v>
      </c>
      <c r="M162" s="224"/>
      <c r="N162" s="224"/>
      <c r="O162" s="224">
        <f t="shared" si="10"/>
        <v>0</v>
      </c>
      <c r="P162" s="105" t="s">
        <v>122</v>
      </c>
      <c r="Q162" s="103" t="s">
        <v>115</v>
      </c>
      <c r="R162" s="103"/>
      <c r="S162" s="104" t="s">
        <v>138</v>
      </c>
      <c r="T162" s="104"/>
      <c r="U162" s="110">
        <f>+(1823640+8*((1141850+1714473+2097122)/9)+3658606+10*(1022001/14)+929210+300000+750000+150000)*1.23*1.07</f>
        <v>16773061.372338098</v>
      </c>
      <c r="V162" s="109"/>
      <c r="W162" s="110">
        <v>0</v>
      </c>
      <c r="X162" s="259">
        <v>0</v>
      </c>
      <c r="Y162" s="259">
        <v>0</v>
      </c>
      <c r="Z162" s="259">
        <v>0</v>
      </c>
      <c r="AA162" s="226">
        <v>0</v>
      </c>
      <c r="AB162" s="219"/>
      <c r="AC162" s="219"/>
      <c r="AD162" s="219"/>
      <c r="AE162" s="219"/>
      <c r="AF162" s="219"/>
      <c r="AG162" s="100"/>
      <c r="AH162" s="230"/>
    </row>
    <row r="163" spans="1:34" s="229" customFormat="1" ht="38.25" hidden="1">
      <c r="A163" s="101">
        <f t="shared" si="9"/>
        <v>55</v>
      </c>
      <c r="B163" s="103" t="s">
        <v>432</v>
      </c>
      <c r="C163" s="104" t="s">
        <v>134</v>
      </c>
      <c r="D163" s="103" t="s">
        <v>433</v>
      </c>
      <c r="E163" s="104" t="s">
        <v>114</v>
      </c>
      <c r="F163" s="103" t="s">
        <v>141</v>
      </c>
      <c r="G163" s="106" t="s">
        <v>286</v>
      </c>
      <c r="H163" s="102" t="s">
        <v>3</v>
      </c>
      <c r="I163" s="103" t="s">
        <v>162</v>
      </c>
      <c r="J163" s="224"/>
      <c r="K163" s="224"/>
      <c r="L163" s="224">
        <f t="shared" si="8"/>
        <v>0</v>
      </c>
      <c r="M163" s="224"/>
      <c r="N163" s="224"/>
      <c r="O163" s="224">
        <f t="shared" si="10"/>
        <v>0</v>
      </c>
      <c r="P163" s="105" t="s">
        <v>122</v>
      </c>
      <c r="Q163" s="103" t="s">
        <v>115</v>
      </c>
      <c r="R163" s="103"/>
      <c r="S163" s="104" t="s">
        <v>138</v>
      </c>
      <c r="T163" s="104"/>
      <c r="U163" s="110">
        <f>+(1823640+17*((1141850+1714473+2097122)/9)+14*(1022001/14)+1350000+600000+150000)*1.23*1.07</f>
        <v>18823057.275266666</v>
      </c>
      <c r="V163" s="109"/>
      <c r="W163" s="110">
        <v>0</v>
      </c>
      <c r="X163" s="259">
        <v>0</v>
      </c>
      <c r="Y163" s="259">
        <v>0</v>
      </c>
      <c r="Z163" s="259">
        <v>0</v>
      </c>
      <c r="AA163" s="226">
        <f>+U163*0.235*0.3</f>
        <v>1327025.5379062998</v>
      </c>
      <c r="AB163" s="219"/>
      <c r="AC163" s="219"/>
      <c r="AD163" s="219"/>
      <c r="AE163" s="219"/>
      <c r="AF163" s="219"/>
      <c r="AG163" s="100"/>
      <c r="AH163" s="230"/>
    </row>
    <row r="164" spans="1:34" s="229" customFormat="1" ht="38.25" hidden="1">
      <c r="A164" s="101">
        <f t="shared" si="9"/>
        <v>56</v>
      </c>
      <c r="B164" s="103" t="s">
        <v>434</v>
      </c>
      <c r="C164" s="104" t="s">
        <v>134</v>
      </c>
      <c r="D164" s="103" t="s">
        <v>435</v>
      </c>
      <c r="E164" s="104" t="s">
        <v>114</v>
      </c>
      <c r="F164" s="103" t="s">
        <v>141</v>
      </c>
      <c r="G164" s="106" t="s">
        <v>286</v>
      </c>
      <c r="H164" s="102" t="s">
        <v>3</v>
      </c>
      <c r="I164" s="103" t="s">
        <v>162</v>
      </c>
      <c r="J164" s="224"/>
      <c r="K164" s="224"/>
      <c r="L164" s="224">
        <f t="shared" si="8"/>
        <v>0</v>
      </c>
      <c r="M164" s="224"/>
      <c r="N164" s="224"/>
      <c r="O164" s="224">
        <f t="shared" si="10"/>
        <v>0</v>
      </c>
      <c r="P164" s="105" t="s">
        <v>122</v>
      </c>
      <c r="Q164" s="103" t="s">
        <v>115</v>
      </c>
      <c r="R164" s="103"/>
      <c r="S164" s="104" t="s">
        <v>138</v>
      </c>
      <c r="T164" s="104"/>
      <c r="U164" s="110">
        <f>+(1823640+1714473+4298671+10*(1022001/14)+1350000+600000+150000)*1.23*1.07</f>
        <v>14038555.36247143</v>
      </c>
      <c r="V164" s="109"/>
      <c r="W164" s="110">
        <v>0</v>
      </c>
      <c r="X164" s="259">
        <v>0</v>
      </c>
      <c r="Y164" s="259">
        <v>0</v>
      </c>
      <c r="Z164" s="259">
        <v>0</v>
      </c>
      <c r="AA164" s="226">
        <v>0</v>
      </c>
      <c r="AB164" s="219"/>
      <c r="AC164" s="219"/>
      <c r="AD164" s="219"/>
      <c r="AE164" s="219"/>
      <c r="AF164" s="219"/>
      <c r="AG164" s="100"/>
      <c r="AH164" s="230"/>
    </row>
    <row r="165" spans="1:34" s="229" customFormat="1" ht="38.25" hidden="1">
      <c r="A165" s="101">
        <f t="shared" si="9"/>
        <v>57</v>
      </c>
      <c r="B165" s="103" t="s">
        <v>436</v>
      </c>
      <c r="C165" s="104" t="s">
        <v>140</v>
      </c>
      <c r="D165" s="103" t="s">
        <v>437</v>
      </c>
      <c r="E165" s="104" t="s">
        <v>114</v>
      </c>
      <c r="F165" s="103" t="s">
        <v>141</v>
      </c>
      <c r="G165" s="106" t="s">
        <v>237</v>
      </c>
      <c r="H165" s="102" t="s">
        <v>3</v>
      </c>
      <c r="I165" s="103" t="s">
        <v>162</v>
      </c>
      <c r="J165" s="224"/>
      <c r="K165" s="224"/>
      <c r="L165" s="224">
        <f t="shared" si="8"/>
        <v>0</v>
      </c>
      <c r="M165" s="224"/>
      <c r="N165" s="224"/>
      <c r="O165" s="224">
        <f t="shared" si="10"/>
        <v>0</v>
      </c>
      <c r="P165" s="105" t="s">
        <v>122</v>
      </c>
      <c r="Q165" s="103" t="s">
        <v>115</v>
      </c>
      <c r="R165" s="103"/>
      <c r="S165" s="104" t="s">
        <v>138</v>
      </c>
      <c r="T165" s="104"/>
      <c r="U165" s="110">
        <f>+(1714473*4+3658606+1350713+8*(1022001/14)+150000)*1.23*1.07</f>
        <v>16584454.549157143</v>
      </c>
      <c r="V165" s="109"/>
      <c r="W165" s="110">
        <v>0</v>
      </c>
      <c r="X165" s="259">
        <v>0</v>
      </c>
      <c r="Y165" s="259">
        <v>0</v>
      </c>
      <c r="Z165" s="259">
        <v>0</v>
      </c>
      <c r="AA165" s="226">
        <v>0</v>
      </c>
      <c r="AB165" s="219"/>
      <c r="AC165" s="219"/>
      <c r="AD165" s="219"/>
      <c r="AE165" s="219"/>
      <c r="AF165" s="219"/>
      <c r="AG165" s="100"/>
      <c r="AH165" s="230"/>
    </row>
    <row r="166" spans="1:34" s="229" customFormat="1" ht="38.25" hidden="1">
      <c r="A166" s="101">
        <f t="shared" si="9"/>
        <v>58</v>
      </c>
      <c r="B166" s="103" t="s">
        <v>438</v>
      </c>
      <c r="C166" s="104" t="s">
        <v>134</v>
      </c>
      <c r="D166" s="103" t="s">
        <v>421</v>
      </c>
      <c r="E166" s="104" t="s">
        <v>114</v>
      </c>
      <c r="F166" s="103" t="s">
        <v>141</v>
      </c>
      <c r="G166" s="106" t="s">
        <v>237</v>
      </c>
      <c r="H166" s="102" t="s">
        <v>3</v>
      </c>
      <c r="I166" s="103" t="s">
        <v>162</v>
      </c>
      <c r="J166" s="224"/>
      <c r="K166" s="224"/>
      <c r="L166" s="224">
        <f t="shared" si="8"/>
        <v>0</v>
      </c>
      <c r="M166" s="224"/>
      <c r="N166" s="224"/>
      <c r="O166" s="224">
        <f t="shared" si="10"/>
        <v>0</v>
      </c>
      <c r="P166" s="105" t="s">
        <v>122</v>
      </c>
      <c r="Q166" s="103" t="s">
        <v>115</v>
      </c>
      <c r="R166" s="103"/>
      <c r="S166" s="104" t="s">
        <v>138</v>
      </c>
      <c r="T166" s="104"/>
      <c r="U166" s="110">
        <f>+(1823640+1714473+4298671+10*(1022001/14)+1350000+600000+150000)*1.23*1.07</f>
        <v>14038555.36247143</v>
      </c>
      <c r="V166" s="109"/>
      <c r="W166" s="110">
        <v>0</v>
      </c>
      <c r="X166" s="259">
        <v>0</v>
      </c>
      <c r="Y166" s="259">
        <v>0</v>
      </c>
      <c r="Z166" s="259">
        <v>0</v>
      </c>
      <c r="AA166" s="226">
        <f>+U166*0.235*0.3</f>
        <v>989718.15305423574</v>
      </c>
      <c r="AB166" s="219"/>
      <c r="AC166" s="219"/>
      <c r="AD166" s="219"/>
      <c r="AE166" s="219"/>
      <c r="AF166" s="219"/>
      <c r="AG166" s="100"/>
      <c r="AH166" s="230"/>
    </row>
    <row r="167" spans="1:34" s="229" customFormat="1" ht="38.25" hidden="1">
      <c r="A167" s="101">
        <f t="shared" si="9"/>
        <v>59</v>
      </c>
      <c r="B167" s="103" t="s">
        <v>242</v>
      </c>
      <c r="C167" s="104" t="s">
        <v>134</v>
      </c>
      <c r="D167" s="103" t="s">
        <v>439</v>
      </c>
      <c r="E167" s="104" t="s">
        <v>114</v>
      </c>
      <c r="F167" s="103" t="s">
        <v>141</v>
      </c>
      <c r="G167" s="106" t="s">
        <v>237</v>
      </c>
      <c r="H167" s="102" t="s">
        <v>3</v>
      </c>
      <c r="I167" s="103" t="s">
        <v>162</v>
      </c>
      <c r="J167" s="224"/>
      <c r="K167" s="224"/>
      <c r="L167" s="224">
        <f t="shared" si="8"/>
        <v>0</v>
      </c>
      <c r="M167" s="224"/>
      <c r="N167" s="224"/>
      <c r="O167" s="224">
        <f t="shared" si="10"/>
        <v>0</v>
      </c>
      <c r="P167" s="105" t="s">
        <v>122</v>
      </c>
      <c r="Q167" s="103" t="s">
        <v>115</v>
      </c>
      <c r="R167" s="103"/>
      <c r="S167" s="104" t="s">
        <v>138</v>
      </c>
      <c r="T167" s="104"/>
      <c r="U167" s="110">
        <f>+(1714473*4+14*(1022001/14))*1.23*1.07</f>
        <v>10370727.177300001</v>
      </c>
      <c r="V167" s="109"/>
      <c r="W167" s="110">
        <v>0</v>
      </c>
      <c r="X167" s="259">
        <v>0</v>
      </c>
      <c r="Y167" s="259">
        <v>0</v>
      </c>
      <c r="Z167" s="259">
        <f>+U167*0.235*0.3</f>
        <v>731136.26599964988</v>
      </c>
      <c r="AA167" s="226">
        <f>+U167-Z167-AB167</f>
        <v>9639590.91130035</v>
      </c>
      <c r="AB167" s="219"/>
      <c r="AC167" s="219"/>
      <c r="AD167" s="219"/>
      <c r="AE167" s="219"/>
      <c r="AF167" s="219"/>
      <c r="AG167" s="100"/>
      <c r="AH167" s="230"/>
    </row>
    <row r="168" spans="1:34" s="229" customFormat="1" ht="38.25" hidden="1">
      <c r="A168" s="101">
        <f t="shared" si="9"/>
        <v>60</v>
      </c>
      <c r="B168" s="103" t="s">
        <v>440</v>
      </c>
      <c r="C168" s="104" t="s">
        <v>134</v>
      </c>
      <c r="D168" s="103" t="s">
        <v>441</v>
      </c>
      <c r="E168" s="104" t="s">
        <v>114</v>
      </c>
      <c r="F168" s="103" t="s">
        <v>141</v>
      </c>
      <c r="G168" s="106" t="s">
        <v>222</v>
      </c>
      <c r="H168" s="102" t="s">
        <v>3</v>
      </c>
      <c r="I168" s="103" t="s">
        <v>162</v>
      </c>
      <c r="J168" s="224"/>
      <c r="K168" s="224"/>
      <c r="L168" s="224">
        <f t="shared" si="8"/>
        <v>0</v>
      </c>
      <c r="M168" s="224"/>
      <c r="N168" s="224"/>
      <c r="O168" s="224">
        <f t="shared" si="10"/>
        <v>0</v>
      </c>
      <c r="P168" s="105" t="s">
        <v>122</v>
      </c>
      <c r="Q168" s="103" t="s">
        <v>115</v>
      </c>
      <c r="R168" s="103"/>
      <c r="S168" s="104" t="s">
        <v>138</v>
      </c>
      <c r="T168" s="104"/>
      <c r="U168" s="110">
        <f>+(1714473*2+2097122+500000)*1.23*1.07</f>
        <v>7930908.0948000001</v>
      </c>
      <c r="V168" s="109"/>
      <c r="W168" s="110">
        <v>0</v>
      </c>
      <c r="X168" s="259">
        <v>0</v>
      </c>
      <c r="Y168" s="259">
        <v>0</v>
      </c>
      <c r="Z168" s="259">
        <v>0</v>
      </c>
      <c r="AA168" s="226">
        <v>0</v>
      </c>
      <c r="AB168" s="219"/>
      <c r="AC168" s="219"/>
      <c r="AD168" s="219"/>
      <c r="AE168" s="219"/>
      <c r="AF168" s="219"/>
      <c r="AG168" s="100"/>
      <c r="AH168" s="230"/>
    </row>
    <row r="169" spans="1:34" s="229" customFormat="1" ht="38.25" hidden="1">
      <c r="A169" s="101">
        <f t="shared" si="9"/>
        <v>61</v>
      </c>
      <c r="B169" s="103" t="s">
        <v>442</v>
      </c>
      <c r="C169" s="104" t="s">
        <v>134</v>
      </c>
      <c r="D169" s="103" t="s">
        <v>441</v>
      </c>
      <c r="E169" s="104" t="s">
        <v>114</v>
      </c>
      <c r="F169" s="103" t="s">
        <v>141</v>
      </c>
      <c r="G169" s="106" t="s">
        <v>222</v>
      </c>
      <c r="H169" s="102" t="s">
        <v>3</v>
      </c>
      <c r="I169" s="103" t="s">
        <v>162</v>
      </c>
      <c r="J169" s="224"/>
      <c r="K169" s="224"/>
      <c r="L169" s="224">
        <f t="shared" si="8"/>
        <v>0</v>
      </c>
      <c r="M169" s="224"/>
      <c r="N169" s="224"/>
      <c r="O169" s="224">
        <f t="shared" si="10"/>
        <v>0</v>
      </c>
      <c r="P169" s="105" t="s">
        <v>122</v>
      </c>
      <c r="Q169" s="103" t="s">
        <v>115</v>
      </c>
      <c r="R169" s="103"/>
      <c r="S169" s="104" t="s">
        <v>138</v>
      </c>
      <c r="T169" s="104"/>
      <c r="U169" s="110">
        <f>+(1714473*2+2097122+500000)*1.23*1.07</f>
        <v>7930908.0948000001</v>
      </c>
      <c r="V169" s="109"/>
      <c r="W169" s="110">
        <v>0</v>
      </c>
      <c r="X169" s="259">
        <v>0</v>
      </c>
      <c r="Y169" s="259">
        <v>0</v>
      </c>
      <c r="Z169" s="259">
        <v>0</v>
      </c>
      <c r="AA169" s="226">
        <f>+U169*0.235*0.3</f>
        <v>559129.02068339998</v>
      </c>
      <c r="AB169" s="219"/>
      <c r="AC169" s="219"/>
      <c r="AD169" s="219"/>
      <c r="AE169" s="219"/>
      <c r="AF169" s="219"/>
      <c r="AG169" s="100"/>
      <c r="AH169" s="230"/>
    </row>
    <row r="170" spans="1:34" s="229" customFormat="1" ht="38.25" hidden="1">
      <c r="A170" s="101">
        <f t="shared" si="9"/>
        <v>62</v>
      </c>
      <c r="B170" s="103" t="s">
        <v>443</v>
      </c>
      <c r="C170" s="104" t="s">
        <v>134</v>
      </c>
      <c r="D170" s="103" t="s">
        <v>441</v>
      </c>
      <c r="E170" s="104" t="s">
        <v>114</v>
      </c>
      <c r="F170" s="103" t="s">
        <v>141</v>
      </c>
      <c r="G170" s="106" t="s">
        <v>222</v>
      </c>
      <c r="H170" s="102" t="s">
        <v>3</v>
      </c>
      <c r="I170" s="103" t="s">
        <v>162</v>
      </c>
      <c r="J170" s="224"/>
      <c r="K170" s="224"/>
      <c r="L170" s="224">
        <f t="shared" si="8"/>
        <v>0</v>
      </c>
      <c r="M170" s="224"/>
      <c r="N170" s="224"/>
      <c r="O170" s="224">
        <f t="shared" si="10"/>
        <v>0</v>
      </c>
      <c r="P170" s="105" t="s">
        <v>122</v>
      </c>
      <c r="Q170" s="103" t="s">
        <v>115</v>
      </c>
      <c r="R170" s="103"/>
      <c r="S170" s="104" t="s">
        <v>138</v>
      </c>
      <c r="T170" s="104"/>
      <c r="U170" s="110">
        <f>+(1714473*2+2097122+500000)*1.23*1.07</f>
        <v>7930908.0948000001</v>
      </c>
      <c r="V170" s="109"/>
      <c r="W170" s="110"/>
      <c r="X170" s="259"/>
      <c r="Y170" s="260"/>
      <c r="Z170" s="259"/>
      <c r="AA170" s="226"/>
      <c r="AB170" s="219"/>
      <c r="AC170" s="219"/>
      <c r="AD170" s="219"/>
      <c r="AE170" s="219"/>
      <c r="AF170" s="219"/>
      <c r="AG170" s="100"/>
      <c r="AH170" s="230"/>
    </row>
    <row r="171" spans="1:34" s="229" customFormat="1" ht="38.25" hidden="1">
      <c r="A171" s="101">
        <f t="shared" si="9"/>
        <v>63</v>
      </c>
      <c r="B171" s="103" t="s">
        <v>444</v>
      </c>
      <c r="C171" s="104" t="s">
        <v>134</v>
      </c>
      <c r="D171" s="103" t="s">
        <v>445</v>
      </c>
      <c r="E171" s="104" t="s">
        <v>114</v>
      </c>
      <c r="F171" s="103" t="s">
        <v>141</v>
      </c>
      <c r="G171" s="106" t="s">
        <v>365</v>
      </c>
      <c r="H171" s="102" t="s">
        <v>3</v>
      </c>
      <c r="I171" s="103" t="s">
        <v>162</v>
      </c>
      <c r="J171" s="224"/>
      <c r="K171" s="224"/>
      <c r="L171" s="224">
        <f t="shared" si="8"/>
        <v>0</v>
      </c>
      <c r="M171" s="224"/>
      <c r="N171" s="224"/>
      <c r="O171" s="224">
        <f t="shared" si="10"/>
        <v>0</v>
      </c>
      <c r="P171" s="105" t="s">
        <v>122</v>
      </c>
      <c r="Q171" s="103" t="s">
        <v>115</v>
      </c>
      <c r="R171" s="103"/>
      <c r="S171" s="104" t="s">
        <v>138</v>
      </c>
      <c r="T171" s="104"/>
      <c r="U171" s="110">
        <f>+(2097122*2+400000)*1.23*1.07</f>
        <v>6046484.5284000002</v>
      </c>
      <c r="V171" s="109"/>
      <c r="W171" s="110">
        <v>0</v>
      </c>
      <c r="X171" s="259">
        <v>0</v>
      </c>
      <c r="Y171" s="259">
        <v>0</v>
      </c>
      <c r="Z171" s="259">
        <v>0</v>
      </c>
      <c r="AA171" s="226">
        <v>0</v>
      </c>
      <c r="AB171" s="219"/>
      <c r="AC171" s="219"/>
      <c r="AD171" s="219"/>
      <c r="AE171" s="219"/>
      <c r="AF171" s="219"/>
      <c r="AG171" s="100"/>
      <c r="AH171" s="230"/>
    </row>
    <row r="172" spans="1:34" s="229" customFormat="1" ht="38.25" hidden="1">
      <c r="A172" s="101">
        <f t="shared" si="9"/>
        <v>64</v>
      </c>
      <c r="B172" s="103" t="s">
        <v>446</v>
      </c>
      <c r="C172" s="104" t="s">
        <v>134</v>
      </c>
      <c r="D172" s="103" t="s">
        <v>447</v>
      </c>
      <c r="E172" s="104" t="s">
        <v>114</v>
      </c>
      <c r="F172" s="103" t="s">
        <v>141</v>
      </c>
      <c r="G172" s="106" t="s">
        <v>365</v>
      </c>
      <c r="H172" s="102" t="s">
        <v>3</v>
      </c>
      <c r="I172" s="103" t="s">
        <v>162</v>
      </c>
      <c r="J172" s="224"/>
      <c r="K172" s="224"/>
      <c r="L172" s="224">
        <f t="shared" si="8"/>
        <v>0</v>
      </c>
      <c r="M172" s="224"/>
      <c r="N172" s="224"/>
      <c r="O172" s="224">
        <f t="shared" si="10"/>
        <v>0</v>
      </c>
      <c r="P172" s="105" t="s">
        <v>122</v>
      </c>
      <c r="Q172" s="103" t="s">
        <v>115</v>
      </c>
      <c r="R172" s="103"/>
      <c r="S172" s="104" t="s">
        <v>138</v>
      </c>
      <c r="T172" s="104"/>
      <c r="U172" s="110">
        <f>+(1714473*2+300000)*1.23*1.07</f>
        <v>4907665.8306</v>
      </c>
      <c r="V172" s="109"/>
      <c r="W172" s="110"/>
      <c r="X172" s="259"/>
      <c r="Y172" s="260"/>
      <c r="Z172" s="259"/>
      <c r="AA172" s="226"/>
      <c r="AB172" s="219"/>
      <c r="AC172" s="219"/>
      <c r="AD172" s="219"/>
      <c r="AE172" s="219"/>
      <c r="AF172" s="219"/>
      <c r="AG172" s="100"/>
      <c r="AH172" s="230"/>
    </row>
    <row r="173" spans="1:34" s="229" customFormat="1" ht="38.25" hidden="1">
      <c r="A173" s="101">
        <f t="shared" si="9"/>
        <v>65</v>
      </c>
      <c r="B173" s="103" t="s">
        <v>448</v>
      </c>
      <c r="C173" s="104" t="s">
        <v>140</v>
      </c>
      <c r="D173" s="103" t="s">
        <v>449</v>
      </c>
      <c r="E173" s="104" t="s">
        <v>114</v>
      </c>
      <c r="F173" s="103" t="s">
        <v>141</v>
      </c>
      <c r="G173" s="106" t="s">
        <v>365</v>
      </c>
      <c r="H173" s="102" t="s">
        <v>3</v>
      </c>
      <c r="I173" s="103" t="s">
        <v>162</v>
      </c>
      <c r="J173" s="224"/>
      <c r="K173" s="224"/>
      <c r="L173" s="224">
        <f t="shared" si="8"/>
        <v>0</v>
      </c>
      <c r="M173" s="224"/>
      <c r="N173" s="224"/>
      <c r="O173" s="224">
        <f t="shared" si="10"/>
        <v>0</v>
      </c>
      <c r="P173" s="105" t="s">
        <v>122</v>
      </c>
      <c r="Q173" s="103" t="s">
        <v>115</v>
      </c>
      <c r="R173" s="103"/>
      <c r="S173" s="104" t="s">
        <v>138</v>
      </c>
      <c r="T173" s="104"/>
      <c r="U173" s="110">
        <f>+(1*((1141850+1714473+2097122)/9)+50000)*1.23*1.07</f>
        <v>790163.7738333334</v>
      </c>
      <c r="V173" s="109"/>
      <c r="W173" s="110">
        <v>0</v>
      </c>
      <c r="X173" s="259">
        <v>0</v>
      </c>
      <c r="Y173" s="259">
        <v>0</v>
      </c>
      <c r="Z173" s="259">
        <v>0</v>
      </c>
      <c r="AA173" s="226">
        <f>+U173*0.235*0.3</f>
        <v>55706.546055250001</v>
      </c>
      <c r="AB173" s="219"/>
      <c r="AC173" s="219"/>
      <c r="AD173" s="219"/>
      <c r="AE173" s="219"/>
      <c r="AF173" s="219"/>
      <c r="AG173" s="100"/>
      <c r="AH173" s="230"/>
    </row>
    <row r="174" spans="1:34" s="229" customFormat="1" ht="89.25" hidden="1">
      <c r="A174" s="101">
        <f t="shared" si="9"/>
        <v>66</v>
      </c>
      <c r="B174" s="103" t="s">
        <v>450</v>
      </c>
      <c r="C174" s="104" t="s">
        <v>140</v>
      </c>
      <c r="D174" s="103" t="s">
        <v>451</v>
      </c>
      <c r="E174" s="104" t="s">
        <v>114</v>
      </c>
      <c r="F174" s="103" t="s">
        <v>141</v>
      </c>
      <c r="G174" s="106" t="s">
        <v>363</v>
      </c>
      <c r="H174" s="102" t="s">
        <v>3</v>
      </c>
      <c r="I174" s="103" t="s">
        <v>162</v>
      </c>
      <c r="J174" s="224"/>
      <c r="K174" s="224"/>
      <c r="L174" s="224">
        <f t="shared" si="8"/>
        <v>0</v>
      </c>
      <c r="M174" s="224"/>
      <c r="N174" s="224"/>
      <c r="O174" s="224">
        <f t="shared" si="10"/>
        <v>0</v>
      </c>
      <c r="P174" s="105" t="s">
        <v>122</v>
      </c>
      <c r="Q174" s="103" t="s">
        <v>115</v>
      </c>
      <c r="R174" s="103"/>
      <c r="S174" s="104" t="s">
        <v>138</v>
      </c>
      <c r="T174" s="104"/>
      <c r="U174" s="110">
        <f>+(12*((1141850+1714473+2097122)/9)+1293526+1350713*3+3500000+4298671+1350000+929210+300000+400000+150000)*1.23*1.07</f>
        <v>30109919.176600002</v>
      </c>
      <c r="V174" s="109"/>
      <c r="W174" s="110">
        <v>0</v>
      </c>
      <c r="X174" s="259">
        <v>0</v>
      </c>
      <c r="Y174" s="259">
        <v>0</v>
      </c>
      <c r="Z174" s="259">
        <f>+U174*0.235*0.3</f>
        <v>2122749.3019503001</v>
      </c>
      <c r="AA174" s="226">
        <f>+U174-Z174-AB174</f>
        <v>27987169.874649704</v>
      </c>
      <c r="AB174" s="219"/>
      <c r="AC174" s="219"/>
      <c r="AD174" s="219"/>
      <c r="AE174" s="219"/>
      <c r="AF174" s="219"/>
      <c r="AG174" s="100"/>
      <c r="AH174" s="230"/>
    </row>
    <row r="175" spans="1:34" s="229" customFormat="1" ht="102" hidden="1">
      <c r="A175" s="101">
        <f t="shared" si="9"/>
        <v>67</v>
      </c>
      <c r="B175" s="103" t="s">
        <v>452</v>
      </c>
      <c r="C175" s="104" t="s">
        <v>140</v>
      </c>
      <c r="D175" s="103" t="s">
        <v>453</v>
      </c>
      <c r="E175" s="104" t="s">
        <v>114</v>
      </c>
      <c r="F175" s="103" t="s">
        <v>141</v>
      </c>
      <c r="G175" s="106" t="s">
        <v>148</v>
      </c>
      <c r="H175" s="102" t="s">
        <v>3</v>
      </c>
      <c r="I175" s="103" t="s">
        <v>162</v>
      </c>
      <c r="J175" s="224"/>
      <c r="K175" s="224"/>
      <c r="L175" s="224">
        <f t="shared" si="8"/>
        <v>0</v>
      </c>
      <c r="M175" s="224"/>
      <c r="N175" s="224"/>
      <c r="O175" s="224">
        <f t="shared" si="10"/>
        <v>0</v>
      </c>
      <c r="P175" s="105" t="s">
        <v>122</v>
      </c>
      <c r="Q175" s="103" t="s">
        <v>115</v>
      </c>
      <c r="R175" s="103"/>
      <c r="S175" s="104" t="s">
        <v>138</v>
      </c>
      <c r="T175" s="104"/>
      <c r="U175" s="110">
        <f>+(14*((1141850+1714473+2097122)/9)+1293526+1350713*3+3500000+4298671+1350000+600000+350000+929210+300000+400000+150000)*1.23*1.07</f>
        <v>32808931.724266667</v>
      </c>
      <c r="V175" s="109"/>
      <c r="W175" s="110">
        <v>0</v>
      </c>
      <c r="X175" s="259">
        <v>0</v>
      </c>
      <c r="Y175" s="259">
        <v>0</v>
      </c>
      <c r="Z175" s="259">
        <f>+U175*0.235*0.3</f>
        <v>2313029.6865607998</v>
      </c>
      <c r="AA175" s="226">
        <f>+U175-Z175-AB175</f>
        <v>30495902.037705868</v>
      </c>
      <c r="AB175" s="219"/>
      <c r="AC175" s="219"/>
      <c r="AD175" s="219"/>
      <c r="AE175" s="219"/>
      <c r="AF175" s="219"/>
      <c r="AG175" s="100"/>
      <c r="AH175" s="230"/>
    </row>
    <row r="176" spans="1:34" s="229" customFormat="1" ht="51" hidden="1">
      <c r="A176" s="101">
        <f t="shared" si="9"/>
        <v>68</v>
      </c>
      <c r="B176" s="103" t="s">
        <v>454</v>
      </c>
      <c r="C176" s="104" t="s">
        <v>134</v>
      </c>
      <c r="D176" s="103" t="s">
        <v>455</v>
      </c>
      <c r="E176" s="104" t="s">
        <v>114</v>
      </c>
      <c r="F176" s="103" t="s">
        <v>141</v>
      </c>
      <c r="G176" s="106" t="s">
        <v>286</v>
      </c>
      <c r="H176" s="102" t="s">
        <v>3</v>
      </c>
      <c r="I176" s="103" t="s">
        <v>162</v>
      </c>
      <c r="J176" s="224"/>
      <c r="K176" s="224"/>
      <c r="L176" s="224">
        <f t="shared" si="8"/>
        <v>0</v>
      </c>
      <c r="M176" s="224"/>
      <c r="N176" s="224"/>
      <c r="O176" s="224">
        <f t="shared" si="10"/>
        <v>0</v>
      </c>
      <c r="P176" s="105" t="s">
        <v>122</v>
      </c>
      <c r="Q176" s="103" t="s">
        <v>115</v>
      </c>
      <c r="R176" s="103"/>
      <c r="S176" s="104" t="s">
        <v>138</v>
      </c>
      <c r="T176" s="104"/>
      <c r="U176" s="110">
        <f>+(1823640+1141850+3658606+4298671+16*(1022001/14)+1350000+150000)*1.23*1.07</f>
        <v>17886809.952814288</v>
      </c>
      <c r="V176" s="109"/>
      <c r="W176" s="110">
        <v>0</v>
      </c>
      <c r="X176" s="259">
        <v>0</v>
      </c>
      <c r="Y176" s="259">
        <v>0</v>
      </c>
      <c r="Z176" s="259">
        <v>0</v>
      </c>
      <c r="AA176" s="226">
        <v>0</v>
      </c>
      <c r="AB176" s="219"/>
      <c r="AC176" s="219"/>
      <c r="AD176" s="219"/>
      <c r="AE176" s="219"/>
      <c r="AF176" s="219"/>
      <c r="AG176" s="100"/>
      <c r="AH176" s="230"/>
    </row>
    <row r="177" spans="1:34" s="229" customFormat="1" ht="38.25" hidden="1">
      <c r="A177" s="101">
        <f t="shared" si="9"/>
        <v>69</v>
      </c>
      <c r="B177" s="103" t="s">
        <v>456</v>
      </c>
      <c r="C177" s="104" t="s">
        <v>134</v>
      </c>
      <c r="D177" s="103" t="s">
        <v>457</v>
      </c>
      <c r="E177" s="104" t="s">
        <v>114</v>
      </c>
      <c r="F177" s="103" t="s">
        <v>141</v>
      </c>
      <c r="G177" s="106" t="s">
        <v>286</v>
      </c>
      <c r="H177" s="102" t="s">
        <v>3</v>
      </c>
      <c r="I177" s="103" t="s">
        <v>162</v>
      </c>
      <c r="J177" s="224"/>
      <c r="K177" s="224"/>
      <c r="L177" s="224">
        <f t="shared" si="8"/>
        <v>0</v>
      </c>
      <c r="M177" s="224"/>
      <c r="N177" s="224"/>
      <c r="O177" s="224">
        <f t="shared" si="10"/>
        <v>0</v>
      </c>
      <c r="P177" s="105" t="s">
        <v>122</v>
      </c>
      <c r="Q177" s="103" t="s">
        <v>115</v>
      </c>
      <c r="R177" s="103"/>
      <c r="S177" s="104" t="s">
        <v>138</v>
      </c>
      <c r="T177" s="104"/>
      <c r="U177" s="110">
        <f>+(1823640+21*((1141850+1714473+2097122)/9)+4298671+16*(1022001/14)+1350000+250000)*1.23*1.07</f>
        <v>26912074.061714284</v>
      </c>
      <c r="V177" s="109"/>
      <c r="W177" s="110">
        <v>0</v>
      </c>
      <c r="X177" s="259">
        <v>0</v>
      </c>
      <c r="Y177" s="259">
        <v>0</v>
      </c>
      <c r="Z177" s="259">
        <v>0</v>
      </c>
      <c r="AA177" s="226">
        <f>+U177*0.235*0.3</f>
        <v>1897301.2213508568</v>
      </c>
      <c r="AB177" s="219"/>
      <c r="AC177" s="219"/>
      <c r="AD177" s="219"/>
      <c r="AE177" s="219"/>
      <c r="AF177" s="219"/>
      <c r="AG177" s="100"/>
      <c r="AH177" s="230"/>
    </row>
    <row r="178" spans="1:34" s="229" customFormat="1" ht="114.75" hidden="1">
      <c r="A178" s="101">
        <f t="shared" si="9"/>
        <v>70</v>
      </c>
      <c r="B178" s="103" t="s">
        <v>458</v>
      </c>
      <c r="C178" s="104" t="s">
        <v>134</v>
      </c>
      <c r="D178" s="103" t="s">
        <v>460</v>
      </c>
      <c r="E178" s="104" t="s">
        <v>114</v>
      </c>
      <c r="F178" s="103" t="s">
        <v>141</v>
      </c>
      <c r="G178" s="106" t="s">
        <v>459</v>
      </c>
      <c r="H178" s="102" t="s">
        <v>3</v>
      </c>
      <c r="I178" s="103" t="s">
        <v>162</v>
      </c>
      <c r="J178" s="224"/>
      <c r="K178" s="224"/>
      <c r="L178" s="224">
        <f t="shared" si="8"/>
        <v>0</v>
      </c>
      <c r="M178" s="224"/>
      <c r="N178" s="224"/>
      <c r="O178" s="224">
        <f t="shared" si="10"/>
        <v>0</v>
      </c>
      <c r="P178" s="105" t="s">
        <v>122</v>
      </c>
      <c r="Q178" s="103" t="s">
        <v>115</v>
      </c>
      <c r="R178" s="103"/>
      <c r="S178" s="104" t="s">
        <v>138</v>
      </c>
      <c r="T178" s="104"/>
      <c r="U178" s="110">
        <f>+(1823640+8*((1141850+1714473+2097122)/9)+3658606+1293526+1350713*4+22*(1022001/14)+1350000+300000+350000+600000+929210+750000+150000)*1.23*1.07</f>
        <v>29766099.186223812</v>
      </c>
      <c r="V178" s="109"/>
      <c r="W178" s="110">
        <v>0</v>
      </c>
      <c r="X178" s="259">
        <v>0</v>
      </c>
      <c r="Y178" s="259">
        <v>0</v>
      </c>
      <c r="Z178" s="259">
        <f>+U178*0.235*0.3</f>
        <v>2098509.9926287783</v>
      </c>
      <c r="AA178" s="226">
        <f>+U178-Z178-AB178</f>
        <v>27667589.193595033</v>
      </c>
      <c r="AB178" s="219"/>
      <c r="AC178" s="219"/>
      <c r="AD178" s="219"/>
      <c r="AE178" s="219"/>
      <c r="AF178" s="219"/>
      <c r="AG178" s="100"/>
      <c r="AH178" s="230"/>
    </row>
    <row r="179" spans="1:34" s="229" customFormat="1" ht="140.25" hidden="1">
      <c r="A179" s="101">
        <f t="shared" si="9"/>
        <v>71</v>
      </c>
      <c r="B179" s="103" t="s">
        <v>461</v>
      </c>
      <c r="C179" s="104" t="s">
        <v>134</v>
      </c>
      <c r="D179" s="103" t="s">
        <v>462</v>
      </c>
      <c r="E179" s="104" t="s">
        <v>114</v>
      </c>
      <c r="F179" s="103" t="s">
        <v>141</v>
      </c>
      <c r="G179" s="106" t="s">
        <v>224</v>
      </c>
      <c r="H179" s="102" t="s">
        <v>3</v>
      </c>
      <c r="I179" s="103" t="s">
        <v>162</v>
      </c>
      <c r="J179" s="224"/>
      <c r="K179" s="224"/>
      <c r="L179" s="224">
        <f t="shared" si="8"/>
        <v>0</v>
      </c>
      <c r="M179" s="224"/>
      <c r="N179" s="224"/>
      <c r="O179" s="224">
        <f t="shared" si="10"/>
        <v>0</v>
      </c>
      <c r="P179" s="105" t="s">
        <v>122</v>
      </c>
      <c r="Q179" s="103" t="s">
        <v>115</v>
      </c>
      <c r="R179" s="103"/>
      <c r="S179" s="104" t="s">
        <v>138</v>
      </c>
      <c r="T179" s="104"/>
      <c r="U179" s="110">
        <f>+(1823640+8*((1141850+1714473+2097122)/9)+3658606+1293526+1350713*4+3500000+4298671+12*(1022001/14)+1350000+300000+350000+600000+929210+750000+150000)*1.23*1.07</f>
        <v>39069176.149252385</v>
      </c>
      <c r="V179" s="109"/>
      <c r="W179" s="110">
        <v>0</v>
      </c>
      <c r="X179" s="259">
        <v>0</v>
      </c>
      <c r="Y179" s="259">
        <v>0</v>
      </c>
      <c r="Z179" s="259">
        <f>+U179*0.235*0.3</f>
        <v>2754376.9185222927</v>
      </c>
      <c r="AA179" s="226">
        <f>+U179-Z179-AB179</f>
        <v>36314799.230730094</v>
      </c>
      <c r="AB179" s="219"/>
      <c r="AC179" s="219"/>
      <c r="AD179" s="219"/>
      <c r="AE179" s="219"/>
      <c r="AF179" s="219"/>
      <c r="AG179" s="100"/>
      <c r="AH179" s="230">
        <f>+U179*0.06</f>
        <v>2344150.568955143</v>
      </c>
    </row>
    <row r="180" spans="1:34" s="229" customFormat="1" ht="127.5" hidden="1">
      <c r="A180" s="101">
        <f t="shared" si="9"/>
        <v>72</v>
      </c>
      <c r="B180" s="103" t="s">
        <v>463</v>
      </c>
      <c r="C180" s="104" t="s">
        <v>134</v>
      </c>
      <c r="D180" s="103" t="s">
        <v>465</v>
      </c>
      <c r="E180" s="104" t="s">
        <v>114</v>
      </c>
      <c r="F180" s="103" t="s">
        <v>141</v>
      </c>
      <c r="G180" s="106" t="s">
        <v>464</v>
      </c>
      <c r="H180" s="102" t="s">
        <v>3</v>
      </c>
      <c r="I180" s="103" t="s">
        <v>162</v>
      </c>
      <c r="J180" s="224"/>
      <c r="K180" s="224"/>
      <c r="L180" s="224">
        <f t="shared" si="8"/>
        <v>0</v>
      </c>
      <c r="M180" s="224"/>
      <c r="N180" s="224"/>
      <c r="O180" s="224">
        <f t="shared" si="10"/>
        <v>0</v>
      </c>
      <c r="P180" s="105" t="s">
        <v>122</v>
      </c>
      <c r="Q180" s="103" t="s">
        <v>115</v>
      </c>
      <c r="R180" s="103"/>
      <c r="S180" s="104" t="s">
        <v>138</v>
      </c>
      <c r="T180" s="104"/>
      <c r="U180" s="110">
        <f>+(1823640+9*((1141850+1714473+2097122)/9)+3658606+1293526+1350713*4+3500000+4298671+24*(1022001/14)+1350000+300000+350000+600000+929210+750000+150000)*1.23*1.07</f>
        <v>40946439.651171438</v>
      </c>
      <c r="V180" s="109"/>
      <c r="W180" s="110">
        <v>0</v>
      </c>
      <c r="X180" s="259">
        <v>0</v>
      </c>
      <c r="Y180" s="259">
        <v>0</v>
      </c>
      <c r="Z180" s="259">
        <v>0</v>
      </c>
      <c r="AA180" s="226">
        <v>0</v>
      </c>
      <c r="AB180" s="219"/>
      <c r="AC180" s="219"/>
      <c r="AD180" s="219"/>
      <c r="AE180" s="219"/>
      <c r="AF180" s="219"/>
      <c r="AG180" s="100"/>
      <c r="AH180" s="230"/>
    </row>
    <row r="181" spans="1:34" s="229" customFormat="1" ht="114.75" hidden="1">
      <c r="A181" s="101">
        <f t="shared" si="9"/>
        <v>73</v>
      </c>
      <c r="B181" s="103" t="s">
        <v>466</v>
      </c>
      <c r="C181" s="104" t="s">
        <v>134</v>
      </c>
      <c r="D181" s="103" t="s">
        <v>467</v>
      </c>
      <c r="E181" s="104" t="s">
        <v>114</v>
      </c>
      <c r="F181" s="103" t="s">
        <v>141</v>
      </c>
      <c r="G181" s="106" t="s">
        <v>386</v>
      </c>
      <c r="H181" s="102" t="s">
        <v>3</v>
      </c>
      <c r="I181" s="103" t="s">
        <v>162</v>
      </c>
      <c r="J181" s="224">
        <v>42156</v>
      </c>
      <c r="K181" s="224"/>
      <c r="L181" s="224">
        <f t="shared" si="8"/>
        <v>42156</v>
      </c>
      <c r="M181" s="224">
        <v>42643</v>
      </c>
      <c r="N181" s="224"/>
      <c r="O181" s="224">
        <f t="shared" si="10"/>
        <v>42643</v>
      </c>
      <c r="P181" s="105" t="s">
        <v>122</v>
      </c>
      <c r="Q181" s="103" t="s">
        <v>115</v>
      </c>
      <c r="R181" s="103"/>
      <c r="S181" s="104" t="s">
        <v>143</v>
      </c>
      <c r="T181" s="104"/>
      <c r="U181" s="110">
        <f>+(1823640+15*((1141850+1714473+2097122)/9)+3658606+1293526+1350713+4298671+22*(1022001/14)+929210+300000+600000+900000+150000)*1.23*1.07</f>
        <v>33121116.368257139</v>
      </c>
      <c r="V181" s="109"/>
      <c r="W181" s="110">
        <v>0</v>
      </c>
      <c r="X181" s="259">
        <f>+U181*0.235*0.3</f>
        <v>2335038.7039621281</v>
      </c>
      <c r="Y181" s="260">
        <f>+U181-X181-Z181</f>
        <v>28798810.682199582</v>
      </c>
      <c r="Z181" s="259">
        <f>+U181*0.06</f>
        <v>1987266.9820954283</v>
      </c>
      <c r="AA181" s="226">
        <v>0</v>
      </c>
      <c r="AB181" s="219"/>
      <c r="AC181" s="219"/>
      <c r="AD181" s="219"/>
      <c r="AE181" s="219"/>
      <c r="AF181" s="219"/>
      <c r="AG181" s="100"/>
      <c r="AH181" s="230"/>
    </row>
    <row r="182" spans="1:34" s="229" customFormat="1" ht="102" hidden="1">
      <c r="A182" s="101">
        <f t="shared" si="9"/>
        <v>74</v>
      </c>
      <c r="B182" s="103" t="s">
        <v>468</v>
      </c>
      <c r="C182" s="104" t="s">
        <v>140</v>
      </c>
      <c r="D182" s="103" t="s">
        <v>469</v>
      </c>
      <c r="E182" s="104" t="s">
        <v>114</v>
      </c>
      <c r="F182" s="103" t="s">
        <v>141</v>
      </c>
      <c r="G182" s="106" t="s">
        <v>145</v>
      </c>
      <c r="H182" s="102" t="s">
        <v>3</v>
      </c>
      <c r="I182" s="103" t="s">
        <v>173</v>
      </c>
      <c r="J182" s="224">
        <v>41365</v>
      </c>
      <c r="K182" s="224"/>
      <c r="L182" s="224">
        <f t="shared" si="8"/>
        <v>41365</v>
      </c>
      <c r="M182" s="224">
        <v>41521</v>
      </c>
      <c r="N182" s="224"/>
      <c r="O182" s="224">
        <f t="shared" si="10"/>
        <v>41521</v>
      </c>
      <c r="P182" s="105" t="s">
        <v>122</v>
      </c>
      <c r="Q182" s="103" t="s">
        <v>123</v>
      </c>
      <c r="R182" s="103"/>
      <c r="S182" s="104" t="s">
        <v>143</v>
      </c>
      <c r="T182" s="104"/>
      <c r="U182" s="110">
        <f>+(15*((1141850+1714473+2097122)/9)+1293526+1247367+1350713+4298671+22*(1022001/14)+929210+900000+150000+10*210000+450000+250000)*1.23*1.07</f>
        <v>30048182.116357144</v>
      </c>
      <c r="V182" s="109"/>
      <c r="W182" s="110">
        <v>0</v>
      </c>
      <c r="X182" s="259">
        <v>950000</v>
      </c>
      <c r="Y182" s="260">
        <f>+U182-X182-Z182</f>
        <v>27295291.189375713</v>
      </c>
      <c r="Z182" s="259">
        <f>+U182*0.06</f>
        <v>1802890.9269814286</v>
      </c>
      <c r="AA182" s="226">
        <v>0</v>
      </c>
      <c r="AB182" s="219"/>
      <c r="AC182" s="219"/>
      <c r="AD182" s="219"/>
      <c r="AE182" s="219"/>
      <c r="AF182" s="219"/>
      <c r="AG182" s="100"/>
      <c r="AH182" s="230"/>
    </row>
    <row r="183" spans="1:34" s="229" customFormat="1" ht="114.75" hidden="1">
      <c r="A183" s="101">
        <f t="shared" si="9"/>
        <v>75</v>
      </c>
      <c r="B183" s="103" t="s">
        <v>470</v>
      </c>
      <c r="C183" s="104" t="s">
        <v>134</v>
      </c>
      <c r="D183" s="103" t="s">
        <v>471</v>
      </c>
      <c r="E183" s="104" t="s">
        <v>114</v>
      </c>
      <c r="F183" s="103" t="s">
        <v>141</v>
      </c>
      <c r="G183" s="106" t="s">
        <v>393</v>
      </c>
      <c r="H183" s="102" t="s">
        <v>3</v>
      </c>
      <c r="I183" s="103" t="s">
        <v>278</v>
      </c>
      <c r="J183" s="224">
        <v>42644</v>
      </c>
      <c r="K183" s="224"/>
      <c r="L183" s="224">
        <f t="shared" si="8"/>
        <v>42644</v>
      </c>
      <c r="M183" s="224">
        <v>43008</v>
      </c>
      <c r="N183" s="224"/>
      <c r="O183" s="224">
        <f t="shared" si="10"/>
        <v>43008</v>
      </c>
      <c r="P183" s="105" t="s">
        <v>122</v>
      </c>
      <c r="Q183" s="103" t="s">
        <v>251</v>
      </c>
      <c r="R183" s="103"/>
      <c r="S183" s="104" t="s">
        <v>138</v>
      </c>
      <c r="T183" s="104"/>
      <c r="U183" s="110">
        <f>+(1823640+15*((1141850+1714473+2097122)/9)+3658606+1293526+1247367+1350713*4+4298671+26*(1022001/14)+1350000+929210+300000+750000+150000)*1.23*0.3</f>
        <v>11570960.128285713</v>
      </c>
      <c r="V183" s="109"/>
      <c r="W183" s="110">
        <v>0</v>
      </c>
      <c r="X183" s="259">
        <v>0</v>
      </c>
      <c r="Y183" s="259">
        <f>+U183*0.45</f>
        <v>5206932.0577285709</v>
      </c>
      <c r="Z183" s="260">
        <f>+U183-Y183</f>
        <v>6364028.0705571426</v>
      </c>
      <c r="AA183" s="226">
        <f>+U183*0.01</f>
        <v>115709.60128285714</v>
      </c>
      <c r="AB183" s="219"/>
      <c r="AC183" s="219"/>
      <c r="AD183" s="219"/>
      <c r="AE183" s="219"/>
      <c r="AF183" s="219"/>
      <c r="AG183" s="100"/>
      <c r="AH183" s="230"/>
    </row>
    <row r="184" spans="1:34" s="229" customFormat="1" ht="102" hidden="1">
      <c r="A184" s="101">
        <f t="shared" si="9"/>
        <v>76</v>
      </c>
      <c r="B184" s="103" t="s">
        <v>472</v>
      </c>
      <c r="C184" s="104" t="s">
        <v>473</v>
      </c>
      <c r="D184" s="103" t="s">
        <v>475</v>
      </c>
      <c r="E184" s="104" t="s">
        <v>114</v>
      </c>
      <c r="F184" s="103" t="s">
        <v>141</v>
      </c>
      <c r="G184" s="106" t="s">
        <v>474</v>
      </c>
      <c r="H184" s="102" t="s">
        <v>3</v>
      </c>
      <c r="I184" s="103" t="s">
        <v>278</v>
      </c>
      <c r="J184" s="224"/>
      <c r="K184" s="224"/>
      <c r="L184" s="224">
        <f t="shared" si="8"/>
        <v>0</v>
      </c>
      <c r="M184" s="224"/>
      <c r="N184" s="224"/>
      <c r="O184" s="224">
        <f t="shared" si="10"/>
        <v>0</v>
      </c>
      <c r="P184" s="105" t="s">
        <v>122</v>
      </c>
      <c r="Q184" s="103" t="s">
        <v>251</v>
      </c>
      <c r="R184" s="103"/>
      <c r="S184" s="104" t="s">
        <v>138</v>
      </c>
      <c r="T184" s="104"/>
      <c r="U184" s="110">
        <f>+(1823640+13*((1141850+1714473+2097122)/9)+1293526+1247367+1350713*4+4298671+20*(1022001/14)+929210+300000+750000+150000)*1.23*0.3</f>
        <v>9154979.866142856</v>
      </c>
      <c r="V184" s="109"/>
      <c r="W184" s="110">
        <v>0</v>
      </c>
      <c r="X184" s="259">
        <v>0</v>
      </c>
      <c r="Y184" s="259">
        <v>0</v>
      </c>
      <c r="Z184" s="259">
        <v>0</v>
      </c>
      <c r="AA184" s="226">
        <v>0</v>
      </c>
      <c r="AB184" s="219"/>
      <c r="AC184" s="219"/>
      <c r="AD184" s="219"/>
      <c r="AE184" s="219"/>
      <c r="AF184" s="219"/>
      <c r="AG184" s="100"/>
      <c r="AH184" s="230"/>
    </row>
    <row r="185" spans="1:34" s="229" customFormat="1" ht="38.25" hidden="1">
      <c r="A185" s="101">
        <f t="shared" si="9"/>
        <v>77</v>
      </c>
      <c r="B185" s="103" t="s">
        <v>476</v>
      </c>
      <c r="C185" s="104" t="s">
        <v>140</v>
      </c>
      <c r="D185" s="103" t="s">
        <v>478</v>
      </c>
      <c r="E185" s="104" t="s">
        <v>114</v>
      </c>
      <c r="F185" s="103" t="s">
        <v>141</v>
      </c>
      <c r="G185" s="106" t="s">
        <v>477</v>
      </c>
      <c r="H185" s="102" t="s">
        <v>3</v>
      </c>
      <c r="I185" s="103" t="s">
        <v>278</v>
      </c>
      <c r="J185" s="224"/>
      <c r="K185" s="224"/>
      <c r="L185" s="224">
        <f t="shared" si="8"/>
        <v>0</v>
      </c>
      <c r="M185" s="224"/>
      <c r="N185" s="224"/>
      <c r="O185" s="224">
        <f t="shared" si="10"/>
        <v>0</v>
      </c>
      <c r="P185" s="105" t="s">
        <v>122</v>
      </c>
      <c r="Q185" s="103" t="s">
        <v>251</v>
      </c>
      <c r="R185" s="103"/>
      <c r="S185" s="104" t="s">
        <v>138</v>
      </c>
      <c r="T185" s="104"/>
      <c r="U185" s="110">
        <f>+(4*190000+450000+270000*2+1350000+240000)*1.23</f>
        <v>4108200</v>
      </c>
      <c r="V185" s="109"/>
      <c r="W185" s="110"/>
      <c r="X185" s="259"/>
      <c r="Y185" s="260"/>
      <c r="Z185" s="259">
        <f>+U185*0.235*0.3</f>
        <v>289628.09999999998</v>
      </c>
      <c r="AA185" s="226">
        <f>+U185-Z185</f>
        <v>3818571.9</v>
      </c>
      <c r="AB185" s="219"/>
      <c r="AC185" s="219"/>
      <c r="AD185" s="219"/>
      <c r="AE185" s="219"/>
      <c r="AF185" s="219"/>
      <c r="AG185" s="100"/>
      <c r="AH185" s="230"/>
    </row>
    <row r="186" spans="1:34" s="229" customFormat="1" ht="38.25" hidden="1">
      <c r="A186" s="101">
        <f t="shared" si="9"/>
        <v>78</v>
      </c>
      <c r="B186" s="103" t="s">
        <v>479</v>
      </c>
      <c r="C186" s="104" t="s">
        <v>134</v>
      </c>
      <c r="D186" s="103" t="s">
        <v>478</v>
      </c>
      <c r="E186" s="104" t="s">
        <v>114</v>
      </c>
      <c r="F186" s="103" t="s">
        <v>141</v>
      </c>
      <c r="G186" s="106" t="s">
        <v>477</v>
      </c>
      <c r="H186" s="102" t="s">
        <v>3</v>
      </c>
      <c r="I186" s="103" t="s">
        <v>278</v>
      </c>
      <c r="J186" s="224"/>
      <c r="K186" s="224"/>
      <c r="L186" s="224">
        <f t="shared" si="8"/>
        <v>0</v>
      </c>
      <c r="M186" s="224"/>
      <c r="N186" s="224"/>
      <c r="O186" s="224">
        <f t="shared" si="10"/>
        <v>0</v>
      </c>
      <c r="P186" s="105" t="s">
        <v>122</v>
      </c>
      <c r="Q186" s="103" t="s">
        <v>251</v>
      </c>
      <c r="R186" s="103"/>
      <c r="S186" s="104" t="s">
        <v>138</v>
      </c>
      <c r="T186" s="104"/>
      <c r="U186" s="110">
        <f>+(4*190000+450000+270000*2+1350000+240000)*1.23</f>
        <v>4108200</v>
      </c>
      <c r="V186" s="109"/>
      <c r="W186" s="110">
        <v>0</v>
      </c>
      <c r="X186" s="259">
        <v>0</v>
      </c>
      <c r="Y186" s="259">
        <v>0</v>
      </c>
      <c r="Z186" s="259">
        <f>+U186</f>
        <v>4108200</v>
      </c>
      <c r="AA186" s="226">
        <v>0</v>
      </c>
      <c r="AB186" s="219"/>
      <c r="AC186" s="219"/>
      <c r="AD186" s="219"/>
      <c r="AE186" s="219"/>
      <c r="AF186" s="219"/>
      <c r="AG186" s="100"/>
      <c r="AH186" s="230"/>
    </row>
    <row r="187" spans="1:34" s="229" customFormat="1" ht="38.25" hidden="1">
      <c r="A187" s="101">
        <f t="shared" si="9"/>
        <v>79</v>
      </c>
      <c r="B187" s="103" t="s">
        <v>480</v>
      </c>
      <c r="C187" s="104" t="s">
        <v>134</v>
      </c>
      <c r="D187" s="103" t="s">
        <v>481</v>
      </c>
      <c r="E187" s="104" t="s">
        <v>114</v>
      </c>
      <c r="F187" s="103" t="s">
        <v>141</v>
      </c>
      <c r="G187" s="106" t="s">
        <v>477</v>
      </c>
      <c r="H187" s="102" t="s">
        <v>3</v>
      </c>
      <c r="I187" s="103" t="s">
        <v>278</v>
      </c>
      <c r="J187" s="224"/>
      <c r="K187" s="224"/>
      <c r="L187" s="224">
        <f t="shared" si="8"/>
        <v>0</v>
      </c>
      <c r="M187" s="224"/>
      <c r="N187" s="224"/>
      <c r="O187" s="224">
        <f t="shared" si="10"/>
        <v>0</v>
      </c>
      <c r="P187" s="105" t="s">
        <v>122</v>
      </c>
      <c r="Q187" s="103" t="s">
        <v>251</v>
      </c>
      <c r="R187" s="103"/>
      <c r="S187" s="104" t="s">
        <v>138</v>
      </c>
      <c r="T187" s="104"/>
      <c r="U187" s="110">
        <f>+(9*190000+300000)*1.23</f>
        <v>2472300</v>
      </c>
      <c r="V187" s="109"/>
      <c r="W187" s="110">
        <v>0</v>
      </c>
      <c r="X187" s="259">
        <v>0</v>
      </c>
      <c r="Y187" s="259">
        <v>0</v>
      </c>
      <c r="Z187" s="259">
        <v>0</v>
      </c>
      <c r="AA187" s="226">
        <v>0</v>
      </c>
      <c r="AB187" s="219"/>
      <c r="AC187" s="219"/>
      <c r="AD187" s="219"/>
      <c r="AE187" s="219"/>
      <c r="AF187" s="219"/>
      <c r="AG187" s="100"/>
      <c r="AH187" s="230"/>
    </row>
    <row r="188" spans="1:34" s="229" customFormat="1" ht="38.25" hidden="1">
      <c r="A188" s="101">
        <f t="shared" si="9"/>
        <v>80</v>
      </c>
      <c r="B188" s="103" t="s">
        <v>420</v>
      </c>
      <c r="C188" s="104" t="s">
        <v>140</v>
      </c>
      <c r="D188" s="103" t="s">
        <v>482</v>
      </c>
      <c r="E188" s="104" t="s">
        <v>114</v>
      </c>
      <c r="F188" s="103" t="s">
        <v>141</v>
      </c>
      <c r="G188" s="106" t="s">
        <v>420</v>
      </c>
      <c r="H188" s="102" t="s">
        <v>3</v>
      </c>
      <c r="I188" s="103" t="s">
        <v>278</v>
      </c>
      <c r="J188" s="224"/>
      <c r="K188" s="224"/>
      <c r="L188" s="224">
        <f t="shared" si="8"/>
        <v>0</v>
      </c>
      <c r="M188" s="224"/>
      <c r="N188" s="224"/>
      <c r="O188" s="224">
        <f t="shared" si="10"/>
        <v>0</v>
      </c>
      <c r="P188" s="105" t="s">
        <v>122</v>
      </c>
      <c r="Q188" s="103" t="s">
        <v>251</v>
      </c>
      <c r="R188" s="103"/>
      <c r="S188" s="104" t="s">
        <v>138</v>
      </c>
      <c r="T188" s="104"/>
      <c r="U188" s="110">
        <f>+(26*190000+450000+180000)*1.23</f>
        <v>6851100</v>
      </c>
      <c r="V188" s="109"/>
      <c r="W188" s="110">
        <v>0</v>
      </c>
      <c r="X188" s="259">
        <v>0</v>
      </c>
      <c r="Y188" s="259">
        <v>0</v>
      </c>
      <c r="Z188" s="259">
        <v>0</v>
      </c>
      <c r="AA188" s="226">
        <f>+U188*0.235*0.3</f>
        <v>483002.55</v>
      </c>
      <c r="AB188" s="219"/>
      <c r="AC188" s="219"/>
      <c r="AD188" s="219"/>
      <c r="AE188" s="219"/>
      <c r="AF188" s="219"/>
      <c r="AG188" s="100"/>
      <c r="AH188" s="230"/>
    </row>
    <row r="189" spans="1:34" s="229" customFormat="1" ht="38.25" hidden="1">
      <c r="A189" s="101">
        <f t="shared" si="9"/>
        <v>81</v>
      </c>
      <c r="B189" s="103" t="s">
        <v>422</v>
      </c>
      <c r="C189" s="104" t="s">
        <v>134</v>
      </c>
      <c r="D189" s="103" t="s">
        <v>483</v>
      </c>
      <c r="E189" s="104" t="s">
        <v>114</v>
      </c>
      <c r="F189" s="103" t="s">
        <v>141</v>
      </c>
      <c r="G189" s="106" t="s">
        <v>420</v>
      </c>
      <c r="H189" s="102" t="s">
        <v>3</v>
      </c>
      <c r="I189" s="103" t="s">
        <v>278</v>
      </c>
      <c r="J189" s="224"/>
      <c r="K189" s="224"/>
      <c r="L189" s="224">
        <f t="shared" si="8"/>
        <v>0</v>
      </c>
      <c r="M189" s="224"/>
      <c r="N189" s="224"/>
      <c r="O189" s="224">
        <f t="shared" si="10"/>
        <v>0</v>
      </c>
      <c r="P189" s="105" t="s">
        <v>122</v>
      </c>
      <c r="Q189" s="103" t="s">
        <v>251</v>
      </c>
      <c r="R189" s="103"/>
      <c r="S189" s="104" t="s">
        <v>138</v>
      </c>
      <c r="T189" s="104"/>
      <c r="U189" s="110">
        <f>+(4*210000+180000)*1.23</f>
        <v>1254600</v>
      </c>
      <c r="V189" s="109"/>
      <c r="W189" s="110">
        <v>0</v>
      </c>
      <c r="X189" s="259">
        <v>0</v>
      </c>
      <c r="Y189" s="260">
        <f>+U189</f>
        <v>1254600</v>
      </c>
      <c r="Z189" s="259">
        <v>0</v>
      </c>
      <c r="AA189" s="226">
        <v>0</v>
      </c>
      <c r="AB189" s="219"/>
      <c r="AC189" s="219"/>
      <c r="AD189" s="219"/>
      <c r="AE189" s="219"/>
      <c r="AF189" s="219"/>
      <c r="AG189" s="100"/>
      <c r="AH189" s="230"/>
    </row>
    <row r="190" spans="1:34" s="229" customFormat="1" ht="38.25" hidden="1">
      <c r="A190" s="101">
        <f t="shared" si="9"/>
        <v>82</v>
      </c>
      <c r="B190" s="103" t="s">
        <v>484</v>
      </c>
      <c r="C190" s="104" t="s">
        <v>134</v>
      </c>
      <c r="D190" s="103" t="s">
        <v>485</v>
      </c>
      <c r="E190" s="104" t="s">
        <v>114</v>
      </c>
      <c r="F190" s="103" t="s">
        <v>141</v>
      </c>
      <c r="G190" s="106" t="s">
        <v>420</v>
      </c>
      <c r="H190" s="102" t="s">
        <v>3</v>
      </c>
      <c r="I190" s="103" t="s">
        <v>278</v>
      </c>
      <c r="J190" s="224">
        <v>42644</v>
      </c>
      <c r="K190" s="224"/>
      <c r="L190" s="224">
        <f t="shared" si="8"/>
        <v>42644</v>
      </c>
      <c r="M190" s="224">
        <v>43008</v>
      </c>
      <c r="N190" s="224"/>
      <c r="O190" s="224">
        <f t="shared" si="10"/>
        <v>43008</v>
      </c>
      <c r="P190" s="105" t="s">
        <v>122</v>
      </c>
      <c r="Q190" s="103" t="s">
        <v>251</v>
      </c>
      <c r="R190" s="103"/>
      <c r="S190" s="104" t="s">
        <v>138</v>
      </c>
      <c r="T190" s="104"/>
      <c r="U190" s="110">
        <f>+(26*190000+450000+180000)*1.23</f>
        <v>6851100</v>
      </c>
      <c r="V190" s="109"/>
      <c r="W190" s="110">
        <v>0</v>
      </c>
      <c r="X190" s="259">
        <v>0</v>
      </c>
      <c r="Y190" s="259">
        <f>+U190*0.45</f>
        <v>3082995</v>
      </c>
      <c r="Z190" s="260">
        <f>+U190-Y190</f>
        <v>3768105</v>
      </c>
      <c r="AA190" s="226">
        <f>+U190*0.01</f>
        <v>68511</v>
      </c>
      <c r="AB190" s="219"/>
      <c r="AC190" s="219"/>
      <c r="AD190" s="219"/>
      <c r="AE190" s="219"/>
      <c r="AF190" s="219"/>
      <c r="AG190" s="100"/>
      <c r="AH190" s="230"/>
    </row>
    <row r="191" spans="1:34" s="229" customFormat="1" ht="38.25" hidden="1">
      <c r="A191" s="101">
        <f t="shared" si="9"/>
        <v>83</v>
      </c>
      <c r="B191" s="103" t="s">
        <v>486</v>
      </c>
      <c r="C191" s="104" t="s">
        <v>134</v>
      </c>
      <c r="D191" s="103" t="s">
        <v>487</v>
      </c>
      <c r="E191" s="104" t="s">
        <v>114</v>
      </c>
      <c r="F191" s="103" t="s">
        <v>141</v>
      </c>
      <c r="G191" s="106" t="s">
        <v>420</v>
      </c>
      <c r="H191" s="102" t="s">
        <v>3</v>
      </c>
      <c r="I191" s="103" t="s">
        <v>278</v>
      </c>
      <c r="J191" s="224"/>
      <c r="K191" s="224"/>
      <c r="L191" s="224">
        <f t="shared" si="8"/>
        <v>0</v>
      </c>
      <c r="M191" s="224"/>
      <c r="N191" s="224"/>
      <c r="O191" s="224">
        <f t="shared" si="10"/>
        <v>0</v>
      </c>
      <c r="P191" s="105" t="s">
        <v>122</v>
      </c>
      <c r="Q191" s="103" t="s">
        <v>251</v>
      </c>
      <c r="R191" s="103"/>
      <c r="S191" s="104" t="s">
        <v>138</v>
      </c>
      <c r="T191" s="104"/>
      <c r="U191" s="110">
        <f>+(15*190000+450000+270000)*1.23</f>
        <v>4391100</v>
      </c>
      <c r="V191" s="109"/>
      <c r="W191" s="110">
        <v>0</v>
      </c>
      <c r="X191" s="259">
        <v>0</v>
      </c>
      <c r="Y191" s="259">
        <v>0</v>
      </c>
      <c r="Z191" s="259">
        <f>+U191*0.235*0.3</f>
        <v>309572.54999999993</v>
      </c>
      <c r="AA191" s="226">
        <f>+U191-Z191</f>
        <v>4081527.45</v>
      </c>
      <c r="AB191" s="219"/>
      <c r="AC191" s="219"/>
      <c r="AD191" s="219"/>
      <c r="AE191" s="219"/>
      <c r="AF191" s="219"/>
      <c r="AG191" s="100"/>
      <c r="AH191" s="230"/>
    </row>
    <row r="192" spans="1:34" s="229" customFormat="1" ht="38.25" hidden="1">
      <c r="A192" s="101">
        <f t="shared" si="9"/>
        <v>84</v>
      </c>
      <c r="B192" s="103" t="s">
        <v>488</v>
      </c>
      <c r="C192" s="104" t="s">
        <v>134</v>
      </c>
      <c r="D192" s="103" t="s">
        <v>489</v>
      </c>
      <c r="E192" s="104" t="s">
        <v>114</v>
      </c>
      <c r="F192" s="103" t="s">
        <v>141</v>
      </c>
      <c r="G192" s="106" t="s">
        <v>420</v>
      </c>
      <c r="H192" s="102" t="s">
        <v>3</v>
      </c>
      <c r="I192" s="103" t="s">
        <v>278</v>
      </c>
      <c r="J192" s="224">
        <v>42644</v>
      </c>
      <c r="K192" s="224"/>
      <c r="L192" s="224">
        <f t="shared" ref="L192:L255" si="11">J192+(K192*31)</f>
        <v>42644</v>
      </c>
      <c r="M192" s="224">
        <v>43008</v>
      </c>
      <c r="N192" s="224"/>
      <c r="O192" s="224">
        <f t="shared" si="10"/>
        <v>43008</v>
      </c>
      <c r="P192" s="105" t="s">
        <v>122</v>
      </c>
      <c r="Q192" s="103" t="s">
        <v>251</v>
      </c>
      <c r="R192" s="103"/>
      <c r="S192" s="104" t="s">
        <v>138</v>
      </c>
      <c r="T192" s="104"/>
      <c r="U192" s="110">
        <f>+(18*190000+450000)*1.23</f>
        <v>4760100</v>
      </c>
      <c r="V192" s="109"/>
      <c r="W192" s="110">
        <v>0</v>
      </c>
      <c r="X192" s="259">
        <v>0</v>
      </c>
      <c r="Y192" s="259">
        <f>+U192*0.45</f>
        <v>2142045</v>
      </c>
      <c r="Z192" s="260">
        <f>+U192-Y192</f>
        <v>2618055</v>
      </c>
      <c r="AA192" s="226">
        <f>+U192*0.01</f>
        <v>47601</v>
      </c>
      <c r="AB192" s="219"/>
      <c r="AC192" s="219"/>
      <c r="AD192" s="219"/>
      <c r="AE192" s="219"/>
      <c r="AF192" s="219"/>
      <c r="AG192" s="100"/>
      <c r="AH192" s="230"/>
    </row>
    <row r="193" spans="1:34" s="229" customFormat="1" ht="38.25" hidden="1">
      <c r="A193" s="101">
        <f t="shared" si="9"/>
        <v>85</v>
      </c>
      <c r="B193" s="103" t="s">
        <v>490</v>
      </c>
      <c r="C193" s="104" t="s">
        <v>134</v>
      </c>
      <c r="D193" s="103" t="s">
        <v>491</v>
      </c>
      <c r="E193" s="104" t="s">
        <v>114</v>
      </c>
      <c r="F193" s="103" t="s">
        <v>141</v>
      </c>
      <c r="G193" s="106" t="s">
        <v>350</v>
      </c>
      <c r="H193" s="102" t="s">
        <v>3</v>
      </c>
      <c r="I193" s="103" t="s">
        <v>278</v>
      </c>
      <c r="J193" s="224"/>
      <c r="K193" s="224"/>
      <c r="L193" s="224">
        <f t="shared" si="11"/>
        <v>0</v>
      </c>
      <c r="M193" s="224"/>
      <c r="N193" s="224"/>
      <c r="O193" s="224">
        <f t="shared" si="10"/>
        <v>0</v>
      </c>
      <c r="P193" s="105" t="s">
        <v>122</v>
      </c>
      <c r="Q193" s="103" t="s">
        <v>251</v>
      </c>
      <c r="R193" s="103"/>
      <c r="S193" s="104" t="s">
        <v>138</v>
      </c>
      <c r="T193" s="104"/>
      <c r="U193" s="110">
        <f>+(10*190000+450000+180000+250000)*1.23</f>
        <v>3419400</v>
      </c>
      <c r="V193" s="109"/>
      <c r="W193" s="110">
        <v>0</v>
      </c>
      <c r="X193" s="259">
        <v>0</v>
      </c>
      <c r="Y193" s="259">
        <v>0</v>
      </c>
      <c r="Z193" s="259">
        <v>0</v>
      </c>
      <c r="AA193" s="226">
        <f>+U193*0.235*0.3</f>
        <v>241067.69999999998</v>
      </c>
      <c r="AB193" s="219"/>
      <c r="AC193" s="219"/>
      <c r="AD193" s="219"/>
      <c r="AE193" s="219"/>
      <c r="AF193" s="219"/>
      <c r="AG193" s="100"/>
      <c r="AH193" s="230"/>
    </row>
    <row r="194" spans="1:34" s="229" customFormat="1" ht="51" hidden="1">
      <c r="A194" s="101">
        <f t="shared" si="9"/>
        <v>86</v>
      </c>
      <c r="B194" s="103" t="s">
        <v>492</v>
      </c>
      <c r="C194" s="104" t="s">
        <v>134</v>
      </c>
      <c r="D194" s="103" t="s">
        <v>493</v>
      </c>
      <c r="E194" s="104" t="s">
        <v>114</v>
      </c>
      <c r="F194" s="103" t="s">
        <v>141</v>
      </c>
      <c r="G194" s="106" t="s">
        <v>350</v>
      </c>
      <c r="H194" s="102" t="s">
        <v>3</v>
      </c>
      <c r="I194" s="103" t="s">
        <v>278</v>
      </c>
      <c r="J194" s="224">
        <v>42644</v>
      </c>
      <c r="K194" s="224"/>
      <c r="L194" s="224">
        <f t="shared" si="11"/>
        <v>42644</v>
      </c>
      <c r="M194" s="224">
        <v>43008</v>
      </c>
      <c r="N194" s="224"/>
      <c r="O194" s="224">
        <f t="shared" si="10"/>
        <v>43008</v>
      </c>
      <c r="P194" s="105" t="s">
        <v>122</v>
      </c>
      <c r="Q194" s="103" t="s">
        <v>251</v>
      </c>
      <c r="R194" s="103"/>
      <c r="S194" s="104" t="s">
        <v>138</v>
      </c>
      <c r="T194" s="104"/>
      <c r="U194" s="110">
        <f>+(21*190000+450000+270000+110000+1350000+150000)*1.23</f>
        <v>7773600</v>
      </c>
      <c r="V194" s="109"/>
      <c r="W194" s="110">
        <v>0</v>
      </c>
      <c r="X194" s="259">
        <v>0</v>
      </c>
      <c r="Y194" s="259">
        <f>+U194*0.45</f>
        <v>3498120</v>
      </c>
      <c r="Z194" s="260">
        <f>+U194-Y194</f>
        <v>4275480</v>
      </c>
      <c r="AA194" s="226">
        <f>+U194*0.01</f>
        <v>77736</v>
      </c>
      <c r="AB194" s="219"/>
      <c r="AC194" s="219"/>
      <c r="AD194" s="219"/>
      <c r="AE194" s="219"/>
      <c r="AF194" s="219"/>
      <c r="AG194" s="100"/>
      <c r="AH194" s="230"/>
    </row>
    <row r="195" spans="1:34" s="229" customFormat="1" ht="38.25" hidden="1">
      <c r="A195" s="101">
        <f t="shared" si="9"/>
        <v>87</v>
      </c>
      <c r="B195" s="103" t="s">
        <v>494</v>
      </c>
      <c r="C195" s="104" t="s">
        <v>134</v>
      </c>
      <c r="D195" s="103" t="s">
        <v>495</v>
      </c>
      <c r="E195" s="104" t="s">
        <v>114</v>
      </c>
      <c r="F195" s="103" t="s">
        <v>141</v>
      </c>
      <c r="G195" s="106" t="s">
        <v>350</v>
      </c>
      <c r="H195" s="102" t="s">
        <v>3</v>
      </c>
      <c r="I195" s="103" t="s">
        <v>278</v>
      </c>
      <c r="J195" s="224">
        <v>42644</v>
      </c>
      <c r="K195" s="224"/>
      <c r="L195" s="224">
        <f t="shared" si="11"/>
        <v>42644</v>
      </c>
      <c r="M195" s="224">
        <v>43008</v>
      </c>
      <c r="N195" s="224"/>
      <c r="O195" s="224">
        <f t="shared" si="10"/>
        <v>43008</v>
      </c>
      <c r="P195" s="105" t="s">
        <v>122</v>
      </c>
      <c r="Q195" s="103" t="s">
        <v>251</v>
      </c>
      <c r="R195" s="103"/>
      <c r="S195" s="104" t="s">
        <v>138</v>
      </c>
      <c r="T195" s="104"/>
      <c r="U195" s="110">
        <f>+(21*190000+450000+270000+100000)*1.23</f>
        <v>5916300</v>
      </c>
      <c r="V195" s="109"/>
      <c r="W195" s="110">
        <v>0</v>
      </c>
      <c r="X195" s="259">
        <v>0</v>
      </c>
      <c r="Y195" s="259">
        <f>+U195*0.45</f>
        <v>2662335</v>
      </c>
      <c r="Z195" s="260">
        <f>+U195-Y195</f>
        <v>3253965</v>
      </c>
      <c r="AA195" s="226">
        <f>+U195*0.01</f>
        <v>59163</v>
      </c>
      <c r="AB195" s="219"/>
      <c r="AC195" s="219"/>
      <c r="AD195" s="219"/>
      <c r="AE195" s="219"/>
      <c r="AF195" s="219"/>
      <c r="AG195" s="100"/>
      <c r="AH195" s="230"/>
    </row>
    <row r="196" spans="1:34" s="229" customFormat="1" ht="51" hidden="1">
      <c r="A196" s="101">
        <v>45</v>
      </c>
      <c r="B196" s="103" t="s">
        <v>496</v>
      </c>
      <c r="C196" s="104" t="s">
        <v>140</v>
      </c>
      <c r="D196" s="103" t="s">
        <v>497</v>
      </c>
      <c r="E196" s="104" t="s">
        <v>114</v>
      </c>
      <c r="F196" s="103" t="s">
        <v>141</v>
      </c>
      <c r="G196" s="106" t="s">
        <v>350</v>
      </c>
      <c r="H196" s="102" t="s">
        <v>3</v>
      </c>
      <c r="I196" s="103" t="s">
        <v>278</v>
      </c>
      <c r="J196" s="224">
        <v>42156</v>
      </c>
      <c r="K196" s="224"/>
      <c r="L196" s="224">
        <f t="shared" si="11"/>
        <v>42156</v>
      </c>
      <c r="M196" s="224">
        <v>42308</v>
      </c>
      <c r="N196" s="224"/>
      <c r="O196" s="224">
        <f t="shared" si="10"/>
        <v>42308</v>
      </c>
      <c r="P196" s="105" t="s">
        <v>122</v>
      </c>
      <c r="Q196" s="103" t="s">
        <v>251</v>
      </c>
      <c r="R196" s="103"/>
      <c r="S196" s="104" t="s">
        <v>143</v>
      </c>
      <c r="T196" s="104"/>
      <c r="U196" s="110">
        <f>+(24*190000+16*10000+1350000+600000+350000+150000)*1.23</f>
        <v>8819100</v>
      </c>
      <c r="V196" s="109"/>
      <c r="W196" s="110">
        <v>0</v>
      </c>
      <c r="X196" s="259">
        <f>+U196</f>
        <v>8819100</v>
      </c>
      <c r="Y196" s="259">
        <v>0</v>
      </c>
      <c r="Z196" s="259">
        <v>0</v>
      </c>
      <c r="AA196" s="226">
        <v>0</v>
      </c>
      <c r="AB196" s="219"/>
      <c r="AC196" s="219"/>
      <c r="AD196" s="219"/>
      <c r="AE196" s="219"/>
      <c r="AF196" s="219"/>
      <c r="AG196" s="100"/>
      <c r="AH196" s="230"/>
    </row>
    <row r="197" spans="1:34" s="229" customFormat="1" ht="51" hidden="1">
      <c r="A197" s="101">
        <f t="shared" si="9"/>
        <v>46</v>
      </c>
      <c r="B197" s="103" t="s">
        <v>498</v>
      </c>
      <c r="C197" s="104" t="s">
        <v>134</v>
      </c>
      <c r="D197" s="103" t="s">
        <v>499</v>
      </c>
      <c r="E197" s="104" t="s">
        <v>114</v>
      </c>
      <c r="F197" s="103" t="s">
        <v>141</v>
      </c>
      <c r="G197" s="106" t="s">
        <v>145</v>
      </c>
      <c r="H197" s="102" t="s">
        <v>3</v>
      </c>
      <c r="I197" s="103" t="s">
        <v>278</v>
      </c>
      <c r="J197" s="224"/>
      <c r="K197" s="224"/>
      <c r="L197" s="224">
        <f t="shared" si="11"/>
        <v>0</v>
      </c>
      <c r="M197" s="224"/>
      <c r="N197" s="224"/>
      <c r="O197" s="224">
        <f t="shared" si="10"/>
        <v>0</v>
      </c>
      <c r="P197" s="105" t="s">
        <v>122</v>
      </c>
      <c r="Q197" s="103" t="s">
        <v>251</v>
      </c>
      <c r="R197" s="103"/>
      <c r="S197" s="104" t="s">
        <v>138</v>
      </c>
      <c r="T197" s="104"/>
      <c r="U197" s="110">
        <f>+(4*190000+450000+10*10000+140000+300000+250000+50000)*1.23</f>
        <v>2521500</v>
      </c>
      <c r="V197" s="109"/>
      <c r="W197" s="110">
        <v>0</v>
      </c>
      <c r="X197" s="259">
        <v>0</v>
      </c>
      <c r="Y197" s="259">
        <v>0</v>
      </c>
      <c r="Z197" s="259">
        <v>0</v>
      </c>
      <c r="AA197" s="226">
        <v>0</v>
      </c>
      <c r="AB197" s="219"/>
      <c r="AC197" s="219"/>
      <c r="AD197" s="219"/>
      <c r="AE197" s="219"/>
      <c r="AF197" s="219"/>
      <c r="AG197" s="100"/>
      <c r="AH197" s="230"/>
    </row>
    <row r="198" spans="1:34" s="229" customFormat="1" ht="51" hidden="1">
      <c r="A198" s="101">
        <f t="shared" si="9"/>
        <v>47</v>
      </c>
      <c r="B198" s="103" t="s">
        <v>500</v>
      </c>
      <c r="C198" s="104" t="s">
        <v>134</v>
      </c>
      <c r="D198" s="103" t="s">
        <v>499</v>
      </c>
      <c r="E198" s="104" t="s">
        <v>114</v>
      </c>
      <c r="F198" s="103" t="s">
        <v>141</v>
      </c>
      <c r="G198" s="106" t="s">
        <v>145</v>
      </c>
      <c r="H198" s="102" t="s">
        <v>3</v>
      </c>
      <c r="I198" s="103" t="s">
        <v>278</v>
      </c>
      <c r="J198" s="224"/>
      <c r="K198" s="224"/>
      <c r="L198" s="224">
        <f t="shared" si="11"/>
        <v>0</v>
      </c>
      <c r="M198" s="224"/>
      <c r="N198" s="224"/>
      <c r="O198" s="224">
        <f t="shared" si="10"/>
        <v>0</v>
      </c>
      <c r="P198" s="105" t="s">
        <v>122</v>
      </c>
      <c r="Q198" s="103" t="s">
        <v>251</v>
      </c>
      <c r="R198" s="103"/>
      <c r="S198" s="104" t="s">
        <v>138</v>
      </c>
      <c r="T198" s="104"/>
      <c r="U198" s="110">
        <f>+(4*190000+450000+10*10000+140000+300000+250000+50000)*1.23</f>
        <v>2521500</v>
      </c>
      <c r="V198" s="109"/>
      <c r="W198" s="110">
        <v>0</v>
      </c>
      <c r="X198" s="259">
        <v>0</v>
      </c>
      <c r="Y198" s="259">
        <v>0</v>
      </c>
      <c r="Z198" s="259">
        <v>0</v>
      </c>
      <c r="AA198" s="226">
        <v>0</v>
      </c>
      <c r="AB198" s="219"/>
      <c r="AC198" s="219"/>
      <c r="AD198" s="219"/>
      <c r="AE198" s="219"/>
      <c r="AF198" s="219"/>
      <c r="AG198" s="100"/>
      <c r="AH198" s="230"/>
    </row>
    <row r="199" spans="1:34" s="229" customFormat="1" ht="38.25" hidden="1">
      <c r="A199" s="101">
        <f t="shared" si="9"/>
        <v>48</v>
      </c>
      <c r="B199" s="103" t="s">
        <v>501</v>
      </c>
      <c r="C199" s="104" t="s">
        <v>134</v>
      </c>
      <c r="D199" s="103" t="s">
        <v>502</v>
      </c>
      <c r="E199" s="104" t="s">
        <v>114</v>
      </c>
      <c r="F199" s="103" t="s">
        <v>141</v>
      </c>
      <c r="G199" s="106" t="s">
        <v>220</v>
      </c>
      <c r="H199" s="102" t="s">
        <v>3</v>
      </c>
      <c r="I199" s="103" t="s">
        <v>278</v>
      </c>
      <c r="J199" s="224">
        <v>42644</v>
      </c>
      <c r="K199" s="224"/>
      <c r="L199" s="224">
        <f t="shared" si="11"/>
        <v>42644</v>
      </c>
      <c r="M199" s="224">
        <v>43008</v>
      </c>
      <c r="N199" s="224"/>
      <c r="O199" s="224">
        <f t="shared" si="10"/>
        <v>43008</v>
      </c>
      <c r="P199" s="105" t="s">
        <v>122</v>
      </c>
      <c r="Q199" s="103" t="s">
        <v>251</v>
      </c>
      <c r="R199" s="103"/>
      <c r="S199" s="104" t="s">
        <v>334</v>
      </c>
      <c r="T199" s="104"/>
      <c r="U199" s="110">
        <f>+(27*190000)*1.23</f>
        <v>6309900</v>
      </c>
      <c r="V199" s="109"/>
      <c r="W199" s="110">
        <v>0</v>
      </c>
      <c r="X199" s="259">
        <v>0</v>
      </c>
      <c r="Y199" s="259">
        <f>+U199*0.45</f>
        <v>2839455</v>
      </c>
      <c r="Z199" s="260">
        <f>+U199-Y199</f>
        <v>3470445</v>
      </c>
      <c r="AA199" s="226">
        <f>+U199*0.01</f>
        <v>63099</v>
      </c>
      <c r="AB199" s="219"/>
      <c r="AC199" s="219"/>
      <c r="AD199" s="219"/>
      <c r="AE199" s="219"/>
      <c r="AF199" s="219"/>
      <c r="AG199" s="100"/>
      <c r="AH199" s="230"/>
    </row>
    <row r="200" spans="1:34" s="229" customFormat="1" ht="38.25" hidden="1">
      <c r="A200" s="101">
        <f t="shared" si="9"/>
        <v>49</v>
      </c>
      <c r="B200" s="103" t="s">
        <v>503</v>
      </c>
      <c r="C200" s="104" t="s">
        <v>134</v>
      </c>
      <c r="D200" s="103" t="s">
        <v>504</v>
      </c>
      <c r="E200" s="104" t="s">
        <v>114</v>
      </c>
      <c r="F200" s="103" t="s">
        <v>141</v>
      </c>
      <c r="G200" s="106" t="s">
        <v>220</v>
      </c>
      <c r="H200" s="102" t="s">
        <v>3</v>
      </c>
      <c r="I200" s="103" t="s">
        <v>278</v>
      </c>
      <c r="J200" s="224"/>
      <c r="K200" s="224"/>
      <c r="L200" s="224">
        <f t="shared" si="11"/>
        <v>0</v>
      </c>
      <c r="M200" s="224"/>
      <c r="N200" s="224"/>
      <c r="O200" s="224">
        <f t="shared" si="10"/>
        <v>0</v>
      </c>
      <c r="P200" s="105" t="s">
        <v>122</v>
      </c>
      <c r="Q200" s="103" t="s">
        <v>251</v>
      </c>
      <c r="R200" s="103"/>
      <c r="S200" s="104" t="s">
        <v>138</v>
      </c>
      <c r="T200" s="104"/>
      <c r="U200" s="110">
        <f>+(18*190000)*1.23</f>
        <v>4206600</v>
      </c>
      <c r="V200" s="109"/>
      <c r="W200" s="110">
        <v>0</v>
      </c>
      <c r="X200" s="259">
        <v>0</v>
      </c>
      <c r="Y200" s="259">
        <v>0</v>
      </c>
      <c r="Z200" s="259">
        <f>+U200*0.235*0.3</f>
        <v>296565.3</v>
      </c>
      <c r="AA200" s="226">
        <f>+U200-Z200</f>
        <v>3910034.7</v>
      </c>
      <c r="AB200" s="219"/>
      <c r="AC200" s="219"/>
      <c r="AD200" s="219"/>
      <c r="AE200" s="219"/>
      <c r="AF200" s="219"/>
      <c r="AG200" s="100"/>
      <c r="AH200" s="230"/>
    </row>
    <row r="201" spans="1:34" s="229" customFormat="1" ht="38.25" hidden="1">
      <c r="A201" s="101">
        <f t="shared" si="9"/>
        <v>50</v>
      </c>
      <c r="B201" s="103" t="s">
        <v>505</v>
      </c>
      <c r="C201" s="104" t="s">
        <v>134</v>
      </c>
      <c r="D201" s="103" t="s">
        <v>506</v>
      </c>
      <c r="E201" s="104" t="s">
        <v>114</v>
      </c>
      <c r="F201" s="103" t="s">
        <v>141</v>
      </c>
      <c r="G201" s="106" t="s">
        <v>220</v>
      </c>
      <c r="H201" s="102" t="s">
        <v>3</v>
      </c>
      <c r="I201" s="103" t="s">
        <v>278</v>
      </c>
      <c r="J201" s="224"/>
      <c r="K201" s="224"/>
      <c r="L201" s="224">
        <f t="shared" si="11"/>
        <v>0</v>
      </c>
      <c r="M201" s="224"/>
      <c r="N201" s="224"/>
      <c r="O201" s="224">
        <f t="shared" si="10"/>
        <v>0</v>
      </c>
      <c r="P201" s="105" t="s">
        <v>122</v>
      </c>
      <c r="Q201" s="103" t="s">
        <v>251</v>
      </c>
      <c r="R201" s="103"/>
      <c r="S201" s="104" t="s">
        <v>138</v>
      </c>
      <c r="T201" s="104"/>
      <c r="U201" s="110">
        <f>+(9*190000)*1.23</f>
        <v>2103300</v>
      </c>
      <c r="V201" s="109"/>
      <c r="W201" s="110">
        <v>0</v>
      </c>
      <c r="X201" s="259">
        <v>0</v>
      </c>
      <c r="Y201" s="259">
        <v>0</v>
      </c>
      <c r="Z201" s="259">
        <f>+U201*0.235*0.3</f>
        <v>148282.65</v>
      </c>
      <c r="AA201" s="226">
        <f>+U201-Z201</f>
        <v>1955017.35</v>
      </c>
      <c r="AB201" s="219"/>
      <c r="AC201" s="219"/>
      <c r="AD201" s="219"/>
      <c r="AE201" s="219"/>
      <c r="AF201" s="219"/>
      <c r="AG201" s="100"/>
      <c r="AH201" s="230"/>
    </row>
    <row r="202" spans="1:34" s="229" customFormat="1" ht="38.25" hidden="1">
      <c r="A202" s="101">
        <f t="shared" si="9"/>
        <v>51</v>
      </c>
      <c r="B202" s="103" t="s">
        <v>507</v>
      </c>
      <c r="C202" s="104" t="s">
        <v>140</v>
      </c>
      <c r="D202" s="103" t="s">
        <v>508</v>
      </c>
      <c r="E202" s="104" t="s">
        <v>114</v>
      </c>
      <c r="F202" s="103" t="s">
        <v>141</v>
      </c>
      <c r="G202" s="106" t="s">
        <v>237</v>
      </c>
      <c r="H202" s="102" t="s">
        <v>3</v>
      </c>
      <c r="I202" s="103" t="s">
        <v>278</v>
      </c>
      <c r="J202" s="224"/>
      <c r="K202" s="224"/>
      <c r="L202" s="224">
        <f t="shared" si="11"/>
        <v>0</v>
      </c>
      <c r="M202" s="224"/>
      <c r="N202" s="224"/>
      <c r="O202" s="224">
        <f t="shared" si="10"/>
        <v>0</v>
      </c>
      <c r="P202" s="105" t="s">
        <v>122</v>
      </c>
      <c r="Q202" s="103" t="s">
        <v>251</v>
      </c>
      <c r="R202" s="103"/>
      <c r="S202" s="104" t="s">
        <v>138</v>
      </c>
      <c r="T202" s="104"/>
      <c r="U202" s="110">
        <f>+(12*190000+12*10000)*1.23</f>
        <v>2952000</v>
      </c>
      <c r="V202" s="109"/>
      <c r="W202" s="110">
        <v>0</v>
      </c>
      <c r="X202" s="259">
        <v>0</v>
      </c>
      <c r="Y202" s="259">
        <v>0</v>
      </c>
      <c r="Z202" s="259">
        <v>0</v>
      </c>
      <c r="AA202" s="226">
        <f>+U202*0.235*0.3</f>
        <v>208116</v>
      </c>
      <c r="AB202" s="219"/>
      <c r="AC202" s="219"/>
      <c r="AD202" s="219"/>
      <c r="AE202" s="219"/>
      <c r="AF202" s="219"/>
      <c r="AG202" s="100"/>
      <c r="AH202" s="230"/>
    </row>
    <row r="203" spans="1:34" s="229" customFormat="1" ht="38.25" hidden="1">
      <c r="A203" s="101">
        <f t="shared" si="9"/>
        <v>52</v>
      </c>
      <c r="B203" s="103" t="s">
        <v>509</v>
      </c>
      <c r="C203" s="104" t="s">
        <v>140</v>
      </c>
      <c r="D203" s="103" t="s">
        <v>510</v>
      </c>
      <c r="E203" s="104" t="s">
        <v>114</v>
      </c>
      <c r="F203" s="103" t="s">
        <v>141</v>
      </c>
      <c r="G203" s="106" t="s">
        <v>237</v>
      </c>
      <c r="H203" s="102" t="s">
        <v>3</v>
      </c>
      <c r="I203" s="103" t="s">
        <v>278</v>
      </c>
      <c r="J203" s="224"/>
      <c r="K203" s="224"/>
      <c r="L203" s="224">
        <f t="shared" si="11"/>
        <v>0</v>
      </c>
      <c r="M203" s="224"/>
      <c r="N203" s="224"/>
      <c r="O203" s="224">
        <f t="shared" si="10"/>
        <v>0</v>
      </c>
      <c r="P203" s="105" t="s">
        <v>122</v>
      </c>
      <c r="Q203" s="103" t="s">
        <v>251</v>
      </c>
      <c r="R203" s="103"/>
      <c r="S203" s="104" t="s">
        <v>138</v>
      </c>
      <c r="T203" s="104"/>
      <c r="U203" s="110">
        <f>+(12*190000)*1.23</f>
        <v>2804400</v>
      </c>
      <c r="V203" s="109"/>
      <c r="W203" s="110">
        <v>0</v>
      </c>
      <c r="X203" s="259">
        <v>0</v>
      </c>
      <c r="Y203" s="259">
        <v>0</v>
      </c>
      <c r="Z203" s="259">
        <v>0</v>
      </c>
      <c r="AA203" s="226">
        <v>0</v>
      </c>
      <c r="AB203" s="219"/>
      <c r="AC203" s="219"/>
      <c r="AD203" s="219"/>
      <c r="AE203" s="219"/>
      <c r="AF203" s="219"/>
      <c r="AG203" s="100"/>
      <c r="AH203" s="230"/>
    </row>
    <row r="204" spans="1:34" s="229" customFormat="1" ht="38.25" hidden="1">
      <c r="A204" s="101">
        <f t="shared" si="9"/>
        <v>53</v>
      </c>
      <c r="B204" s="103" t="s">
        <v>511</v>
      </c>
      <c r="C204" s="104" t="s">
        <v>134</v>
      </c>
      <c r="D204" s="103" t="s">
        <v>512</v>
      </c>
      <c r="E204" s="104" t="s">
        <v>114</v>
      </c>
      <c r="F204" s="103" t="s">
        <v>141</v>
      </c>
      <c r="G204" s="106" t="s">
        <v>237</v>
      </c>
      <c r="H204" s="102" t="s">
        <v>3</v>
      </c>
      <c r="I204" s="103" t="s">
        <v>278</v>
      </c>
      <c r="J204" s="224"/>
      <c r="K204" s="224"/>
      <c r="L204" s="224">
        <f t="shared" si="11"/>
        <v>0</v>
      </c>
      <c r="M204" s="224"/>
      <c r="N204" s="224"/>
      <c r="O204" s="224">
        <f t="shared" si="10"/>
        <v>0</v>
      </c>
      <c r="P204" s="105" t="s">
        <v>122</v>
      </c>
      <c r="Q204" s="103" t="s">
        <v>251</v>
      </c>
      <c r="R204" s="103"/>
      <c r="S204" s="104" t="s">
        <v>138</v>
      </c>
      <c r="T204" s="104"/>
      <c r="U204" s="110">
        <f>+(8*190000+450000+12*10000+1350000)*1.23</f>
        <v>4231200</v>
      </c>
      <c r="V204" s="109"/>
      <c r="W204" s="110">
        <v>0</v>
      </c>
      <c r="X204" s="259">
        <v>0</v>
      </c>
      <c r="Y204" s="259">
        <v>0</v>
      </c>
      <c r="Z204" s="259">
        <v>0</v>
      </c>
      <c r="AA204" s="226">
        <f>+U204*0.235*0.3</f>
        <v>298299.59999999998</v>
      </c>
      <c r="AB204" s="219"/>
      <c r="AC204" s="219"/>
      <c r="AD204" s="219"/>
      <c r="AE204" s="219"/>
      <c r="AF204" s="219"/>
      <c r="AG204" s="100"/>
      <c r="AH204" s="230"/>
    </row>
    <row r="205" spans="1:34" s="229" customFormat="1" ht="38.25" hidden="1">
      <c r="A205" s="101">
        <f t="shared" si="9"/>
        <v>54</v>
      </c>
      <c r="B205" s="103" t="s">
        <v>513</v>
      </c>
      <c r="C205" s="104" t="s">
        <v>514</v>
      </c>
      <c r="D205" s="103" t="s">
        <v>515</v>
      </c>
      <c r="E205" s="104" t="s">
        <v>114</v>
      </c>
      <c r="F205" s="103" t="s">
        <v>141</v>
      </c>
      <c r="G205" s="106" t="s">
        <v>411</v>
      </c>
      <c r="H205" s="102" t="s">
        <v>3</v>
      </c>
      <c r="I205" s="103" t="s">
        <v>278</v>
      </c>
      <c r="J205" s="224"/>
      <c r="K205" s="224"/>
      <c r="L205" s="224">
        <f t="shared" si="11"/>
        <v>0</v>
      </c>
      <c r="M205" s="224"/>
      <c r="N205" s="224"/>
      <c r="O205" s="224">
        <f t="shared" si="10"/>
        <v>0</v>
      </c>
      <c r="P205" s="105" t="s">
        <v>122</v>
      </c>
      <c r="Q205" s="103" t="s">
        <v>251</v>
      </c>
      <c r="R205" s="103"/>
      <c r="S205" s="104" t="s">
        <v>138</v>
      </c>
      <c r="T205" s="104"/>
      <c r="U205" s="110">
        <f>+(4*190000+270000*2+140000)*1.23</f>
        <v>1771200</v>
      </c>
      <c r="V205" s="109"/>
      <c r="W205" s="110">
        <v>0</v>
      </c>
      <c r="X205" s="259">
        <v>0</v>
      </c>
      <c r="Y205" s="259">
        <f>+U205</f>
        <v>1771200</v>
      </c>
      <c r="Z205" s="259">
        <v>0</v>
      </c>
      <c r="AA205" s="226">
        <v>0</v>
      </c>
      <c r="AB205" s="219"/>
      <c r="AC205" s="219"/>
      <c r="AD205" s="219"/>
      <c r="AE205" s="219"/>
      <c r="AF205" s="219"/>
      <c r="AG205" s="100"/>
      <c r="AH205" s="230"/>
    </row>
    <row r="206" spans="1:34" s="229" customFormat="1" ht="38.25" hidden="1">
      <c r="A206" s="101">
        <f t="shared" si="9"/>
        <v>55</v>
      </c>
      <c r="B206" s="103" t="s">
        <v>516</v>
      </c>
      <c r="C206" s="104" t="s">
        <v>514</v>
      </c>
      <c r="D206" s="103" t="s">
        <v>517</v>
      </c>
      <c r="E206" s="104" t="s">
        <v>114</v>
      </c>
      <c r="F206" s="103" t="s">
        <v>141</v>
      </c>
      <c r="G206" s="106" t="s">
        <v>411</v>
      </c>
      <c r="H206" s="102" t="s">
        <v>3</v>
      </c>
      <c r="I206" s="103" t="s">
        <v>278</v>
      </c>
      <c r="J206" s="224"/>
      <c r="K206" s="224"/>
      <c r="L206" s="224">
        <f t="shared" si="11"/>
        <v>0</v>
      </c>
      <c r="M206" s="224"/>
      <c r="N206" s="224"/>
      <c r="O206" s="224">
        <f t="shared" si="10"/>
        <v>0</v>
      </c>
      <c r="P206" s="105" t="s">
        <v>122</v>
      </c>
      <c r="Q206" s="103" t="s">
        <v>251</v>
      </c>
      <c r="R206" s="103"/>
      <c r="S206" s="104" t="s">
        <v>138</v>
      </c>
      <c r="T206" s="104"/>
      <c r="U206" s="110">
        <f>+(270000+450000+10*10000)*1.23</f>
        <v>1008600</v>
      </c>
      <c r="V206" s="109"/>
      <c r="W206" s="110">
        <v>0</v>
      </c>
      <c r="X206" s="259">
        <v>0</v>
      </c>
      <c r="Y206" s="259">
        <v>0</v>
      </c>
      <c r="Z206" s="259">
        <v>0</v>
      </c>
      <c r="AA206" s="226">
        <f>+U206</f>
        <v>1008600</v>
      </c>
      <c r="AB206" s="219"/>
      <c r="AC206" s="219"/>
      <c r="AD206" s="219"/>
      <c r="AE206" s="219"/>
      <c r="AF206" s="219"/>
      <c r="AG206" s="100"/>
      <c r="AH206" s="230"/>
    </row>
    <row r="207" spans="1:34" s="229" customFormat="1" ht="38.25" hidden="1">
      <c r="A207" s="101">
        <f t="shared" si="9"/>
        <v>56</v>
      </c>
      <c r="B207" s="103" t="s">
        <v>518</v>
      </c>
      <c r="C207" s="104" t="s">
        <v>514</v>
      </c>
      <c r="D207" s="103" t="s">
        <v>519</v>
      </c>
      <c r="E207" s="104" t="s">
        <v>114</v>
      </c>
      <c r="F207" s="103" t="s">
        <v>141</v>
      </c>
      <c r="G207" s="106" t="s">
        <v>411</v>
      </c>
      <c r="H207" s="102" t="s">
        <v>3</v>
      </c>
      <c r="I207" s="103" t="s">
        <v>278</v>
      </c>
      <c r="J207" s="224"/>
      <c r="K207" s="224"/>
      <c r="L207" s="224">
        <f t="shared" si="11"/>
        <v>0</v>
      </c>
      <c r="M207" s="224"/>
      <c r="N207" s="224"/>
      <c r="O207" s="224">
        <f t="shared" si="10"/>
        <v>0</v>
      </c>
      <c r="P207" s="105" t="s">
        <v>122</v>
      </c>
      <c r="Q207" s="103" t="s">
        <v>251</v>
      </c>
      <c r="R207" s="103"/>
      <c r="S207" s="104" t="s">
        <v>138</v>
      </c>
      <c r="T207" s="104"/>
      <c r="U207" s="110">
        <f>+(16*190000+450000+8*10000)*1.23</f>
        <v>4391100</v>
      </c>
      <c r="V207" s="109"/>
      <c r="W207" s="110">
        <v>0</v>
      </c>
      <c r="X207" s="259">
        <v>0</v>
      </c>
      <c r="Y207" s="259">
        <v>0</v>
      </c>
      <c r="Z207" s="259">
        <v>0</v>
      </c>
      <c r="AA207" s="226">
        <f>+U207*0.235*0.3</f>
        <v>309572.54999999993</v>
      </c>
      <c r="AB207" s="219"/>
      <c r="AC207" s="219"/>
      <c r="AD207" s="219"/>
      <c r="AE207" s="219"/>
      <c r="AF207" s="219"/>
      <c r="AG207" s="100"/>
      <c r="AH207" s="230"/>
    </row>
    <row r="208" spans="1:34" s="229" customFormat="1" ht="63.75" hidden="1">
      <c r="A208" s="101">
        <f t="shared" si="9"/>
        <v>57</v>
      </c>
      <c r="B208" s="103" t="s">
        <v>520</v>
      </c>
      <c r="C208" s="104" t="s">
        <v>140</v>
      </c>
      <c r="D208" s="103" t="s">
        <v>521</v>
      </c>
      <c r="E208" s="104" t="s">
        <v>114</v>
      </c>
      <c r="F208" s="103" t="s">
        <v>141</v>
      </c>
      <c r="G208" s="106" t="s">
        <v>365</v>
      </c>
      <c r="H208" s="102" t="s">
        <v>3</v>
      </c>
      <c r="I208" s="103" t="s">
        <v>278</v>
      </c>
      <c r="J208" s="224"/>
      <c r="K208" s="224"/>
      <c r="L208" s="224">
        <f t="shared" si="11"/>
        <v>0</v>
      </c>
      <c r="M208" s="224"/>
      <c r="N208" s="224"/>
      <c r="O208" s="224">
        <f t="shared" si="10"/>
        <v>0</v>
      </c>
      <c r="P208" s="105" t="s">
        <v>122</v>
      </c>
      <c r="Q208" s="103" t="s">
        <v>251</v>
      </c>
      <c r="R208" s="103"/>
      <c r="S208" s="104" t="s">
        <v>138</v>
      </c>
      <c r="T208" s="104"/>
      <c r="U208" s="110">
        <f>+(4*190000+450000*2+270000+14*10000+1350000+350000+140000+300000+250000)*1.23</f>
        <v>5485800</v>
      </c>
      <c r="V208" s="109"/>
      <c r="W208" s="110">
        <v>0</v>
      </c>
      <c r="X208" s="259">
        <v>0</v>
      </c>
      <c r="Y208" s="259">
        <v>0</v>
      </c>
      <c r="Z208" s="259">
        <v>0</v>
      </c>
      <c r="AA208" s="226">
        <v>0</v>
      </c>
      <c r="AB208" s="219"/>
      <c r="AC208" s="219"/>
      <c r="AD208" s="219"/>
      <c r="AE208" s="219"/>
      <c r="AF208" s="219"/>
      <c r="AG208" s="100"/>
      <c r="AH208" s="230"/>
    </row>
    <row r="209" spans="1:256" s="229" customFormat="1" ht="90" hidden="1" customHeight="1">
      <c r="A209" s="101">
        <f t="shared" si="9"/>
        <v>58</v>
      </c>
      <c r="B209" s="103" t="s">
        <v>522</v>
      </c>
      <c r="C209" s="104" t="s">
        <v>473</v>
      </c>
      <c r="D209" s="103" t="s">
        <v>523</v>
      </c>
      <c r="E209" s="104" t="s">
        <v>114</v>
      </c>
      <c r="F209" s="103" t="s">
        <v>141</v>
      </c>
      <c r="G209" s="106" t="s">
        <v>363</v>
      </c>
      <c r="H209" s="102" t="s">
        <v>3</v>
      </c>
      <c r="I209" s="103" t="s">
        <v>278</v>
      </c>
      <c r="J209" s="224"/>
      <c r="K209" s="224"/>
      <c r="L209" s="224">
        <f t="shared" si="11"/>
        <v>0</v>
      </c>
      <c r="M209" s="224"/>
      <c r="N209" s="224"/>
      <c r="O209" s="224">
        <f t="shared" si="10"/>
        <v>0</v>
      </c>
      <c r="P209" s="105" t="s">
        <v>122</v>
      </c>
      <c r="Q209" s="103" t="s">
        <v>251</v>
      </c>
      <c r="R209" s="103"/>
      <c r="S209" s="104" t="s">
        <v>138</v>
      </c>
      <c r="T209" s="104"/>
      <c r="U209" s="110">
        <f>+(10*190000+450000*2+270000*3)*1.23</f>
        <v>4440300</v>
      </c>
      <c r="V209" s="109"/>
      <c r="W209" s="110">
        <v>0</v>
      </c>
      <c r="X209" s="259">
        <v>0</v>
      </c>
      <c r="Y209" s="259">
        <v>0</v>
      </c>
      <c r="Z209" s="259">
        <v>0</v>
      </c>
      <c r="AA209" s="226">
        <v>0</v>
      </c>
      <c r="AB209" s="219"/>
      <c r="AC209" s="219"/>
      <c r="AD209" s="219"/>
      <c r="AE209" s="219"/>
      <c r="AF209" s="219"/>
      <c r="AG209" s="100"/>
      <c r="AH209" s="230"/>
    </row>
    <row r="210" spans="1:256" s="229" customFormat="1" ht="90" hidden="1" customHeight="1">
      <c r="A210" s="101">
        <f t="shared" si="9"/>
        <v>59</v>
      </c>
      <c r="B210" s="103" t="s">
        <v>524</v>
      </c>
      <c r="C210" s="104" t="s">
        <v>134</v>
      </c>
      <c r="D210" s="103" t="s">
        <v>525</v>
      </c>
      <c r="E210" s="104" t="s">
        <v>114</v>
      </c>
      <c r="F210" s="103" t="s">
        <v>141</v>
      </c>
      <c r="G210" s="106" t="s">
        <v>393</v>
      </c>
      <c r="H210" s="102" t="s">
        <v>3</v>
      </c>
      <c r="I210" s="103" t="s">
        <v>278</v>
      </c>
      <c r="J210" s="224"/>
      <c r="K210" s="224"/>
      <c r="L210" s="224">
        <f t="shared" si="11"/>
        <v>0</v>
      </c>
      <c r="M210" s="224"/>
      <c r="N210" s="224"/>
      <c r="O210" s="224">
        <f t="shared" si="10"/>
        <v>0</v>
      </c>
      <c r="P210" s="105" t="s">
        <v>122</v>
      </c>
      <c r="Q210" s="103" t="s">
        <v>251</v>
      </c>
      <c r="R210" s="103"/>
      <c r="S210" s="104" t="s">
        <v>138</v>
      </c>
      <c r="T210" s="104"/>
      <c r="U210" s="110">
        <f>+(5*190000+450000*3+270000*4+140000+350000+250000+50000)*1.23</f>
        <v>5129100</v>
      </c>
      <c r="V210" s="109"/>
      <c r="W210" s="110">
        <v>0</v>
      </c>
      <c r="X210" s="259">
        <v>0</v>
      </c>
      <c r="Y210" s="259">
        <v>0</v>
      </c>
      <c r="Z210" s="259">
        <v>0</v>
      </c>
      <c r="AA210" s="226">
        <f>+U210*0.235*0.3</f>
        <v>361601.55</v>
      </c>
      <c r="AB210" s="219"/>
      <c r="AC210" s="219"/>
      <c r="AD210" s="219"/>
      <c r="AE210" s="219"/>
      <c r="AF210" s="219"/>
      <c r="AG210" s="100"/>
      <c r="AH210" s="230"/>
    </row>
    <row r="211" spans="1:256" s="229" customFormat="1" ht="90" hidden="1" customHeight="1">
      <c r="A211" s="101">
        <f t="shared" si="9"/>
        <v>60</v>
      </c>
      <c r="B211" s="103" t="s">
        <v>526</v>
      </c>
      <c r="C211" s="104" t="s">
        <v>134</v>
      </c>
      <c r="D211" s="103" t="s">
        <v>527</v>
      </c>
      <c r="E211" s="104" t="s">
        <v>114</v>
      </c>
      <c r="F211" s="103" t="s">
        <v>141</v>
      </c>
      <c r="G211" s="106" t="s">
        <v>151</v>
      </c>
      <c r="H211" s="102" t="s">
        <v>3</v>
      </c>
      <c r="I211" s="103" t="s">
        <v>278</v>
      </c>
      <c r="J211" s="224">
        <v>42644</v>
      </c>
      <c r="K211" s="224"/>
      <c r="L211" s="224">
        <f t="shared" si="11"/>
        <v>42644</v>
      </c>
      <c r="M211" s="224">
        <v>43008</v>
      </c>
      <c r="N211" s="224"/>
      <c r="O211" s="224">
        <f t="shared" si="10"/>
        <v>43008</v>
      </c>
      <c r="P211" s="105" t="s">
        <v>122</v>
      </c>
      <c r="Q211" s="103" t="s">
        <v>251</v>
      </c>
      <c r="R211" s="103"/>
      <c r="S211" s="104" t="s">
        <v>334</v>
      </c>
      <c r="T211" s="104"/>
      <c r="U211" s="110">
        <f>+(27*190000+450000*3+270000*4+12*10000+1350000+350000+600000+140000+350000+250000+50000+1270000)*1.23</f>
        <v>14809200</v>
      </c>
      <c r="V211" s="109"/>
      <c r="W211" s="110">
        <v>0</v>
      </c>
      <c r="X211" s="259">
        <v>0</v>
      </c>
      <c r="Y211" s="259">
        <f>+U211*0.45</f>
        <v>6664140</v>
      </c>
      <c r="Z211" s="260">
        <f>+U211-Y211</f>
        <v>8145060</v>
      </c>
      <c r="AA211" s="226">
        <f>+U211*0.01</f>
        <v>148092</v>
      </c>
      <c r="AB211" s="219"/>
      <c r="AC211" s="219"/>
      <c r="AD211" s="219"/>
      <c r="AE211" s="219"/>
      <c r="AF211" s="219"/>
      <c r="AG211" s="100"/>
      <c r="AH211" s="231"/>
      <c r="AI211" s="232"/>
      <c r="AJ211" s="232"/>
      <c r="AK211" s="232"/>
      <c r="AL211" s="232"/>
      <c r="AM211" s="232"/>
      <c r="AN211" s="232"/>
      <c r="AO211" s="232"/>
      <c r="AP211" s="232"/>
      <c r="AQ211" s="232"/>
      <c r="AR211" s="232"/>
      <c r="AS211" s="232"/>
      <c r="AT211" s="232"/>
      <c r="AU211" s="232"/>
      <c r="AV211" s="232"/>
      <c r="AW211" s="232"/>
      <c r="AX211" s="232"/>
      <c r="AY211" s="232"/>
      <c r="AZ211" s="232"/>
      <c r="BA211" s="232"/>
      <c r="BB211" s="232"/>
      <c r="BC211" s="232"/>
      <c r="BD211" s="232"/>
      <c r="BE211" s="232"/>
      <c r="BF211" s="232"/>
      <c r="BG211" s="232"/>
      <c r="BH211" s="232"/>
      <c r="BI211" s="232"/>
      <c r="BJ211" s="232"/>
      <c r="BK211" s="232"/>
      <c r="BL211" s="232"/>
      <c r="BM211" s="232"/>
      <c r="BN211" s="232"/>
      <c r="BO211" s="232"/>
      <c r="BP211" s="232"/>
      <c r="BQ211" s="232"/>
      <c r="BR211" s="232"/>
      <c r="BS211" s="232"/>
      <c r="BT211" s="232"/>
      <c r="BU211" s="232"/>
      <c r="BV211" s="232"/>
      <c r="BW211" s="232"/>
      <c r="BX211" s="232"/>
      <c r="BY211" s="232"/>
      <c r="BZ211" s="232"/>
      <c r="CA211" s="232"/>
      <c r="CB211" s="232"/>
      <c r="CC211" s="232"/>
      <c r="CD211" s="232"/>
      <c r="CE211" s="232"/>
      <c r="CF211" s="232"/>
      <c r="CG211" s="232"/>
      <c r="CH211" s="232"/>
      <c r="CI211" s="232"/>
      <c r="CJ211" s="232"/>
      <c r="CK211" s="232"/>
      <c r="CL211" s="232"/>
      <c r="CM211" s="232"/>
      <c r="CN211" s="232"/>
      <c r="CO211" s="232"/>
      <c r="CP211" s="232"/>
      <c r="CQ211" s="232"/>
      <c r="CR211" s="232"/>
      <c r="CS211" s="232"/>
      <c r="CT211" s="232"/>
      <c r="CU211" s="232"/>
      <c r="CV211" s="232"/>
      <c r="CW211" s="232"/>
      <c r="CX211" s="232"/>
      <c r="CY211" s="232"/>
      <c r="CZ211" s="232"/>
      <c r="DA211" s="232"/>
      <c r="DB211" s="232"/>
      <c r="DC211" s="232"/>
      <c r="DD211" s="232"/>
      <c r="DE211" s="232"/>
      <c r="DF211" s="232"/>
      <c r="DG211" s="232"/>
      <c r="DH211" s="232"/>
      <c r="DI211" s="232"/>
      <c r="DJ211" s="232"/>
      <c r="DK211" s="232"/>
      <c r="DL211" s="232"/>
      <c r="DM211" s="232"/>
      <c r="DN211" s="232"/>
      <c r="DO211" s="232"/>
      <c r="DP211" s="232"/>
      <c r="DQ211" s="232"/>
      <c r="DR211" s="232"/>
      <c r="DS211" s="232"/>
      <c r="DT211" s="232"/>
      <c r="DU211" s="232"/>
      <c r="DV211" s="232"/>
      <c r="DW211" s="232"/>
      <c r="DX211" s="232"/>
      <c r="DY211" s="232"/>
      <c r="DZ211" s="232"/>
      <c r="EA211" s="232"/>
      <c r="EB211" s="232"/>
      <c r="EC211" s="232"/>
      <c r="ED211" s="232"/>
      <c r="EE211" s="232"/>
      <c r="EF211" s="232"/>
      <c r="EG211" s="232"/>
      <c r="EH211" s="232"/>
      <c r="EI211" s="232"/>
      <c r="EJ211" s="232"/>
      <c r="EK211" s="232"/>
      <c r="EL211" s="232"/>
      <c r="EM211" s="232"/>
      <c r="EN211" s="232"/>
      <c r="EO211" s="232"/>
      <c r="EP211" s="232"/>
      <c r="EQ211" s="232"/>
      <c r="ER211" s="232"/>
      <c r="ES211" s="232"/>
      <c r="ET211" s="232"/>
      <c r="EU211" s="232"/>
      <c r="EV211" s="232"/>
      <c r="EW211" s="232"/>
      <c r="EX211" s="232"/>
      <c r="EY211" s="232"/>
      <c r="EZ211" s="232"/>
      <c r="FA211" s="232"/>
      <c r="FB211" s="232"/>
      <c r="FC211" s="232"/>
      <c r="FD211" s="232"/>
      <c r="FE211" s="232"/>
      <c r="FF211" s="232"/>
      <c r="FG211" s="232"/>
      <c r="FH211" s="232"/>
      <c r="FI211" s="232"/>
      <c r="FJ211" s="232"/>
      <c r="FK211" s="232"/>
      <c r="FL211" s="232"/>
      <c r="FM211" s="232"/>
      <c r="FN211" s="232"/>
      <c r="FO211" s="232"/>
      <c r="FP211" s="232"/>
      <c r="FQ211" s="232"/>
      <c r="FR211" s="232"/>
      <c r="FS211" s="232"/>
      <c r="FT211" s="232"/>
      <c r="FU211" s="232"/>
      <c r="FV211" s="232"/>
      <c r="FW211" s="232"/>
      <c r="FX211" s="232"/>
      <c r="FY211" s="232"/>
      <c r="FZ211" s="232"/>
      <c r="GA211" s="232"/>
      <c r="GB211" s="232"/>
      <c r="GC211" s="232"/>
      <c r="GD211" s="232"/>
      <c r="GE211" s="232"/>
      <c r="GF211" s="232"/>
      <c r="GG211" s="232"/>
      <c r="GH211" s="232"/>
      <c r="GI211" s="232"/>
      <c r="GJ211" s="232"/>
      <c r="GK211" s="232"/>
      <c r="GL211" s="232"/>
      <c r="GM211" s="232"/>
      <c r="GN211" s="232"/>
      <c r="GO211" s="232"/>
      <c r="GP211" s="232"/>
      <c r="GQ211" s="232"/>
      <c r="GR211" s="232"/>
      <c r="GS211" s="232"/>
      <c r="GT211" s="232"/>
      <c r="GU211" s="232"/>
      <c r="GV211" s="232"/>
      <c r="GW211" s="232"/>
      <c r="GX211" s="232"/>
      <c r="GY211" s="232"/>
      <c r="GZ211" s="232"/>
      <c r="HA211" s="232"/>
      <c r="HB211" s="232"/>
      <c r="HC211" s="232"/>
      <c r="HD211" s="232"/>
      <c r="HE211" s="232"/>
      <c r="HF211" s="232"/>
      <c r="HG211" s="232"/>
      <c r="HH211" s="232"/>
      <c r="HI211" s="232"/>
      <c r="HJ211" s="232"/>
      <c r="HK211" s="232"/>
      <c r="HL211" s="232"/>
      <c r="HM211" s="232"/>
      <c r="HN211" s="232"/>
      <c r="HO211" s="232"/>
      <c r="HP211" s="232"/>
      <c r="HQ211" s="232"/>
      <c r="HR211" s="232"/>
      <c r="HS211" s="232"/>
      <c r="HT211" s="232"/>
      <c r="HU211" s="232"/>
      <c r="HV211" s="232"/>
      <c r="HW211" s="232"/>
      <c r="HX211" s="232"/>
      <c r="HY211" s="232"/>
      <c r="HZ211" s="232"/>
      <c r="IA211" s="232"/>
      <c r="IB211" s="232"/>
      <c r="IC211" s="232"/>
      <c r="ID211" s="232"/>
      <c r="IE211" s="232"/>
      <c r="IF211" s="232"/>
      <c r="IG211" s="232"/>
      <c r="IH211" s="232"/>
      <c r="II211" s="232"/>
      <c r="IJ211" s="232"/>
      <c r="IK211" s="232"/>
      <c r="IL211" s="232"/>
      <c r="IM211" s="232"/>
      <c r="IN211" s="232"/>
      <c r="IO211" s="232"/>
      <c r="IP211" s="232"/>
      <c r="IQ211" s="232"/>
      <c r="IR211" s="232"/>
      <c r="IS211" s="232"/>
      <c r="IT211" s="232"/>
      <c r="IU211" s="232"/>
      <c r="IV211" s="232"/>
    </row>
    <row r="212" spans="1:256" s="182" customFormat="1" ht="78.75">
      <c r="A212" s="346">
        <v>36</v>
      </c>
      <c r="B212" s="347" t="s">
        <v>1327</v>
      </c>
      <c r="C212" s="348" t="s">
        <v>398</v>
      </c>
      <c r="D212" s="347" t="s">
        <v>528</v>
      </c>
      <c r="E212" s="104" t="s">
        <v>114</v>
      </c>
      <c r="F212" s="353" t="s">
        <v>141</v>
      </c>
      <c r="G212" s="353" t="s">
        <v>411</v>
      </c>
      <c r="H212" s="348" t="s">
        <v>3</v>
      </c>
      <c r="I212" s="353" t="s">
        <v>162</v>
      </c>
      <c r="J212" s="351" t="s">
        <v>83</v>
      </c>
      <c r="K212" s="352" t="s">
        <v>83</v>
      </c>
      <c r="L212" s="351" t="s">
        <v>83</v>
      </c>
      <c r="M212" s="351">
        <v>42017</v>
      </c>
      <c r="N212" s="352">
        <v>12</v>
      </c>
      <c r="O212" s="351">
        <v>42382</v>
      </c>
      <c r="P212" s="353" t="s">
        <v>122</v>
      </c>
      <c r="Q212" s="353" t="s">
        <v>115</v>
      </c>
      <c r="R212" s="353" t="s">
        <v>65</v>
      </c>
      <c r="S212" s="348" t="s">
        <v>118</v>
      </c>
      <c r="T212" s="348" t="s">
        <v>119</v>
      </c>
      <c r="U212" s="354">
        <v>59759146</v>
      </c>
      <c r="V212" s="109"/>
      <c r="W212" s="110">
        <v>0</v>
      </c>
      <c r="X212" s="355">
        <v>45771188</v>
      </c>
      <c r="Y212" s="355">
        <f>U212-X212-6000000</f>
        <v>7987958</v>
      </c>
      <c r="Z212" s="355"/>
      <c r="AA212" s="356" t="s">
        <v>132</v>
      </c>
      <c r="AB212" s="357"/>
      <c r="AC212" s="357"/>
      <c r="AD212" s="357"/>
      <c r="AE212" s="357"/>
      <c r="AF212" s="357"/>
      <c r="AG212" s="147"/>
    </row>
    <row r="213" spans="1:256" s="229" customFormat="1" ht="90" hidden="1" customHeight="1">
      <c r="A213" s="101">
        <f t="shared" si="9"/>
        <v>37</v>
      </c>
      <c r="B213" s="103" t="s">
        <v>529</v>
      </c>
      <c r="C213" s="104" t="s">
        <v>134</v>
      </c>
      <c r="D213" s="103" t="s">
        <v>530</v>
      </c>
      <c r="E213" s="104" t="s">
        <v>114</v>
      </c>
      <c r="F213" s="103" t="s">
        <v>141</v>
      </c>
      <c r="G213" s="106" t="s">
        <v>151</v>
      </c>
      <c r="H213" s="102" t="s">
        <v>3</v>
      </c>
      <c r="I213" s="103" t="s">
        <v>173</v>
      </c>
      <c r="J213" s="224">
        <v>42095</v>
      </c>
      <c r="K213" s="224"/>
      <c r="L213" s="224">
        <f t="shared" si="11"/>
        <v>42095</v>
      </c>
      <c r="M213" s="224">
        <v>42718</v>
      </c>
      <c r="N213" s="224"/>
      <c r="O213" s="224">
        <f t="shared" si="10"/>
        <v>42718</v>
      </c>
      <c r="P213" s="105" t="s">
        <v>122</v>
      </c>
      <c r="Q213" s="103" t="s">
        <v>123</v>
      </c>
      <c r="R213" s="103"/>
      <c r="S213" s="104" t="s">
        <v>138</v>
      </c>
      <c r="T213" s="104"/>
      <c r="U213" s="110">
        <v>6000000</v>
      </c>
      <c r="V213" s="109"/>
      <c r="W213" s="110">
        <v>0</v>
      </c>
      <c r="X213" s="259">
        <v>0</v>
      </c>
      <c r="Y213" s="260">
        <v>0</v>
      </c>
      <c r="Z213" s="259">
        <v>300000</v>
      </c>
      <c r="AA213" s="226"/>
      <c r="AB213" s="219"/>
      <c r="AC213" s="219"/>
      <c r="AD213" s="219"/>
      <c r="AE213" s="219"/>
      <c r="AF213" s="219"/>
      <c r="AG213" s="100"/>
      <c r="AH213" s="227"/>
      <c r="AI213" s="228"/>
      <c r="AJ213" s="228"/>
      <c r="AK213" s="228"/>
      <c r="AL213" s="228"/>
      <c r="AM213" s="228"/>
      <c r="AN213" s="228"/>
      <c r="AO213" s="228"/>
      <c r="AP213" s="228"/>
      <c r="AQ213" s="228"/>
      <c r="AR213" s="228"/>
      <c r="AS213" s="228"/>
      <c r="AT213" s="228"/>
      <c r="AU213" s="228"/>
      <c r="AV213" s="228"/>
      <c r="AW213" s="228"/>
      <c r="AX213" s="228"/>
      <c r="AY213" s="228"/>
      <c r="AZ213" s="228"/>
      <c r="BA213" s="228"/>
      <c r="BB213" s="228"/>
      <c r="BC213" s="228"/>
      <c r="BD213" s="228"/>
      <c r="BE213" s="228"/>
      <c r="BF213" s="228"/>
      <c r="BG213" s="228"/>
      <c r="BH213" s="228"/>
      <c r="BI213" s="228"/>
      <c r="BJ213" s="228"/>
      <c r="BK213" s="228"/>
      <c r="BL213" s="228"/>
      <c r="BM213" s="228"/>
      <c r="BN213" s="228"/>
      <c r="BO213" s="228"/>
      <c r="BP213" s="228"/>
      <c r="BQ213" s="228"/>
      <c r="BR213" s="228"/>
      <c r="BS213" s="228"/>
      <c r="BT213" s="228"/>
      <c r="BU213" s="228"/>
      <c r="BV213" s="228"/>
      <c r="BW213" s="228"/>
      <c r="BX213" s="228"/>
      <c r="BY213" s="228"/>
      <c r="BZ213" s="228"/>
      <c r="CA213" s="228"/>
      <c r="CB213" s="228"/>
      <c r="CC213" s="228"/>
      <c r="CD213" s="228"/>
      <c r="CE213" s="228"/>
      <c r="CF213" s="228"/>
      <c r="CG213" s="228"/>
      <c r="CH213" s="228"/>
      <c r="CI213" s="228"/>
      <c r="CJ213" s="228"/>
      <c r="CK213" s="228"/>
      <c r="CL213" s="228"/>
      <c r="CM213" s="228"/>
      <c r="CN213" s="228"/>
      <c r="CO213" s="228"/>
      <c r="CP213" s="228"/>
      <c r="CQ213" s="228"/>
      <c r="CR213" s="228"/>
      <c r="CS213" s="228"/>
      <c r="CT213" s="228"/>
      <c r="CU213" s="228"/>
      <c r="CV213" s="228"/>
      <c r="CW213" s="228"/>
      <c r="CX213" s="228"/>
      <c r="CY213" s="228"/>
      <c r="CZ213" s="228"/>
      <c r="DA213" s="228"/>
      <c r="DB213" s="228"/>
      <c r="DC213" s="228"/>
      <c r="DD213" s="228"/>
      <c r="DE213" s="228"/>
      <c r="DF213" s="228"/>
      <c r="DG213" s="228"/>
      <c r="DH213" s="228"/>
      <c r="DI213" s="228"/>
      <c r="DJ213" s="228"/>
      <c r="DK213" s="228"/>
      <c r="DL213" s="228"/>
      <c r="DM213" s="228"/>
      <c r="DN213" s="228"/>
      <c r="DO213" s="228"/>
      <c r="DP213" s="228"/>
      <c r="DQ213" s="228"/>
      <c r="DR213" s="228"/>
      <c r="DS213" s="228"/>
      <c r="DT213" s="228"/>
      <c r="DU213" s="228"/>
      <c r="DV213" s="228"/>
      <c r="DW213" s="228"/>
      <c r="DX213" s="228"/>
      <c r="DY213" s="228"/>
      <c r="DZ213" s="228"/>
      <c r="EA213" s="228"/>
      <c r="EB213" s="228"/>
      <c r="EC213" s="228"/>
      <c r="ED213" s="228"/>
      <c r="EE213" s="228"/>
      <c r="EF213" s="228"/>
      <c r="EG213" s="228"/>
      <c r="EH213" s="228"/>
      <c r="EI213" s="228"/>
      <c r="EJ213" s="228"/>
      <c r="EK213" s="228"/>
      <c r="EL213" s="228"/>
      <c r="EM213" s="228"/>
      <c r="EN213" s="228"/>
      <c r="EO213" s="228"/>
      <c r="EP213" s="228"/>
      <c r="EQ213" s="228"/>
      <c r="ER213" s="228"/>
      <c r="ES213" s="228"/>
      <c r="ET213" s="228"/>
      <c r="EU213" s="228"/>
      <c r="EV213" s="228"/>
      <c r="EW213" s="228"/>
      <c r="EX213" s="228"/>
      <c r="EY213" s="228"/>
      <c r="EZ213" s="228"/>
      <c r="FA213" s="228"/>
      <c r="FB213" s="228"/>
      <c r="FC213" s="228"/>
      <c r="FD213" s="228"/>
      <c r="FE213" s="228"/>
      <c r="FF213" s="228"/>
      <c r="FG213" s="228"/>
      <c r="FH213" s="228"/>
      <c r="FI213" s="228"/>
      <c r="FJ213" s="228"/>
      <c r="FK213" s="228"/>
      <c r="FL213" s="228"/>
      <c r="FM213" s="228"/>
      <c r="FN213" s="228"/>
      <c r="FO213" s="228"/>
      <c r="FP213" s="228"/>
      <c r="FQ213" s="228"/>
      <c r="FR213" s="228"/>
      <c r="FS213" s="228"/>
      <c r="FT213" s="228"/>
      <c r="FU213" s="228"/>
      <c r="FV213" s="228"/>
      <c r="FW213" s="228"/>
      <c r="FX213" s="228"/>
      <c r="FY213" s="228"/>
      <c r="FZ213" s="228"/>
      <c r="GA213" s="228"/>
      <c r="GB213" s="228"/>
      <c r="GC213" s="228"/>
      <c r="GD213" s="228"/>
      <c r="GE213" s="228"/>
      <c r="GF213" s="228"/>
      <c r="GG213" s="228"/>
      <c r="GH213" s="228"/>
      <c r="GI213" s="228"/>
      <c r="GJ213" s="228"/>
      <c r="GK213" s="228"/>
      <c r="GL213" s="228"/>
      <c r="GM213" s="228"/>
      <c r="GN213" s="228"/>
      <c r="GO213" s="228"/>
      <c r="GP213" s="228"/>
      <c r="GQ213" s="228"/>
      <c r="GR213" s="228"/>
      <c r="GS213" s="228"/>
      <c r="GT213" s="228"/>
      <c r="GU213" s="228"/>
      <c r="GV213" s="228"/>
      <c r="GW213" s="228"/>
      <c r="GX213" s="228"/>
      <c r="GY213" s="228"/>
      <c r="GZ213" s="228"/>
      <c r="HA213" s="228"/>
      <c r="HB213" s="228"/>
      <c r="HC213" s="228"/>
      <c r="HD213" s="228"/>
      <c r="HE213" s="228"/>
      <c r="HF213" s="228"/>
      <c r="HG213" s="228"/>
      <c r="HH213" s="228"/>
      <c r="HI213" s="228"/>
      <c r="HJ213" s="228"/>
      <c r="HK213" s="228"/>
      <c r="HL213" s="228"/>
      <c r="HM213" s="228"/>
      <c r="HN213" s="228"/>
      <c r="HO213" s="228"/>
      <c r="HP213" s="228"/>
      <c r="HQ213" s="228"/>
      <c r="HR213" s="228"/>
      <c r="HS213" s="228"/>
      <c r="HT213" s="228"/>
      <c r="HU213" s="228"/>
      <c r="HV213" s="228"/>
      <c r="HW213" s="228"/>
      <c r="HX213" s="228"/>
      <c r="HY213" s="228"/>
      <c r="HZ213" s="228"/>
      <c r="IA213" s="228"/>
      <c r="IB213" s="228"/>
      <c r="IC213" s="228"/>
      <c r="ID213" s="228"/>
      <c r="IE213" s="228"/>
      <c r="IF213" s="228"/>
      <c r="IG213" s="228"/>
      <c r="IH213" s="228"/>
      <c r="II213" s="228"/>
      <c r="IJ213" s="228"/>
      <c r="IK213" s="228"/>
      <c r="IL213" s="228"/>
      <c r="IM213" s="228"/>
      <c r="IN213" s="228"/>
      <c r="IO213" s="228"/>
      <c r="IP213" s="228"/>
      <c r="IQ213" s="228"/>
      <c r="IR213" s="228"/>
      <c r="IS213" s="228"/>
      <c r="IT213" s="228"/>
      <c r="IU213" s="228"/>
      <c r="IV213" s="228"/>
    </row>
    <row r="214" spans="1:256" s="229" customFormat="1" ht="59.25" hidden="1" customHeight="1">
      <c r="A214" s="101">
        <f t="shared" si="9"/>
        <v>38</v>
      </c>
      <c r="B214" s="103" t="s">
        <v>531</v>
      </c>
      <c r="C214" s="104" t="s">
        <v>532</v>
      </c>
      <c r="D214" s="103" t="s">
        <v>534</v>
      </c>
      <c r="E214" s="104" t="s">
        <v>114</v>
      </c>
      <c r="F214" s="103" t="s">
        <v>91</v>
      </c>
      <c r="G214" s="106" t="s">
        <v>533</v>
      </c>
      <c r="H214" s="102" t="s">
        <v>7</v>
      </c>
      <c r="I214" s="103" t="s">
        <v>162</v>
      </c>
      <c r="J214" s="224">
        <v>42095</v>
      </c>
      <c r="K214" s="224"/>
      <c r="L214" s="224">
        <f t="shared" si="11"/>
        <v>42095</v>
      </c>
      <c r="M214" s="224">
        <v>42734</v>
      </c>
      <c r="N214" s="224"/>
      <c r="O214" s="224">
        <f t="shared" si="10"/>
        <v>42734</v>
      </c>
      <c r="P214" s="105" t="s">
        <v>122</v>
      </c>
      <c r="Q214" s="103" t="s">
        <v>115</v>
      </c>
      <c r="R214" s="103"/>
      <c r="S214" s="104" t="s">
        <v>143</v>
      </c>
      <c r="T214" s="104"/>
      <c r="U214" s="110">
        <v>20231138.239999998</v>
      </c>
      <c r="V214" s="109"/>
      <c r="W214" s="110">
        <v>0</v>
      </c>
      <c r="X214" s="259">
        <v>1011556.91</v>
      </c>
      <c r="Y214" s="260">
        <f>+U214-X214-Z214</f>
        <v>18005713.035599999</v>
      </c>
      <c r="Z214" s="259">
        <f>+U214*0.06</f>
        <v>1213868.2943999998</v>
      </c>
      <c r="AA214" s="226">
        <v>0</v>
      </c>
      <c r="AB214" s="219"/>
      <c r="AC214" s="219"/>
      <c r="AD214" s="219"/>
      <c r="AE214" s="219"/>
      <c r="AF214" s="219"/>
      <c r="AG214" s="100"/>
      <c r="AH214" s="230"/>
    </row>
    <row r="215" spans="1:256" s="229" customFormat="1" ht="90" hidden="1" customHeight="1">
      <c r="A215" s="101">
        <f t="shared" si="9"/>
        <v>39</v>
      </c>
      <c r="B215" s="103" t="s">
        <v>535</v>
      </c>
      <c r="C215" s="104" t="s">
        <v>134</v>
      </c>
      <c r="D215" s="103" t="s">
        <v>536</v>
      </c>
      <c r="E215" s="104" t="s">
        <v>114</v>
      </c>
      <c r="F215" s="103" t="s">
        <v>91</v>
      </c>
      <c r="G215" s="106" t="s">
        <v>161</v>
      </c>
      <c r="H215" s="102" t="s">
        <v>31</v>
      </c>
      <c r="I215" s="103" t="s">
        <v>162</v>
      </c>
      <c r="J215" s="224">
        <v>41883</v>
      </c>
      <c r="K215" s="224"/>
      <c r="L215" s="224">
        <f t="shared" si="11"/>
        <v>41883</v>
      </c>
      <c r="M215" s="224">
        <v>42277</v>
      </c>
      <c r="N215" s="224"/>
      <c r="O215" s="224">
        <f t="shared" si="10"/>
        <v>42277</v>
      </c>
      <c r="P215" s="105" t="s">
        <v>122</v>
      </c>
      <c r="Q215" s="103" t="s">
        <v>115</v>
      </c>
      <c r="R215" s="103"/>
      <c r="S215" s="104" t="s">
        <v>138</v>
      </c>
      <c r="T215" s="104"/>
      <c r="U215" s="110">
        <v>17000000</v>
      </c>
      <c r="V215" s="109"/>
      <c r="W215" s="110">
        <v>0</v>
      </c>
      <c r="X215" s="259">
        <v>0</v>
      </c>
      <c r="Y215" s="260">
        <f>+U215*0.235*0.3</f>
        <v>1198500</v>
      </c>
      <c r="Z215" s="259">
        <f>+U215-Y215-AA215</f>
        <v>14951500</v>
      </c>
      <c r="AA215" s="226">
        <f>+U215*0.05</f>
        <v>850000</v>
      </c>
      <c r="AB215" s="219"/>
      <c r="AC215" s="219"/>
      <c r="AD215" s="219"/>
      <c r="AE215" s="219"/>
      <c r="AF215" s="219"/>
      <c r="AG215" s="100"/>
      <c r="AH215" s="230"/>
    </row>
    <row r="216" spans="1:256" s="229" customFormat="1" ht="90" hidden="1" customHeight="1">
      <c r="A216" s="101">
        <v>46</v>
      </c>
      <c r="B216" s="103" t="s">
        <v>537</v>
      </c>
      <c r="C216" s="104" t="s">
        <v>134</v>
      </c>
      <c r="D216" s="103" t="s">
        <v>538</v>
      </c>
      <c r="E216" s="104" t="s">
        <v>114</v>
      </c>
      <c r="F216" s="103" t="s">
        <v>141</v>
      </c>
      <c r="G216" s="106" t="s">
        <v>286</v>
      </c>
      <c r="H216" s="102" t="s">
        <v>3</v>
      </c>
      <c r="I216" s="103" t="s">
        <v>278</v>
      </c>
      <c r="J216" s="224">
        <v>42826</v>
      </c>
      <c r="K216" s="224"/>
      <c r="L216" s="224">
        <f t="shared" si="11"/>
        <v>42826</v>
      </c>
      <c r="M216" s="224">
        <v>43190</v>
      </c>
      <c r="N216" s="224"/>
      <c r="O216" s="224">
        <f t="shared" si="10"/>
        <v>43190</v>
      </c>
      <c r="P216" s="105" t="s">
        <v>122</v>
      </c>
      <c r="Q216" s="103" t="s">
        <v>251</v>
      </c>
      <c r="R216" s="103"/>
      <c r="S216" s="104" t="s">
        <v>143</v>
      </c>
      <c r="T216" s="104"/>
      <c r="U216" s="110">
        <f>+(1823640+19*((1141850+1714473+2097122)/9)+3658606+1293526+1350713*4+24*(1022001/14)+300000+350000+929210+750000+150000)*1.23*1.07</f>
        <v>35359801.486404762</v>
      </c>
      <c r="V216" s="109"/>
      <c r="W216" s="110">
        <v>0</v>
      </c>
      <c r="X216" s="259">
        <f>+U216*0.35</f>
        <v>12375930.520241667</v>
      </c>
      <c r="Y216" s="259">
        <f>+U216-X216</f>
        <v>22983870.966163095</v>
      </c>
      <c r="Z216" s="259">
        <v>0</v>
      </c>
      <c r="AA216" s="226">
        <f>+U216*0.01</f>
        <v>353598.01486404764</v>
      </c>
      <c r="AB216" s="219"/>
      <c r="AC216" s="219"/>
      <c r="AD216" s="219"/>
      <c r="AE216" s="219"/>
      <c r="AF216" s="219"/>
      <c r="AG216" s="100"/>
      <c r="AH216" s="230"/>
    </row>
    <row r="217" spans="1:256" s="229" customFormat="1" ht="90" hidden="1" customHeight="1">
      <c r="A217" s="101">
        <f t="shared" si="9"/>
        <v>47</v>
      </c>
      <c r="B217" s="103" t="s">
        <v>539</v>
      </c>
      <c r="C217" s="104" t="s">
        <v>299</v>
      </c>
      <c r="D217" s="103" t="s">
        <v>540</v>
      </c>
      <c r="E217" s="104" t="s">
        <v>114</v>
      </c>
      <c r="F217" s="103" t="s">
        <v>141</v>
      </c>
      <c r="G217" s="106" t="s">
        <v>393</v>
      </c>
      <c r="H217" s="102" t="s">
        <v>3</v>
      </c>
      <c r="I217" s="103" t="s">
        <v>162</v>
      </c>
      <c r="J217" s="224">
        <v>41730</v>
      </c>
      <c r="K217" s="224"/>
      <c r="L217" s="224">
        <f t="shared" si="11"/>
        <v>41730</v>
      </c>
      <c r="M217" s="224">
        <v>42369</v>
      </c>
      <c r="N217" s="224"/>
      <c r="O217" s="224">
        <f t="shared" si="10"/>
        <v>42369</v>
      </c>
      <c r="P217" s="105" t="s">
        <v>122</v>
      </c>
      <c r="Q217" s="103" t="s">
        <v>115</v>
      </c>
      <c r="R217" s="103"/>
      <c r="S217" s="104" t="s">
        <v>143</v>
      </c>
      <c r="T217" s="104"/>
      <c r="U217" s="110">
        <f>+(1823640+12*((1141850+1714473+2097122)/9)+1293526+1247367+1350713*3+4298671+18*(1022001/14)+929210+300000+750000+150000)*1.23*1.07</f>
        <v>29958578.581428573</v>
      </c>
      <c r="V217" s="109"/>
      <c r="W217" s="110">
        <v>0</v>
      </c>
      <c r="X217" s="259">
        <v>1217258.03</v>
      </c>
      <c r="Y217" s="260">
        <v>15000000</v>
      </c>
      <c r="Z217" s="259">
        <v>8127902.5599999996</v>
      </c>
      <c r="AA217" s="226">
        <v>0</v>
      </c>
      <c r="AB217" s="219"/>
      <c r="AC217" s="219"/>
      <c r="AD217" s="219"/>
      <c r="AE217" s="219"/>
      <c r="AF217" s="219"/>
      <c r="AG217" s="100"/>
      <c r="AH217" s="230"/>
    </row>
    <row r="218" spans="1:256" s="229" customFormat="1" ht="90" hidden="1" customHeight="1">
      <c r="A218" s="101">
        <f t="shared" si="9"/>
        <v>48</v>
      </c>
      <c r="B218" s="103" t="s">
        <v>541</v>
      </c>
      <c r="C218" s="104" t="s">
        <v>140</v>
      </c>
      <c r="D218" s="103" t="s">
        <v>542</v>
      </c>
      <c r="E218" s="104" t="s">
        <v>114</v>
      </c>
      <c r="F218" s="103" t="s">
        <v>91</v>
      </c>
      <c r="G218" s="106" t="s">
        <v>228</v>
      </c>
      <c r="H218" s="102" t="s">
        <v>200</v>
      </c>
      <c r="I218" s="103" t="s">
        <v>173</v>
      </c>
      <c r="J218" s="224">
        <v>42461</v>
      </c>
      <c r="K218" s="224"/>
      <c r="L218" s="224">
        <f t="shared" si="11"/>
        <v>42461</v>
      </c>
      <c r="M218" s="224">
        <v>43100</v>
      </c>
      <c r="N218" s="224"/>
      <c r="O218" s="224">
        <f t="shared" si="10"/>
        <v>43100</v>
      </c>
      <c r="P218" s="105" t="s">
        <v>122</v>
      </c>
      <c r="Q218" s="103" t="s">
        <v>123</v>
      </c>
      <c r="R218" s="103"/>
      <c r="S218" s="104" t="s">
        <v>138</v>
      </c>
      <c r="T218" s="104"/>
      <c r="U218" s="110">
        <f>+(1350713*1.07+16*190000+450000+270000*2+300000+600000)*1.23</f>
        <v>7841573.3793000001</v>
      </c>
      <c r="V218" s="109"/>
      <c r="W218" s="110">
        <v>0</v>
      </c>
      <c r="X218" s="259">
        <v>0</v>
      </c>
      <c r="Y218" s="260">
        <f>+U218*0.235*0.3</f>
        <v>552830.92324064998</v>
      </c>
      <c r="Z218" s="259">
        <f>+U218-Y218-AA218</f>
        <v>7288742.4560593497</v>
      </c>
      <c r="AA218" s="226">
        <v>0</v>
      </c>
      <c r="AB218" s="219"/>
      <c r="AC218" s="219"/>
      <c r="AD218" s="219"/>
      <c r="AE218" s="219"/>
      <c r="AF218" s="219"/>
      <c r="AG218" s="100"/>
      <c r="AH218" s="230"/>
    </row>
    <row r="219" spans="1:256" s="229" customFormat="1" ht="90" hidden="1" customHeight="1">
      <c r="A219" s="101">
        <f t="shared" si="9"/>
        <v>49</v>
      </c>
      <c r="B219" s="103" t="s">
        <v>224</v>
      </c>
      <c r="C219" s="104" t="s">
        <v>299</v>
      </c>
      <c r="D219" s="103" t="s">
        <v>543</v>
      </c>
      <c r="E219" s="104" t="s">
        <v>114</v>
      </c>
      <c r="F219" s="103" t="s">
        <v>141</v>
      </c>
      <c r="G219" s="106" t="s">
        <v>224</v>
      </c>
      <c r="H219" s="102" t="s">
        <v>3</v>
      </c>
      <c r="I219" s="103" t="s">
        <v>173</v>
      </c>
      <c r="J219" s="224">
        <v>41730</v>
      </c>
      <c r="K219" s="224"/>
      <c r="L219" s="224">
        <f t="shared" si="11"/>
        <v>41730</v>
      </c>
      <c r="M219" s="224">
        <v>42735</v>
      </c>
      <c r="N219" s="224"/>
      <c r="O219" s="224">
        <f t="shared" si="10"/>
        <v>42735</v>
      </c>
      <c r="P219" s="105" t="s">
        <v>122</v>
      </c>
      <c r="Q219" s="103" t="s">
        <v>123</v>
      </c>
      <c r="R219" s="103"/>
      <c r="S219" s="104" t="s">
        <v>138</v>
      </c>
      <c r="T219" s="104"/>
      <c r="U219" s="110">
        <v>20552705.460000001</v>
      </c>
      <c r="V219" s="109"/>
      <c r="W219" s="110">
        <v>0</v>
      </c>
      <c r="X219" s="259">
        <v>0</v>
      </c>
      <c r="Y219" s="259">
        <v>0</v>
      </c>
      <c r="Z219" s="259">
        <f>+U219*0.235*0.3</f>
        <v>1448965.7349299998</v>
      </c>
      <c r="AA219" s="226">
        <f>+U219-Z219-AB219</f>
        <v>19103739.72507</v>
      </c>
      <c r="AB219" s="219"/>
      <c r="AC219" s="219"/>
      <c r="AD219" s="219"/>
      <c r="AE219" s="219"/>
      <c r="AF219" s="219"/>
      <c r="AG219" s="100"/>
      <c r="AH219" s="230"/>
    </row>
    <row r="220" spans="1:256" s="229" customFormat="1" ht="90" hidden="1" customHeight="1">
      <c r="A220" s="101">
        <f t="shared" si="9"/>
        <v>50</v>
      </c>
      <c r="B220" s="103" t="s">
        <v>544</v>
      </c>
      <c r="C220" s="104" t="s">
        <v>398</v>
      </c>
      <c r="D220" s="103" t="s">
        <v>545</v>
      </c>
      <c r="E220" s="104" t="s">
        <v>114</v>
      </c>
      <c r="F220" s="103" t="s">
        <v>88</v>
      </c>
      <c r="G220" s="106" t="s">
        <v>129</v>
      </c>
      <c r="H220" s="102" t="s">
        <v>97</v>
      </c>
      <c r="I220" s="103" t="s">
        <v>173</v>
      </c>
      <c r="J220" s="224">
        <v>41730</v>
      </c>
      <c r="K220" s="224"/>
      <c r="L220" s="224">
        <f t="shared" si="11"/>
        <v>41730</v>
      </c>
      <c r="M220" s="224">
        <v>42369</v>
      </c>
      <c r="N220" s="224"/>
      <c r="O220" s="224">
        <f t="shared" si="10"/>
        <v>42369</v>
      </c>
      <c r="P220" s="105" t="s">
        <v>122</v>
      </c>
      <c r="Q220" s="103" t="s">
        <v>123</v>
      </c>
      <c r="R220" s="103"/>
      <c r="S220" s="104" t="s">
        <v>138</v>
      </c>
      <c r="T220" s="104"/>
      <c r="U220" s="110">
        <v>25000000</v>
      </c>
      <c r="V220" s="109"/>
      <c r="W220" s="110">
        <v>0</v>
      </c>
      <c r="X220" s="259">
        <v>0</v>
      </c>
      <c r="Y220" s="260">
        <f>+U220*0.235*0.3</f>
        <v>1762500</v>
      </c>
      <c r="Z220" s="259">
        <f>+U220-Y220-AA220</f>
        <v>21987500</v>
      </c>
      <c r="AA220" s="226">
        <f>+U220*0.05</f>
        <v>1250000</v>
      </c>
      <c r="AB220" s="219"/>
      <c r="AC220" s="219"/>
      <c r="AD220" s="219"/>
      <c r="AE220" s="219"/>
      <c r="AF220" s="219"/>
      <c r="AG220" s="100"/>
      <c r="AH220" s="230"/>
    </row>
    <row r="221" spans="1:256" s="229" customFormat="1" ht="90" hidden="1" customHeight="1">
      <c r="A221" s="101">
        <f t="shared" si="9"/>
        <v>51</v>
      </c>
      <c r="B221" s="103" t="s">
        <v>546</v>
      </c>
      <c r="C221" s="104" t="s">
        <v>134</v>
      </c>
      <c r="D221" s="103" t="s">
        <v>547</v>
      </c>
      <c r="E221" s="104" t="s">
        <v>114</v>
      </c>
      <c r="F221" s="103" t="s">
        <v>88</v>
      </c>
      <c r="G221" s="106" t="s">
        <v>129</v>
      </c>
      <c r="H221" s="102" t="s">
        <v>97</v>
      </c>
      <c r="I221" s="103" t="s">
        <v>162</v>
      </c>
      <c r="J221" s="224">
        <v>42125</v>
      </c>
      <c r="K221" s="224"/>
      <c r="L221" s="224">
        <f t="shared" si="11"/>
        <v>42125</v>
      </c>
      <c r="M221" s="224">
        <v>42735</v>
      </c>
      <c r="N221" s="224"/>
      <c r="O221" s="224">
        <f t="shared" si="10"/>
        <v>42735</v>
      </c>
      <c r="P221" s="105" t="s">
        <v>122</v>
      </c>
      <c r="Q221" s="103" t="s">
        <v>115</v>
      </c>
      <c r="R221" s="103"/>
      <c r="S221" s="104" t="s">
        <v>138</v>
      </c>
      <c r="T221" s="104"/>
      <c r="U221" s="110">
        <v>26554248</v>
      </c>
      <c r="V221" s="109"/>
      <c r="W221" s="110">
        <v>0</v>
      </c>
      <c r="X221" s="259">
        <v>0</v>
      </c>
      <c r="Y221" s="259">
        <v>0</v>
      </c>
      <c r="Z221" s="259">
        <f>+U221*0.235*0.3</f>
        <v>1872074.4839999997</v>
      </c>
      <c r="AA221" s="226">
        <f>+U221-Z221-AB221</f>
        <v>24682173.515999999</v>
      </c>
      <c r="AB221" s="219"/>
      <c r="AC221" s="219"/>
      <c r="AD221" s="219"/>
      <c r="AE221" s="219"/>
      <c r="AF221" s="219"/>
      <c r="AG221" s="100"/>
      <c r="AH221" s="230"/>
    </row>
    <row r="222" spans="1:256" s="229" customFormat="1" ht="90" hidden="1" customHeight="1">
      <c r="A222" s="101">
        <v>47</v>
      </c>
      <c r="B222" s="103" t="s">
        <v>548</v>
      </c>
      <c r="C222" s="104" t="s">
        <v>134</v>
      </c>
      <c r="D222" s="103" t="s">
        <v>549</v>
      </c>
      <c r="E222" s="104" t="s">
        <v>114</v>
      </c>
      <c r="F222" s="103" t="s">
        <v>84</v>
      </c>
      <c r="G222" s="106" t="s">
        <v>148</v>
      </c>
      <c r="H222" s="102" t="s">
        <v>3</v>
      </c>
      <c r="I222" s="103" t="s">
        <v>162</v>
      </c>
      <c r="J222" s="224">
        <v>42156</v>
      </c>
      <c r="K222" s="224"/>
      <c r="L222" s="224">
        <f t="shared" si="11"/>
        <v>42156</v>
      </c>
      <c r="M222" s="224">
        <v>42308</v>
      </c>
      <c r="N222" s="224"/>
      <c r="O222" s="224">
        <f t="shared" ref="O222:O285" si="12">M222+(N222*22)</f>
        <v>42308</v>
      </c>
      <c r="P222" s="105" t="s">
        <v>122</v>
      </c>
      <c r="Q222" s="103" t="s">
        <v>115</v>
      </c>
      <c r="R222" s="103"/>
      <c r="S222" s="104" t="s">
        <v>143</v>
      </c>
      <c r="T222" s="104"/>
      <c r="U222" s="110">
        <v>1090680</v>
      </c>
      <c r="V222" s="109"/>
      <c r="W222" s="110">
        <v>0</v>
      </c>
      <c r="X222" s="259">
        <f>+U222</f>
        <v>1090680</v>
      </c>
      <c r="Y222" s="259">
        <v>0</v>
      </c>
      <c r="Z222" s="259">
        <v>0</v>
      </c>
      <c r="AA222" s="226">
        <v>0</v>
      </c>
      <c r="AB222" s="219"/>
      <c r="AC222" s="219"/>
      <c r="AD222" s="219"/>
      <c r="AE222" s="219"/>
      <c r="AF222" s="219"/>
      <c r="AG222" s="100"/>
      <c r="AH222" s="230"/>
    </row>
    <row r="223" spans="1:256" s="229" customFormat="1" ht="90" hidden="1" customHeight="1">
      <c r="A223" s="101">
        <f t="shared" ref="A223:A284" si="13">+A222+1</f>
        <v>48</v>
      </c>
      <c r="B223" s="103" t="s">
        <v>550</v>
      </c>
      <c r="C223" s="104" t="s">
        <v>134</v>
      </c>
      <c r="D223" s="103" t="s">
        <v>549</v>
      </c>
      <c r="E223" s="104" t="s">
        <v>114</v>
      </c>
      <c r="F223" s="103" t="s">
        <v>84</v>
      </c>
      <c r="G223" s="106" t="s">
        <v>363</v>
      </c>
      <c r="H223" s="102" t="s">
        <v>3</v>
      </c>
      <c r="I223" s="103" t="s">
        <v>162</v>
      </c>
      <c r="J223" s="224">
        <v>42156</v>
      </c>
      <c r="K223" s="224"/>
      <c r="L223" s="224">
        <f t="shared" si="11"/>
        <v>42156</v>
      </c>
      <c r="M223" s="224">
        <v>42308</v>
      </c>
      <c r="N223" s="224"/>
      <c r="O223" s="224">
        <f t="shared" si="12"/>
        <v>42308</v>
      </c>
      <c r="P223" s="105" t="s">
        <v>122</v>
      </c>
      <c r="Q223" s="103" t="s">
        <v>115</v>
      </c>
      <c r="R223" s="103"/>
      <c r="S223" s="104" t="s">
        <v>143</v>
      </c>
      <c r="T223" s="104"/>
      <c r="U223" s="110">
        <v>1090680</v>
      </c>
      <c r="V223" s="109"/>
      <c r="W223" s="110">
        <v>0</v>
      </c>
      <c r="X223" s="259">
        <f t="shared" ref="X223:X248" si="14">+U223</f>
        <v>1090680</v>
      </c>
      <c r="Y223" s="259">
        <v>0</v>
      </c>
      <c r="Z223" s="259">
        <v>0</v>
      </c>
      <c r="AA223" s="226">
        <v>0</v>
      </c>
      <c r="AB223" s="219"/>
      <c r="AC223" s="219"/>
      <c r="AD223" s="219"/>
      <c r="AE223" s="219"/>
      <c r="AF223" s="219"/>
      <c r="AG223" s="100"/>
      <c r="AH223" s="230"/>
    </row>
    <row r="224" spans="1:256" s="229" customFormat="1" ht="90" hidden="1" customHeight="1">
      <c r="A224" s="101">
        <f t="shared" si="13"/>
        <v>49</v>
      </c>
      <c r="B224" s="103" t="s">
        <v>551</v>
      </c>
      <c r="C224" s="104" t="s">
        <v>134</v>
      </c>
      <c r="D224" s="103" t="s">
        <v>549</v>
      </c>
      <c r="E224" s="104" t="s">
        <v>114</v>
      </c>
      <c r="F224" s="103" t="s">
        <v>84</v>
      </c>
      <c r="G224" s="106"/>
      <c r="H224" s="102" t="s">
        <v>3</v>
      </c>
      <c r="I224" s="103" t="s">
        <v>162</v>
      </c>
      <c r="J224" s="224">
        <v>42156</v>
      </c>
      <c r="K224" s="224"/>
      <c r="L224" s="224">
        <f t="shared" si="11"/>
        <v>42156</v>
      </c>
      <c r="M224" s="224">
        <v>42308</v>
      </c>
      <c r="N224" s="224"/>
      <c r="O224" s="224">
        <f t="shared" si="12"/>
        <v>42308</v>
      </c>
      <c r="P224" s="105" t="s">
        <v>122</v>
      </c>
      <c r="Q224" s="103" t="s">
        <v>115</v>
      </c>
      <c r="R224" s="103"/>
      <c r="S224" s="104" t="s">
        <v>143</v>
      </c>
      <c r="T224" s="104"/>
      <c r="U224" s="110">
        <v>1090680</v>
      </c>
      <c r="V224" s="109"/>
      <c r="W224" s="110">
        <v>0</v>
      </c>
      <c r="X224" s="259">
        <f t="shared" si="14"/>
        <v>1090680</v>
      </c>
      <c r="Y224" s="259">
        <v>0</v>
      </c>
      <c r="Z224" s="259">
        <v>0</v>
      </c>
      <c r="AA224" s="226">
        <v>0</v>
      </c>
      <c r="AB224" s="219"/>
      <c r="AC224" s="219"/>
      <c r="AD224" s="219"/>
      <c r="AE224" s="219"/>
      <c r="AF224" s="219"/>
      <c r="AG224" s="100"/>
      <c r="AH224" s="230"/>
    </row>
    <row r="225" spans="1:34" s="229" customFormat="1" ht="51" hidden="1">
      <c r="A225" s="101">
        <f t="shared" si="13"/>
        <v>50</v>
      </c>
      <c r="B225" s="103" t="s">
        <v>552</v>
      </c>
      <c r="C225" s="104" t="s">
        <v>134</v>
      </c>
      <c r="D225" s="103" t="s">
        <v>549</v>
      </c>
      <c r="E225" s="104" t="s">
        <v>114</v>
      </c>
      <c r="F225" s="103" t="s">
        <v>84</v>
      </c>
      <c r="G225" s="106" t="s">
        <v>145</v>
      </c>
      <c r="H225" s="102" t="s">
        <v>3</v>
      </c>
      <c r="I225" s="103" t="s">
        <v>162</v>
      </c>
      <c r="J225" s="224">
        <v>42156</v>
      </c>
      <c r="K225" s="224"/>
      <c r="L225" s="224">
        <f t="shared" si="11"/>
        <v>42156</v>
      </c>
      <c r="M225" s="224">
        <v>42308</v>
      </c>
      <c r="N225" s="224"/>
      <c r="O225" s="224">
        <f t="shared" si="12"/>
        <v>42308</v>
      </c>
      <c r="P225" s="105" t="s">
        <v>122</v>
      </c>
      <c r="Q225" s="103" t="s">
        <v>115</v>
      </c>
      <c r="R225" s="103"/>
      <c r="S225" s="104" t="s">
        <v>143</v>
      </c>
      <c r="T225" s="104"/>
      <c r="U225" s="110">
        <v>1305240</v>
      </c>
      <c r="V225" s="109"/>
      <c r="W225" s="110">
        <v>0</v>
      </c>
      <c r="X225" s="259">
        <f t="shared" si="14"/>
        <v>1305240</v>
      </c>
      <c r="Y225" s="259">
        <v>0</v>
      </c>
      <c r="Z225" s="259">
        <v>0</v>
      </c>
      <c r="AA225" s="226">
        <v>0</v>
      </c>
      <c r="AB225" s="219"/>
      <c r="AC225" s="219"/>
      <c r="AD225" s="219"/>
      <c r="AE225" s="219"/>
      <c r="AF225" s="219"/>
      <c r="AG225" s="100"/>
      <c r="AH225" s="230"/>
    </row>
    <row r="226" spans="1:34" s="229" customFormat="1" ht="51" hidden="1">
      <c r="A226" s="101">
        <f t="shared" si="13"/>
        <v>51</v>
      </c>
      <c r="B226" s="103" t="s">
        <v>553</v>
      </c>
      <c r="C226" s="104" t="s">
        <v>134</v>
      </c>
      <c r="D226" s="103" t="s">
        <v>549</v>
      </c>
      <c r="E226" s="104" t="s">
        <v>114</v>
      </c>
      <c r="F226" s="103" t="s">
        <v>84</v>
      </c>
      <c r="G226" s="106" t="s">
        <v>224</v>
      </c>
      <c r="H226" s="102" t="s">
        <v>3</v>
      </c>
      <c r="I226" s="103" t="s">
        <v>162</v>
      </c>
      <c r="J226" s="224">
        <v>42156</v>
      </c>
      <c r="K226" s="224"/>
      <c r="L226" s="224">
        <f t="shared" si="11"/>
        <v>42156</v>
      </c>
      <c r="M226" s="224">
        <v>42308</v>
      </c>
      <c r="N226" s="224"/>
      <c r="O226" s="224">
        <f t="shared" si="12"/>
        <v>42308</v>
      </c>
      <c r="P226" s="105" t="s">
        <v>122</v>
      </c>
      <c r="Q226" s="103" t="s">
        <v>115</v>
      </c>
      <c r="R226" s="103"/>
      <c r="S226" s="104" t="s">
        <v>143</v>
      </c>
      <c r="T226" s="104"/>
      <c r="U226" s="110">
        <v>1184550</v>
      </c>
      <c r="V226" s="109"/>
      <c r="W226" s="110">
        <v>0</v>
      </c>
      <c r="X226" s="259">
        <f t="shared" si="14"/>
        <v>1184550</v>
      </c>
      <c r="Y226" s="259">
        <v>0</v>
      </c>
      <c r="Z226" s="259">
        <v>0</v>
      </c>
      <c r="AA226" s="226">
        <v>0</v>
      </c>
      <c r="AB226" s="219"/>
      <c r="AC226" s="219"/>
      <c r="AD226" s="219"/>
      <c r="AE226" s="219"/>
      <c r="AF226" s="219"/>
      <c r="AG226" s="100"/>
      <c r="AH226" s="230"/>
    </row>
    <row r="227" spans="1:34" s="229" customFormat="1" ht="51" hidden="1">
      <c r="A227" s="101">
        <f t="shared" si="13"/>
        <v>52</v>
      </c>
      <c r="B227" s="103" t="s">
        <v>554</v>
      </c>
      <c r="C227" s="104" t="s">
        <v>140</v>
      </c>
      <c r="D227" s="103" t="s">
        <v>549</v>
      </c>
      <c r="E227" s="104" t="s">
        <v>114</v>
      </c>
      <c r="F227" s="103" t="s">
        <v>84</v>
      </c>
      <c r="G227" s="106" t="s">
        <v>363</v>
      </c>
      <c r="H227" s="102" t="s">
        <v>3</v>
      </c>
      <c r="I227" s="103" t="s">
        <v>162</v>
      </c>
      <c r="J227" s="224">
        <v>42156</v>
      </c>
      <c r="K227" s="224"/>
      <c r="L227" s="224">
        <f t="shared" si="11"/>
        <v>42156</v>
      </c>
      <c r="M227" s="224">
        <v>42308</v>
      </c>
      <c r="N227" s="224"/>
      <c r="O227" s="224">
        <f t="shared" si="12"/>
        <v>42308</v>
      </c>
      <c r="P227" s="105" t="s">
        <v>122</v>
      </c>
      <c r="Q227" s="103" t="s">
        <v>115</v>
      </c>
      <c r="R227" s="103"/>
      <c r="S227" s="104" t="s">
        <v>143</v>
      </c>
      <c r="T227" s="104"/>
      <c r="U227" s="110">
        <v>1090680</v>
      </c>
      <c r="V227" s="109"/>
      <c r="W227" s="110">
        <v>0</v>
      </c>
      <c r="X227" s="259">
        <f t="shared" si="14"/>
        <v>1090680</v>
      </c>
      <c r="Y227" s="259">
        <v>0</v>
      </c>
      <c r="Z227" s="259">
        <v>0</v>
      </c>
      <c r="AA227" s="226">
        <v>0</v>
      </c>
      <c r="AB227" s="219"/>
      <c r="AC227" s="219"/>
      <c r="AD227" s="219"/>
      <c r="AE227" s="219"/>
      <c r="AF227" s="219"/>
      <c r="AG227" s="100"/>
      <c r="AH227" s="230"/>
    </row>
    <row r="228" spans="1:34" s="229" customFormat="1" ht="51" hidden="1">
      <c r="A228" s="101">
        <f t="shared" si="13"/>
        <v>53</v>
      </c>
      <c r="B228" s="103" t="s">
        <v>555</v>
      </c>
      <c r="C228" s="104" t="s">
        <v>134</v>
      </c>
      <c r="D228" s="103" t="s">
        <v>549</v>
      </c>
      <c r="E228" s="104" t="s">
        <v>114</v>
      </c>
      <c r="F228" s="103" t="s">
        <v>84</v>
      </c>
      <c r="G228" s="106" t="s">
        <v>363</v>
      </c>
      <c r="H228" s="102" t="s">
        <v>3</v>
      </c>
      <c r="I228" s="103" t="s">
        <v>162</v>
      </c>
      <c r="J228" s="224">
        <v>42156</v>
      </c>
      <c r="K228" s="224"/>
      <c r="L228" s="224">
        <f t="shared" si="11"/>
        <v>42156</v>
      </c>
      <c r="M228" s="224">
        <v>42308</v>
      </c>
      <c r="N228" s="224"/>
      <c r="O228" s="224">
        <f t="shared" si="12"/>
        <v>42308</v>
      </c>
      <c r="P228" s="105" t="s">
        <v>122</v>
      </c>
      <c r="Q228" s="103" t="s">
        <v>115</v>
      </c>
      <c r="R228" s="103"/>
      <c r="S228" s="104" t="s">
        <v>143</v>
      </c>
      <c r="T228" s="104"/>
      <c r="U228" s="110">
        <v>2842920</v>
      </c>
      <c r="V228" s="109"/>
      <c r="W228" s="110">
        <v>0</v>
      </c>
      <c r="X228" s="259">
        <f t="shared" si="14"/>
        <v>2842920</v>
      </c>
      <c r="Y228" s="259">
        <v>0</v>
      </c>
      <c r="Z228" s="259">
        <v>0</v>
      </c>
      <c r="AA228" s="226">
        <v>0</v>
      </c>
      <c r="AB228" s="219"/>
      <c r="AC228" s="219"/>
      <c r="AD228" s="219"/>
      <c r="AE228" s="219"/>
      <c r="AF228" s="219"/>
      <c r="AG228" s="100"/>
      <c r="AH228" s="230"/>
    </row>
    <row r="229" spans="1:34" s="229" customFormat="1" ht="51" hidden="1">
      <c r="A229" s="101">
        <f t="shared" si="13"/>
        <v>54</v>
      </c>
      <c r="B229" s="103" t="s">
        <v>556</v>
      </c>
      <c r="C229" s="104" t="s">
        <v>134</v>
      </c>
      <c r="D229" s="103" t="s">
        <v>549</v>
      </c>
      <c r="E229" s="104" t="s">
        <v>114</v>
      </c>
      <c r="F229" s="103" t="s">
        <v>84</v>
      </c>
      <c r="G229" s="106" t="s">
        <v>222</v>
      </c>
      <c r="H229" s="102" t="s">
        <v>3</v>
      </c>
      <c r="I229" s="103" t="s">
        <v>162</v>
      </c>
      <c r="J229" s="224">
        <v>42156</v>
      </c>
      <c r="K229" s="224"/>
      <c r="L229" s="224">
        <f t="shared" si="11"/>
        <v>42156</v>
      </c>
      <c r="M229" s="224">
        <v>42308</v>
      </c>
      <c r="N229" s="224"/>
      <c r="O229" s="224">
        <f t="shared" si="12"/>
        <v>42308</v>
      </c>
      <c r="P229" s="105" t="s">
        <v>122</v>
      </c>
      <c r="Q229" s="103" t="s">
        <v>115</v>
      </c>
      <c r="R229" s="103"/>
      <c r="S229" s="104" t="s">
        <v>143</v>
      </c>
      <c r="T229" s="104"/>
      <c r="U229" s="110">
        <v>295020</v>
      </c>
      <c r="V229" s="109"/>
      <c r="W229" s="110">
        <v>0</v>
      </c>
      <c r="X229" s="259">
        <f t="shared" si="14"/>
        <v>295020</v>
      </c>
      <c r="Y229" s="259">
        <v>0</v>
      </c>
      <c r="Z229" s="259">
        <v>0</v>
      </c>
      <c r="AA229" s="226">
        <v>0</v>
      </c>
      <c r="AB229" s="219"/>
      <c r="AC229" s="219"/>
      <c r="AD229" s="219"/>
      <c r="AE229" s="219"/>
      <c r="AF229" s="219"/>
      <c r="AG229" s="100"/>
      <c r="AH229" s="230"/>
    </row>
    <row r="230" spans="1:34" s="229" customFormat="1" ht="51" hidden="1">
      <c r="A230" s="101">
        <f t="shared" si="13"/>
        <v>55</v>
      </c>
      <c r="B230" s="103" t="s">
        <v>557</v>
      </c>
      <c r="C230" s="104" t="s">
        <v>134</v>
      </c>
      <c r="D230" s="103" t="s">
        <v>549</v>
      </c>
      <c r="E230" s="104" t="s">
        <v>114</v>
      </c>
      <c r="F230" s="103" t="s">
        <v>84</v>
      </c>
      <c r="G230" s="106" t="s">
        <v>286</v>
      </c>
      <c r="H230" s="102" t="s">
        <v>3</v>
      </c>
      <c r="I230" s="103" t="s">
        <v>162</v>
      </c>
      <c r="J230" s="224">
        <v>42156</v>
      </c>
      <c r="K230" s="224"/>
      <c r="L230" s="224">
        <f t="shared" si="11"/>
        <v>42156</v>
      </c>
      <c r="M230" s="224">
        <v>42308</v>
      </c>
      <c r="N230" s="224"/>
      <c r="O230" s="224">
        <f t="shared" si="12"/>
        <v>42308</v>
      </c>
      <c r="P230" s="105" t="s">
        <v>122</v>
      </c>
      <c r="Q230" s="103" t="s">
        <v>115</v>
      </c>
      <c r="R230" s="103"/>
      <c r="S230" s="104" t="s">
        <v>143</v>
      </c>
      <c r="T230" s="104"/>
      <c r="U230" s="110">
        <v>84930</v>
      </c>
      <c r="V230" s="109"/>
      <c r="W230" s="110">
        <v>0</v>
      </c>
      <c r="X230" s="259">
        <f t="shared" si="14"/>
        <v>84930</v>
      </c>
      <c r="Y230" s="259">
        <v>0</v>
      </c>
      <c r="Z230" s="259">
        <v>0</v>
      </c>
      <c r="AA230" s="226">
        <v>0</v>
      </c>
      <c r="AB230" s="219"/>
      <c r="AC230" s="219"/>
      <c r="AD230" s="219"/>
      <c r="AE230" s="219"/>
      <c r="AF230" s="219"/>
      <c r="AG230" s="100"/>
      <c r="AH230" s="230"/>
    </row>
    <row r="231" spans="1:34" s="229" customFormat="1" ht="51" hidden="1">
      <c r="A231" s="101">
        <f t="shared" si="13"/>
        <v>56</v>
      </c>
      <c r="B231" s="103" t="s">
        <v>440</v>
      </c>
      <c r="C231" s="104" t="s">
        <v>134</v>
      </c>
      <c r="D231" s="103" t="s">
        <v>549</v>
      </c>
      <c r="E231" s="104" t="s">
        <v>114</v>
      </c>
      <c r="F231" s="103" t="s">
        <v>84</v>
      </c>
      <c r="G231" s="106" t="s">
        <v>222</v>
      </c>
      <c r="H231" s="102" t="s">
        <v>3</v>
      </c>
      <c r="I231" s="103" t="s">
        <v>162</v>
      </c>
      <c r="J231" s="224">
        <v>42156</v>
      </c>
      <c r="K231" s="224"/>
      <c r="L231" s="224">
        <f t="shared" si="11"/>
        <v>42156</v>
      </c>
      <c r="M231" s="224">
        <v>42308</v>
      </c>
      <c r="N231" s="224"/>
      <c r="O231" s="224">
        <f t="shared" si="12"/>
        <v>42308</v>
      </c>
      <c r="P231" s="105" t="s">
        <v>122</v>
      </c>
      <c r="Q231" s="103" t="s">
        <v>115</v>
      </c>
      <c r="R231" s="103"/>
      <c r="S231" s="104" t="s">
        <v>143</v>
      </c>
      <c r="T231" s="104"/>
      <c r="U231" s="110">
        <v>1636020</v>
      </c>
      <c r="V231" s="109"/>
      <c r="W231" s="110">
        <v>0</v>
      </c>
      <c r="X231" s="259">
        <f t="shared" si="14"/>
        <v>1636020</v>
      </c>
      <c r="Y231" s="259">
        <v>0</v>
      </c>
      <c r="Z231" s="259">
        <v>0</v>
      </c>
      <c r="AA231" s="226">
        <v>0</v>
      </c>
      <c r="AB231" s="219"/>
      <c r="AC231" s="219"/>
      <c r="AD231" s="219"/>
      <c r="AE231" s="219"/>
      <c r="AF231" s="219"/>
      <c r="AG231" s="100"/>
      <c r="AH231" s="230"/>
    </row>
    <row r="232" spans="1:34" s="229" customFormat="1" ht="51" hidden="1">
      <c r="A232" s="101">
        <f t="shared" si="13"/>
        <v>57</v>
      </c>
      <c r="B232" s="103" t="s">
        <v>558</v>
      </c>
      <c r="C232" s="104" t="s">
        <v>134</v>
      </c>
      <c r="D232" s="103" t="s">
        <v>549</v>
      </c>
      <c r="E232" s="104" t="s">
        <v>114</v>
      </c>
      <c r="F232" s="103" t="s">
        <v>84</v>
      </c>
      <c r="G232" s="106" t="s">
        <v>286</v>
      </c>
      <c r="H232" s="102" t="s">
        <v>3</v>
      </c>
      <c r="I232" s="103" t="s">
        <v>162</v>
      </c>
      <c r="J232" s="224">
        <v>42156</v>
      </c>
      <c r="K232" s="224"/>
      <c r="L232" s="224">
        <f t="shared" si="11"/>
        <v>42156</v>
      </c>
      <c r="M232" s="224">
        <v>42308</v>
      </c>
      <c r="N232" s="224"/>
      <c r="O232" s="224">
        <f t="shared" si="12"/>
        <v>42308</v>
      </c>
      <c r="P232" s="105" t="s">
        <v>122</v>
      </c>
      <c r="Q232" s="103" t="s">
        <v>115</v>
      </c>
      <c r="R232" s="103"/>
      <c r="S232" s="104" t="s">
        <v>143</v>
      </c>
      <c r="T232" s="104"/>
      <c r="U232" s="110">
        <v>4188390</v>
      </c>
      <c r="V232" s="109"/>
      <c r="W232" s="110">
        <v>0</v>
      </c>
      <c r="X232" s="259">
        <f t="shared" si="14"/>
        <v>4188390</v>
      </c>
      <c r="Y232" s="259">
        <v>0</v>
      </c>
      <c r="Z232" s="259">
        <v>0</v>
      </c>
      <c r="AA232" s="226">
        <v>0</v>
      </c>
      <c r="AB232" s="219"/>
      <c r="AC232" s="219"/>
      <c r="AD232" s="219"/>
      <c r="AE232" s="219"/>
      <c r="AF232" s="219"/>
      <c r="AG232" s="100"/>
      <c r="AH232" s="230"/>
    </row>
    <row r="233" spans="1:34" s="229" customFormat="1" ht="63.75" hidden="1">
      <c r="A233" s="101">
        <f t="shared" si="13"/>
        <v>58</v>
      </c>
      <c r="B233" s="103" t="s">
        <v>559</v>
      </c>
      <c r="C233" s="104" t="s">
        <v>134</v>
      </c>
      <c r="D233" s="103" t="s">
        <v>560</v>
      </c>
      <c r="E233" s="104" t="s">
        <v>114</v>
      </c>
      <c r="F233" s="103" t="s">
        <v>84</v>
      </c>
      <c r="G233" s="106" t="s">
        <v>363</v>
      </c>
      <c r="H233" s="102" t="s">
        <v>3</v>
      </c>
      <c r="I233" s="103" t="s">
        <v>162</v>
      </c>
      <c r="J233" s="224">
        <v>42156</v>
      </c>
      <c r="K233" s="224"/>
      <c r="L233" s="224">
        <f t="shared" si="11"/>
        <v>42156</v>
      </c>
      <c r="M233" s="224">
        <v>42308</v>
      </c>
      <c r="N233" s="224"/>
      <c r="O233" s="224">
        <f t="shared" si="12"/>
        <v>42308</v>
      </c>
      <c r="P233" s="105" t="s">
        <v>122</v>
      </c>
      <c r="Q233" s="103" t="s">
        <v>115</v>
      </c>
      <c r="R233" s="103"/>
      <c r="S233" s="104" t="s">
        <v>143</v>
      </c>
      <c r="T233" s="104"/>
      <c r="U233" s="110">
        <v>3339090</v>
      </c>
      <c r="V233" s="109"/>
      <c r="W233" s="110">
        <v>0</v>
      </c>
      <c r="X233" s="259">
        <f>+U233+702991</f>
        <v>4042081</v>
      </c>
      <c r="Y233" s="259">
        <v>0</v>
      </c>
      <c r="Z233" s="259">
        <v>0</v>
      </c>
      <c r="AA233" s="226">
        <v>0</v>
      </c>
      <c r="AB233" s="219"/>
      <c r="AC233" s="219"/>
      <c r="AD233" s="219"/>
      <c r="AE233" s="219"/>
      <c r="AF233" s="219"/>
      <c r="AG233" s="100"/>
      <c r="AH233" s="230"/>
    </row>
    <row r="234" spans="1:34" s="229" customFormat="1" ht="51" hidden="1">
      <c r="A234" s="101">
        <f t="shared" si="13"/>
        <v>59</v>
      </c>
      <c r="B234" s="103" t="s">
        <v>561</v>
      </c>
      <c r="C234" s="104"/>
      <c r="D234" s="103" t="s">
        <v>549</v>
      </c>
      <c r="E234" s="104" t="s">
        <v>114</v>
      </c>
      <c r="F234" s="103" t="s">
        <v>84</v>
      </c>
      <c r="G234" s="106"/>
      <c r="H234" s="102" t="s">
        <v>3</v>
      </c>
      <c r="I234" s="103" t="s">
        <v>162</v>
      </c>
      <c r="J234" s="224">
        <v>42156</v>
      </c>
      <c r="K234" s="224"/>
      <c r="L234" s="224">
        <f t="shared" si="11"/>
        <v>42156</v>
      </c>
      <c r="M234" s="224">
        <v>42308</v>
      </c>
      <c r="N234" s="224"/>
      <c r="O234" s="224">
        <f t="shared" si="12"/>
        <v>42308</v>
      </c>
      <c r="P234" s="105" t="s">
        <v>122</v>
      </c>
      <c r="Q234" s="103" t="s">
        <v>115</v>
      </c>
      <c r="R234" s="103"/>
      <c r="S234" s="104" t="s">
        <v>143</v>
      </c>
      <c r="T234" s="104"/>
      <c r="U234" s="110">
        <v>411240</v>
      </c>
      <c r="V234" s="109"/>
      <c r="W234" s="110">
        <v>0</v>
      </c>
      <c r="X234" s="259">
        <f t="shared" si="14"/>
        <v>411240</v>
      </c>
      <c r="Y234" s="259">
        <v>0</v>
      </c>
      <c r="Z234" s="259">
        <v>0</v>
      </c>
      <c r="AA234" s="226">
        <v>0</v>
      </c>
      <c r="AB234" s="219"/>
      <c r="AC234" s="219"/>
      <c r="AD234" s="219"/>
      <c r="AE234" s="219"/>
      <c r="AF234" s="219"/>
      <c r="AG234" s="100"/>
      <c r="AH234" s="230"/>
    </row>
    <row r="235" spans="1:34" s="229" customFormat="1" ht="51" hidden="1">
      <c r="A235" s="101">
        <f t="shared" si="13"/>
        <v>60</v>
      </c>
      <c r="B235" s="103" t="s">
        <v>562</v>
      </c>
      <c r="C235" s="104" t="s">
        <v>140</v>
      </c>
      <c r="D235" s="103" t="s">
        <v>549</v>
      </c>
      <c r="E235" s="104" t="s">
        <v>114</v>
      </c>
      <c r="F235" s="103" t="s">
        <v>84</v>
      </c>
      <c r="G235" s="106" t="s">
        <v>222</v>
      </c>
      <c r="H235" s="102" t="s">
        <v>3</v>
      </c>
      <c r="I235" s="103" t="s">
        <v>162</v>
      </c>
      <c r="J235" s="224">
        <v>42156</v>
      </c>
      <c r="K235" s="224"/>
      <c r="L235" s="224">
        <f t="shared" si="11"/>
        <v>42156</v>
      </c>
      <c r="M235" s="224">
        <v>42308</v>
      </c>
      <c r="N235" s="224"/>
      <c r="O235" s="224">
        <f t="shared" si="12"/>
        <v>42308</v>
      </c>
      <c r="P235" s="105" t="s">
        <v>122</v>
      </c>
      <c r="Q235" s="103" t="s">
        <v>115</v>
      </c>
      <c r="R235" s="103"/>
      <c r="S235" s="104" t="s">
        <v>143</v>
      </c>
      <c r="T235" s="104"/>
      <c r="U235" s="110">
        <v>438060</v>
      </c>
      <c r="V235" s="109"/>
      <c r="W235" s="110">
        <v>0</v>
      </c>
      <c r="X235" s="259">
        <f t="shared" si="14"/>
        <v>438060</v>
      </c>
      <c r="Y235" s="259">
        <v>0</v>
      </c>
      <c r="Z235" s="259">
        <v>0</v>
      </c>
      <c r="AA235" s="226">
        <v>0</v>
      </c>
      <c r="AB235" s="219"/>
      <c r="AC235" s="219"/>
      <c r="AD235" s="219"/>
      <c r="AE235" s="219"/>
      <c r="AF235" s="219"/>
      <c r="AG235" s="100"/>
      <c r="AH235" s="230"/>
    </row>
    <row r="236" spans="1:34" s="229" customFormat="1" ht="51" hidden="1">
      <c r="A236" s="101">
        <f t="shared" si="13"/>
        <v>61</v>
      </c>
      <c r="B236" s="103" t="s">
        <v>563</v>
      </c>
      <c r="C236" s="104" t="s">
        <v>134</v>
      </c>
      <c r="D236" s="103" t="s">
        <v>549</v>
      </c>
      <c r="E236" s="104" t="s">
        <v>114</v>
      </c>
      <c r="F236" s="103" t="s">
        <v>84</v>
      </c>
      <c r="G236" s="106" t="s">
        <v>363</v>
      </c>
      <c r="H236" s="102" t="s">
        <v>3</v>
      </c>
      <c r="I236" s="103" t="s">
        <v>162</v>
      </c>
      <c r="J236" s="224">
        <v>42156</v>
      </c>
      <c r="K236" s="224"/>
      <c r="L236" s="224">
        <f t="shared" si="11"/>
        <v>42156</v>
      </c>
      <c r="M236" s="224">
        <v>42308</v>
      </c>
      <c r="N236" s="224"/>
      <c r="O236" s="224">
        <f t="shared" si="12"/>
        <v>42308</v>
      </c>
      <c r="P236" s="105" t="s">
        <v>122</v>
      </c>
      <c r="Q236" s="103" t="s">
        <v>115</v>
      </c>
      <c r="R236" s="103"/>
      <c r="S236" s="104" t="s">
        <v>143</v>
      </c>
      <c r="T236" s="104"/>
      <c r="U236" s="110">
        <v>1090680</v>
      </c>
      <c r="V236" s="109"/>
      <c r="W236" s="110">
        <v>0</v>
      </c>
      <c r="X236" s="259">
        <f t="shared" si="14"/>
        <v>1090680</v>
      </c>
      <c r="Y236" s="259">
        <v>0</v>
      </c>
      <c r="Z236" s="259">
        <v>0</v>
      </c>
      <c r="AA236" s="226">
        <v>0</v>
      </c>
      <c r="AB236" s="219"/>
      <c r="AC236" s="219"/>
      <c r="AD236" s="219"/>
      <c r="AE236" s="219"/>
      <c r="AF236" s="219"/>
      <c r="AG236" s="100"/>
      <c r="AH236" s="230"/>
    </row>
    <row r="237" spans="1:34" s="229" customFormat="1" ht="51" hidden="1">
      <c r="A237" s="101">
        <f t="shared" si="13"/>
        <v>62</v>
      </c>
      <c r="B237" s="103" t="s">
        <v>564</v>
      </c>
      <c r="C237" s="104" t="s">
        <v>134</v>
      </c>
      <c r="D237" s="103" t="s">
        <v>549</v>
      </c>
      <c r="E237" s="104" t="s">
        <v>114</v>
      </c>
      <c r="F237" s="103" t="s">
        <v>84</v>
      </c>
      <c r="G237" s="106" t="s">
        <v>363</v>
      </c>
      <c r="H237" s="102" t="s">
        <v>3</v>
      </c>
      <c r="I237" s="103" t="s">
        <v>162</v>
      </c>
      <c r="J237" s="224">
        <v>42156</v>
      </c>
      <c r="K237" s="224"/>
      <c r="L237" s="224">
        <f t="shared" si="11"/>
        <v>42156</v>
      </c>
      <c r="M237" s="224">
        <v>42308</v>
      </c>
      <c r="N237" s="224"/>
      <c r="O237" s="224">
        <f t="shared" si="12"/>
        <v>42308</v>
      </c>
      <c r="P237" s="105" t="s">
        <v>122</v>
      </c>
      <c r="Q237" s="103" t="s">
        <v>115</v>
      </c>
      <c r="R237" s="103"/>
      <c r="S237" s="104" t="s">
        <v>143</v>
      </c>
      <c r="T237" s="104"/>
      <c r="U237" s="110">
        <v>1725420</v>
      </c>
      <c r="V237" s="109"/>
      <c r="W237" s="110">
        <v>0</v>
      </c>
      <c r="X237" s="259">
        <f t="shared" si="14"/>
        <v>1725420</v>
      </c>
      <c r="Y237" s="259">
        <v>0</v>
      </c>
      <c r="Z237" s="259">
        <v>0</v>
      </c>
      <c r="AA237" s="226">
        <v>0</v>
      </c>
      <c r="AB237" s="219"/>
      <c r="AC237" s="219"/>
      <c r="AD237" s="219"/>
      <c r="AE237" s="219"/>
      <c r="AF237" s="219"/>
      <c r="AG237" s="100"/>
      <c r="AH237" s="230"/>
    </row>
    <row r="238" spans="1:34" s="229" customFormat="1" ht="51" hidden="1">
      <c r="A238" s="101">
        <f t="shared" si="13"/>
        <v>63</v>
      </c>
      <c r="B238" s="103" t="s">
        <v>565</v>
      </c>
      <c r="C238" s="104" t="s">
        <v>134</v>
      </c>
      <c r="D238" s="103" t="s">
        <v>549</v>
      </c>
      <c r="E238" s="104" t="s">
        <v>114</v>
      </c>
      <c r="F238" s="103" t="s">
        <v>84</v>
      </c>
      <c r="G238" s="106" t="s">
        <v>222</v>
      </c>
      <c r="H238" s="102" t="s">
        <v>3</v>
      </c>
      <c r="I238" s="103" t="s">
        <v>162</v>
      </c>
      <c r="J238" s="224">
        <v>42156</v>
      </c>
      <c r="K238" s="224"/>
      <c r="L238" s="224">
        <f t="shared" si="11"/>
        <v>42156</v>
      </c>
      <c r="M238" s="224">
        <v>42308</v>
      </c>
      <c r="N238" s="224"/>
      <c r="O238" s="224">
        <f t="shared" si="12"/>
        <v>42308</v>
      </c>
      <c r="P238" s="105" t="s">
        <v>122</v>
      </c>
      <c r="Q238" s="103" t="s">
        <v>115</v>
      </c>
      <c r="R238" s="103"/>
      <c r="S238" s="104" t="s">
        <v>143</v>
      </c>
      <c r="T238" s="104"/>
      <c r="U238" s="110">
        <v>1090680</v>
      </c>
      <c r="V238" s="109"/>
      <c r="W238" s="110">
        <v>0</v>
      </c>
      <c r="X238" s="259">
        <f t="shared" si="14"/>
        <v>1090680</v>
      </c>
      <c r="Y238" s="259">
        <v>0</v>
      </c>
      <c r="Z238" s="259">
        <v>0</v>
      </c>
      <c r="AA238" s="226">
        <v>0</v>
      </c>
      <c r="AB238" s="219"/>
      <c r="AC238" s="219"/>
      <c r="AD238" s="219"/>
      <c r="AE238" s="219"/>
      <c r="AF238" s="219"/>
      <c r="AG238" s="100"/>
      <c r="AH238" s="230"/>
    </row>
    <row r="239" spans="1:34" s="229" customFormat="1" ht="51" hidden="1">
      <c r="A239" s="101">
        <f t="shared" si="13"/>
        <v>64</v>
      </c>
      <c r="B239" s="103" t="s">
        <v>490</v>
      </c>
      <c r="C239" s="104" t="s">
        <v>134</v>
      </c>
      <c r="D239" s="103" t="s">
        <v>549</v>
      </c>
      <c r="E239" s="104" t="s">
        <v>114</v>
      </c>
      <c r="F239" s="103" t="s">
        <v>84</v>
      </c>
      <c r="G239" s="106" t="s">
        <v>350</v>
      </c>
      <c r="H239" s="102" t="s">
        <v>3</v>
      </c>
      <c r="I239" s="103" t="s">
        <v>162</v>
      </c>
      <c r="J239" s="224">
        <v>42156</v>
      </c>
      <c r="K239" s="224"/>
      <c r="L239" s="224">
        <f t="shared" si="11"/>
        <v>42156</v>
      </c>
      <c r="M239" s="224">
        <v>42308</v>
      </c>
      <c r="N239" s="224"/>
      <c r="O239" s="224">
        <f t="shared" si="12"/>
        <v>42308</v>
      </c>
      <c r="P239" s="105" t="s">
        <v>122</v>
      </c>
      <c r="Q239" s="103" t="s">
        <v>115</v>
      </c>
      <c r="R239" s="103"/>
      <c r="S239" s="104" t="s">
        <v>143</v>
      </c>
      <c r="T239" s="104"/>
      <c r="U239" s="110">
        <v>3289920</v>
      </c>
      <c r="V239" s="109"/>
      <c r="W239" s="110">
        <v>0</v>
      </c>
      <c r="X239" s="259">
        <f t="shared" si="14"/>
        <v>3289920</v>
      </c>
      <c r="Y239" s="259">
        <v>0</v>
      </c>
      <c r="Z239" s="259">
        <v>0</v>
      </c>
      <c r="AA239" s="226">
        <v>0</v>
      </c>
      <c r="AB239" s="219"/>
      <c r="AC239" s="219"/>
      <c r="AD239" s="219"/>
      <c r="AE239" s="219"/>
      <c r="AF239" s="219"/>
      <c r="AG239" s="100"/>
      <c r="AH239" s="230"/>
    </row>
    <row r="240" spans="1:34" s="229" customFormat="1" ht="51" hidden="1">
      <c r="A240" s="101">
        <f t="shared" si="13"/>
        <v>65</v>
      </c>
      <c r="B240" s="103" t="s">
        <v>424</v>
      </c>
      <c r="C240" s="104"/>
      <c r="D240" s="103" t="s">
        <v>549</v>
      </c>
      <c r="E240" s="104" t="s">
        <v>114</v>
      </c>
      <c r="F240" s="103" t="s">
        <v>84</v>
      </c>
      <c r="G240" s="106"/>
      <c r="H240" s="102" t="s">
        <v>3</v>
      </c>
      <c r="I240" s="103" t="s">
        <v>162</v>
      </c>
      <c r="J240" s="224">
        <v>42156</v>
      </c>
      <c r="K240" s="224"/>
      <c r="L240" s="224">
        <f t="shared" si="11"/>
        <v>42156</v>
      </c>
      <c r="M240" s="224">
        <v>42308</v>
      </c>
      <c r="N240" s="224"/>
      <c r="O240" s="224">
        <f t="shared" si="12"/>
        <v>42308</v>
      </c>
      <c r="P240" s="105" t="s">
        <v>122</v>
      </c>
      <c r="Q240" s="103" t="s">
        <v>115</v>
      </c>
      <c r="R240" s="103"/>
      <c r="S240" s="104" t="s">
        <v>143</v>
      </c>
      <c r="T240" s="104"/>
      <c r="U240" s="110">
        <v>2842920</v>
      </c>
      <c r="V240" s="109"/>
      <c r="W240" s="110">
        <v>0</v>
      </c>
      <c r="X240" s="259">
        <f t="shared" si="14"/>
        <v>2842920</v>
      </c>
      <c r="Y240" s="259">
        <v>0</v>
      </c>
      <c r="Z240" s="259">
        <v>0</v>
      </c>
      <c r="AA240" s="226">
        <v>0</v>
      </c>
      <c r="AB240" s="219"/>
      <c r="AC240" s="219"/>
      <c r="AD240" s="219"/>
      <c r="AE240" s="219"/>
      <c r="AF240" s="219"/>
      <c r="AG240" s="100"/>
      <c r="AH240" s="230"/>
    </row>
    <row r="241" spans="1:34" s="229" customFormat="1" ht="51" hidden="1">
      <c r="A241" s="101">
        <f t="shared" si="13"/>
        <v>66</v>
      </c>
      <c r="B241" s="103" t="s">
        <v>566</v>
      </c>
      <c r="C241" s="104" t="s">
        <v>134</v>
      </c>
      <c r="D241" s="103" t="s">
        <v>549</v>
      </c>
      <c r="E241" s="104" t="s">
        <v>114</v>
      </c>
      <c r="F241" s="103" t="s">
        <v>84</v>
      </c>
      <c r="G241" s="106" t="s">
        <v>222</v>
      </c>
      <c r="H241" s="102" t="s">
        <v>3</v>
      </c>
      <c r="I241" s="103" t="s">
        <v>162</v>
      </c>
      <c r="J241" s="224">
        <v>42156</v>
      </c>
      <c r="K241" s="224"/>
      <c r="L241" s="224">
        <f t="shared" si="11"/>
        <v>42156</v>
      </c>
      <c r="M241" s="224">
        <v>42308</v>
      </c>
      <c r="N241" s="224"/>
      <c r="O241" s="224">
        <f t="shared" si="12"/>
        <v>42308</v>
      </c>
      <c r="P241" s="105" t="s">
        <v>122</v>
      </c>
      <c r="Q241" s="103" t="s">
        <v>115</v>
      </c>
      <c r="R241" s="103"/>
      <c r="S241" s="104" t="s">
        <v>143</v>
      </c>
      <c r="T241" s="104"/>
      <c r="U241" s="110">
        <v>1090680</v>
      </c>
      <c r="V241" s="109"/>
      <c r="W241" s="110">
        <v>0</v>
      </c>
      <c r="X241" s="259">
        <f t="shared" si="14"/>
        <v>1090680</v>
      </c>
      <c r="Y241" s="259">
        <v>0</v>
      </c>
      <c r="Z241" s="259">
        <v>0</v>
      </c>
      <c r="AA241" s="226">
        <v>0</v>
      </c>
      <c r="AB241" s="219"/>
      <c r="AC241" s="219"/>
      <c r="AD241" s="219"/>
      <c r="AE241" s="219"/>
      <c r="AF241" s="219"/>
      <c r="AG241" s="100"/>
      <c r="AH241" s="230"/>
    </row>
    <row r="242" spans="1:34" s="229" customFormat="1" ht="51" hidden="1">
      <c r="A242" s="101">
        <f t="shared" si="13"/>
        <v>67</v>
      </c>
      <c r="B242" s="103" t="s">
        <v>567</v>
      </c>
      <c r="C242" s="104" t="s">
        <v>134</v>
      </c>
      <c r="D242" s="103" t="s">
        <v>549</v>
      </c>
      <c r="E242" s="104" t="s">
        <v>114</v>
      </c>
      <c r="F242" s="103" t="s">
        <v>84</v>
      </c>
      <c r="G242" s="106" t="s">
        <v>222</v>
      </c>
      <c r="H242" s="102" t="s">
        <v>3</v>
      </c>
      <c r="I242" s="103" t="s">
        <v>162</v>
      </c>
      <c r="J242" s="224">
        <v>42156</v>
      </c>
      <c r="K242" s="224"/>
      <c r="L242" s="224">
        <f t="shared" si="11"/>
        <v>42156</v>
      </c>
      <c r="M242" s="224">
        <v>42308</v>
      </c>
      <c r="N242" s="224"/>
      <c r="O242" s="224">
        <f t="shared" si="12"/>
        <v>42308</v>
      </c>
      <c r="P242" s="105" t="s">
        <v>122</v>
      </c>
      <c r="Q242" s="103" t="s">
        <v>115</v>
      </c>
      <c r="R242" s="103"/>
      <c r="S242" s="104" t="s">
        <v>143</v>
      </c>
      <c r="T242" s="104"/>
      <c r="U242" s="110">
        <v>1090680</v>
      </c>
      <c r="V242" s="109"/>
      <c r="W242" s="110">
        <v>0</v>
      </c>
      <c r="X242" s="259">
        <f t="shared" si="14"/>
        <v>1090680</v>
      </c>
      <c r="Y242" s="259">
        <v>0</v>
      </c>
      <c r="Z242" s="259">
        <v>0</v>
      </c>
      <c r="AA242" s="226">
        <v>0</v>
      </c>
      <c r="AB242" s="219"/>
      <c r="AC242" s="219"/>
      <c r="AD242" s="219"/>
      <c r="AE242" s="219"/>
      <c r="AF242" s="219"/>
      <c r="AG242" s="100"/>
      <c r="AH242" s="230"/>
    </row>
    <row r="243" spans="1:34" s="229" customFormat="1" ht="51" hidden="1">
      <c r="A243" s="101">
        <f t="shared" si="13"/>
        <v>68</v>
      </c>
      <c r="B243" s="103" t="s">
        <v>568</v>
      </c>
      <c r="C243" s="104" t="s">
        <v>134</v>
      </c>
      <c r="D243" s="103" t="s">
        <v>549</v>
      </c>
      <c r="E243" s="104" t="s">
        <v>114</v>
      </c>
      <c r="F243" s="103" t="s">
        <v>84</v>
      </c>
      <c r="G243" s="106" t="s">
        <v>286</v>
      </c>
      <c r="H243" s="102" t="s">
        <v>3</v>
      </c>
      <c r="I243" s="103" t="s">
        <v>162</v>
      </c>
      <c r="J243" s="224">
        <v>42156</v>
      </c>
      <c r="K243" s="224"/>
      <c r="L243" s="224">
        <f t="shared" si="11"/>
        <v>42156</v>
      </c>
      <c r="M243" s="224">
        <v>42308</v>
      </c>
      <c r="N243" s="224"/>
      <c r="O243" s="224">
        <f t="shared" si="12"/>
        <v>42308</v>
      </c>
      <c r="P243" s="105" t="s">
        <v>122</v>
      </c>
      <c r="Q243" s="103" t="s">
        <v>115</v>
      </c>
      <c r="R243" s="103"/>
      <c r="S243" s="104" t="s">
        <v>143</v>
      </c>
      <c r="T243" s="104"/>
      <c r="U243" s="110">
        <v>273027.59999999998</v>
      </c>
      <c r="V243" s="109"/>
      <c r="W243" s="110">
        <v>0</v>
      </c>
      <c r="X243" s="259">
        <f t="shared" si="14"/>
        <v>273027.59999999998</v>
      </c>
      <c r="Y243" s="259">
        <v>0</v>
      </c>
      <c r="Z243" s="259">
        <v>0</v>
      </c>
      <c r="AA243" s="226">
        <v>0</v>
      </c>
      <c r="AB243" s="219"/>
      <c r="AC243" s="219"/>
      <c r="AD243" s="219"/>
      <c r="AE243" s="219"/>
      <c r="AF243" s="219"/>
      <c r="AG243" s="100"/>
      <c r="AH243" s="230"/>
    </row>
    <row r="244" spans="1:34" s="229" customFormat="1" ht="51" hidden="1">
      <c r="A244" s="101">
        <f t="shared" si="13"/>
        <v>69</v>
      </c>
      <c r="B244" s="103" t="s">
        <v>569</v>
      </c>
      <c r="C244" s="104" t="s">
        <v>134</v>
      </c>
      <c r="D244" s="103" t="s">
        <v>549</v>
      </c>
      <c r="E244" s="104" t="s">
        <v>114</v>
      </c>
      <c r="F244" s="103" t="s">
        <v>84</v>
      </c>
      <c r="G244" s="106" t="s">
        <v>151</v>
      </c>
      <c r="H244" s="102" t="s">
        <v>3</v>
      </c>
      <c r="I244" s="103" t="s">
        <v>162</v>
      </c>
      <c r="J244" s="224">
        <v>42156</v>
      </c>
      <c r="K244" s="224"/>
      <c r="L244" s="224">
        <f t="shared" si="11"/>
        <v>42156</v>
      </c>
      <c r="M244" s="224">
        <v>42308</v>
      </c>
      <c r="N244" s="224"/>
      <c r="O244" s="224">
        <f t="shared" si="12"/>
        <v>42308</v>
      </c>
      <c r="P244" s="105" t="s">
        <v>122</v>
      </c>
      <c r="Q244" s="103" t="s">
        <v>115</v>
      </c>
      <c r="R244" s="103"/>
      <c r="S244" s="104" t="s">
        <v>143</v>
      </c>
      <c r="T244" s="104"/>
      <c r="U244" s="110">
        <v>1090680</v>
      </c>
      <c r="V244" s="109"/>
      <c r="W244" s="110">
        <v>0</v>
      </c>
      <c r="X244" s="259">
        <f t="shared" si="14"/>
        <v>1090680</v>
      </c>
      <c r="Y244" s="259">
        <v>0</v>
      </c>
      <c r="Z244" s="259">
        <v>0</v>
      </c>
      <c r="AA244" s="226">
        <v>0</v>
      </c>
      <c r="AB244" s="219"/>
      <c r="AC244" s="219"/>
      <c r="AD244" s="219"/>
      <c r="AE244" s="219"/>
      <c r="AF244" s="219"/>
      <c r="AG244" s="100"/>
      <c r="AH244" s="230"/>
    </row>
    <row r="245" spans="1:34" s="229" customFormat="1" ht="51" hidden="1">
      <c r="A245" s="101">
        <f t="shared" si="13"/>
        <v>70</v>
      </c>
      <c r="B245" s="103" t="s">
        <v>426</v>
      </c>
      <c r="C245" s="104" t="s">
        <v>134</v>
      </c>
      <c r="D245" s="103" t="s">
        <v>549</v>
      </c>
      <c r="E245" s="104" t="s">
        <v>114</v>
      </c>
      <c r="F245" s="103" t="s">
        <v>84</v>
      </c>
      <c r="G245" s="106" t="s">
        <v>350</v>
      </c>
      <c r="H245" s="102" t="s">
        <v>3</v>
      </c>
      <c r="I245" s="103" t="s">
        <v>162</v>
      </c>
      <c r="J245" s="224">
        <v>42156</v>
      </c>
      <c r="K245" s="224"/>
      <c r="L245" s="224">
        <f t="shared" si="11"/>
        <v>42156</v>
      </c>
      <c r="M245" s="224">
        <v>42308</v>
      </c>
      <c r="N245" s="224"/>
      <c r="O245" s="224">
        <f t="shared" si="12"/>
        <v>42308</v>
      </c>
      <c r="P245" s="105" t="s">
        <v>122</v>
      </c>
      <c r="Q245" s="103" t="s">
        <v>115</v>
      </c>
      <c r="R245" s="103"/>
      <c r="S245" s="104" t="s">
        <v>143</v>
      </c>
      <c r="T245" s="104"/>
      <c r="U245" s="110">
        <v>2552370</v>
      </c>
      <c r="V245" s="109"/>
      <c r="W245" s="110">
        <v>0</v>
      </c>
      <c r="X245" s="259">
        <f t="shared" si="14"/>
        <v>2552370</v>
      </c>
      <c r="Y245" s="259">
        <v>0</v>
      </c>
      <c r="Z245" s="259">
        <v>0</v>
      </c>
      <c r="AA245" s="226">
        <v>0</v>
      </c>
      <c r="AB245" s="219"/>
      <c r="AC245" s="219"/>
      <c r="AD245" s="219"/>
      <c r="AE245" s="219"/>
      <c r="AF245" s="219"/>
      <c r="AG245" s="100"/>
      <c r="AH245" s="230"/>
    </row>
    <row r="246" spans="1:34" s="229" customFormat="1" ht="51" hidden="1">
      <c r="A246" s="101">
        <f t="shared" si="13"/>
        <v>71</v>
      </c>
      <c r="B246" s="103" t="s">
        <v>570</v>
      </c>
      <c r="C246" s="104" t="s">
        <v>134</v>
      </c>
      <c r="D246" s="103" t="s">
        <v>549</v>
      </c>
      <c r="E246" s="104" t="s">
        <v>114</v>
      </c>
      <c r="F246" s="103" t="s">
        <v>84</v>
      </c>
      <c r="G246" s="106" t="s">
        <v>286</v>
      </c>
      <c r="H246" s="102" t="s">
        <v>3</v>
      </c>
      <c r="I246" s="103" t="s">
        <v>162</v>
      </c>
      <c r="J246" s="224">
        <v>42156</v>
      </c>
      <c r="K246" s="224"/>
      <c r="L246" s="224">
        <f t="shared" si="11"/>
        <v>42156</v>
      </c>
      <c r="M246" s="224">
        <v>42308</v>
      </c>
      <c r="N246" s="224"/>
      <c r="O246" s="224">
        <f t="shared" si="12"/>
        <v>42308</v>
      </c>
      <c r="P246" s="105" t="s">
        <v>122</v>
      </c>
      <c r="Q246" s="103" t="s">
        <v>115</v>
      </c>
      <c r="R246" s="103"/>
      <c r="S246" s="104" t="s">
        <v>143</v>
      </c>
      <c r="T246" s="104"/>
      <c r="U246" s="110">
        <v>3303330</v>
      </c>
      <c r="V246" s="109"/>
      <c r="W246" s="110">
        <v>0</v>
      </c>
      <c r="X246" s="259">
        <f t="shared" si="14"/>
        <v>3303330</v>
      </c>
      <c r="Y246" s="259">
        <v>0</v>
      </c>
      <c r="Z246" s="259">
        <v>0</v>
      </c>
      <c r="AA246" s="226">
        <v>0</v>
      </c>
      <c r="AB246" s="219"/>
      <c r="AC246" s="219"/>
      <c r="AD246" s="219"/>
      <c r="AE246" s="219"/>
      <c r="AF246" s="219"/>
      <c r="AG246" s="100"/>
      <c r="AH246" s="230"/>
    </row>
    <row r="247" spans="1:34" s="229" customFormat="1" ht="51" hidden="1">
      <c r="A247" s="101">
        <f t="shared" si="13"/>
        <v>72</v>
      </c>
      <c r="B247" s="103" t="s">
        <v>571</v>
      </c>
      <c r="C247" s="104" t="s">
        <v>134</v>
      </c>
      <c r="D247" s="103" t="s">
        <v>549</v>
      </c>
      <c r="E247" s="104" t="s">
        <v>114</v>
      </c>
      <c r="F247" s="103" t="s">
        <v>84</v>
      </c>
      <c r="G247" s="106" t="s">
        <v>286</v>
      </c>
      <c r="H247" s="102" t="s">
        <v>3</v>
      </c>
      <c r="I247" s="103" t="s">
        <v>162</v>
      </c>
      <c r="J247" s="224">
        <v>42156</v>
      </c>
      <c r="K247" s="224"/>
      <c r="L247" s="224">
        <f t="shared" si="11"/>
        <v>42156</v>
      </c>
      <c r="M247" s="224">
        <v>42308</v>
      </c>
      <c r="N247" s="224"/>
      <c r="O247" s="224">
        <f t="shared" si="12"/>
        <v>42308</v>
      </c>
      <c r="P247" s="105" t="s">
        <v>122</v>
      </c>
      <c r="Q247" s="103" t="s">
        <v>115</v>
      </c>
      <c r="R247" s="103"/>
      <c r="S247" s="104" t="s">
        <v>143</v>
      </c>
      <c r="T247" s="104"/>
      <c r="U247" s="110">
        <v>4188390</v>
      </c>
      <c r="V247" s="109"/>
      <c r="W247" s="110">
        <v>0</v>
      </c>
      <c r="X247" s="259">
        <f t="shared" si="14"/>
        <v>4188390</v>
      </c>
      <c r="Y247" s="259">
        <v>0</v>
      </c>
      <c r="Z247" s="259">
        <v>0</v>
      </c>
      <c r="AA247" s="226">
        <v>0</v>
      </c>
      <c r="AB247" s="219"/>
      <c r="AC247" s="219"/>
      <c r="AD247" s="219"/>
      <c r="AE247" s="219"/>
      <c r="AF247" s="219"/>
      <c r="AG247" s="100"/>
      <c r="AH247" s="230"/>
    </row>
    <row r="248" spans="1:34" s="229" customFormat="1" ht="51" hidden="1">
      <c r="A248" s="101">
        <f t="shared" si="13"/>
        <v>73</v>
      </c>
      <c r="B248" s="103" t="s">
        <v>572</v>
      </c>
      <c r="C248" s="104" t="s">
        <v>134</v>
      </c>
      <c r="D248" s="103" t="s">
        <v>549</v>
      </c>
      <c r="E248" s="104" t="s">
        <v>114</v>
      </c>
      <c r="F248" s="103" t="s">
        <v>84</v>
      </c>
      <c r="G248" s="106" t="s">
        <v>230</v>
      </c>
      <c r="H248" s="102" t="s">
        <v>14</v>
      </c>
      <c r="I248" s="103" t="s">
        <v>162</v>
      </c>
      <c r="J248" s="224">
        <v>42156</v>
      </c>
      <c r="K248" s="224"/>
      <c r="L248" s="224">
        <f t="shared" si="11"/>
        <v>42156</v>
      </c>
      <c r="M248" s="224">
        <v>42308</v>
      </c>
      <c r="N248" s="224"/>
      <c r="O248" s="224">
        <f t="shared" si="12"/>
        <v>42308</v>
      </c>
      <c r="P248" s="105" t="s">
        <v>122</v>
      </c>
      <c r="Q248" s="103" t="s">
        <v>115</v>
      </c>
      <c r="R248" s="103"/>
      <c r="S248" s="104" t="s">
        <v>334</v>
      </c>
      <c r="T248" s="104"/>
      <c r="U248" s="110">
        <v>2407509</v>
      </c>
      <c r="V248" s="109"/>
      <c r="W248" s="110">
        <v>0</v>
      </c>
      <c r="X248" s="259">
        <f t="shared" si="14"/>
        <v>2407509</v>
      </c>
      <c r="Y248" s="259">
        <v>0</v>
      </c>
      <c r="Z248" s="259">
        <v>0</v>
      </c>
      <c r="AA248" s="226">
        <v>0</v>
      </c>
      <c r="AB248" s="219"/>
      <c r="AC248" s="219"/>
      <c r="AD248" s="219"/>
      <c r="AE248" s="219"/>
      <c r="AF248" s="219"/>
      <c r="AG248" s="100"/>
      <c r="AH248" s="230"/>
    </row>
    <row r="249" spans="1:34" s="229" customFormat="1" ht="76.5" hidden="1">
      <c r="A249" s="101">
        <f t="shared" si="13"/>
        <v>74</v>
      </c>
      <c r="B249" s="103" t="s">
        <v>573</v>
      </c>
      <c r="C249" s="104" t="s">
        <v>140</v>
      </c>
      <c r="D249" s="103" t="s">
        <v>574</v>
      </c>
      <c r="E249" s="104" t="s">
        <v>114</v>
      </c>
      <c r="F249" s="103" t="s">
        <v>88</v>
      </c>
      <c r="G249" s="106" t="s">
        <v>381</v>
      </c>
      <c r="H249" s="102" t="s">
        <v>25</v>
      </c>
      <c r="I249" s="103" t="s">
        <v>173</v>
      </c>
      <c r="J249" s="224">
        <v>42095</v>
      </c>
      <c r="K249" s="224"/>
      <c r="L249" s="224">
        <f t="shared" si="11"/>
        <v>42095</v>
      </c>
      <c r="M249" s="224">
        <v>42643</v>
      </c>
      <c r="N249" s="224"/>
      <c r="O249" s="224">
        <f t="shared" si="12"/>
        <v>42643</v>
      </c>
      <c r="P249" s="105" t="s">
        <v>122</v>
      </c>
      <c r="Q249" s="103" t="s">
        <v>123</v>
      </c>
      <c r="R249" s="103"/>
      <c r="S249" s="104" t="s">
        <v>138</v>
      </c>
      <c r="T249" s="104"/>
      <c r="U249" s="110">
        <f>+(9*((1141850+1714473+2097122)/9)+1247367+1293526+1350713+4298671+300000+929210+350000+6*1022001/14+1350000+1050000+150000)*1.23*1.07</f>
        <v>23309358.169242855</v>
      </c>
      <c r="V249" s="109"/>
      <c r="W249" s="110">
        <v>0</v>
      </c>
      <c r="X249" s="259">
        <v>0</v>
      </c>
      <c r="Y249" s="259">
        <v>0</v>
      </c>
      <c r="Z249" s="259">
        <f>+U249*0.235*0.3</f>
        <v>1643309.7509316213</v>
      </c>
      <c r="AA249" s="226">
        <f>+U249-Z249-AB249</f>
        <v>21666048.418311235</v>
      </c>
      <c r="AB249" s="219"/>
      <c r="AC249" s="219"/>
      <c r="AD249" s="219"/>
      <c r="AE249" s="219"/>
      <c r="AF249" s="219"/>
      <c r="AG249" s="100"/>
      <c r="AH249" s="230"/>
    </row>
    <row r="250" spans="1:34" s="229" customFormat="1" ht="102" hidden="1">
      <c r="A250" s="101">
        <f t="shared" si="13"/>
        <v>75</v>
      </c>
      <c r="B250" s="103" t="s">
        <v>575</v>
      </c>
      <c r="C250" s="104" t="s">
        <v>134</v>
      </c>
      <c r="D250" s="103" t="s">
        <v>576</v>
      </c>
      <c r="E250" s="104" t="s">
        <v>114</v>
      </c>
      <c r="F250" s="103" t="s">
        <v>141</v>
      </c>
      <c r="G250" s="106" t="s">
        <v>286</v>
      </c>
      <c r="H250" s="102" t="s">
        <v>3</v>
      </c>
      <c r="I250" s="103" t="s">
        <v>136</v>
      </c>
      <c r="J250" s="224">
        <v>42095</v>
      </c>
      <c r="K250" s="224"/>
      <c r="L250" s="224">
        <f t="shared" si="11"/>
        <v>42095</v>
      </c>
      <c r="M250" s="224">
        <v>42643</v>
      </c>
      <c r="N250" s="224"/>
      <c r="O250" s="224">
        <f t="shared" si="12"/>
        <v>42643</v>
      </c>
      <c r="P250" s="105" t="s">
        <v>122</v>
      </c>
      <c r="Q250" s="103" t="s">
        <v>115</v>
      </c>
      <c r="R250" s="103"/>
      <c r="S250" s="104" t="s">
        <v>138</v>
      </c>
      <c r="T250" s="104"/>
      <c r="U250" s="110">
        <f>736800*4+3000000+1212500*6+1029250*2+2900000+1127500+40000*12+1350000+1500000+600000+350000+522500+1369000</f>
        <v>25479700</v>
      </c>
      <c r="V250" s="109"/>
      <c r="W250" s="110">
        <v>0</v>
      </c>
      <c r="X250" s="259">
        <v>0</v>
      </c>
      <c r="Y250" s="259">
        <v>0</v>
      </c>
      <c r="Z250" s="259">
        <v>0</v>
      </c>
      <c r="AA250" s="226">
        <f>+U250*0.235*0.3</f>
        <v>1796318.8499999999</v>
      </c>
      <c r="AB250" s="219"/>
      <c r="AC250" s="219"/>
      <c r="AD250" s="219"/>
      <c r="AE250" s="219"/>
      <c r="AF250" s="219"/>
      <c r="AG250" s="100"/>
      <c r="AH250" s="230"/>
    </row>
    <row r="251" spans="1:34" s="229" customFormat="1" ht="76.5" hidden="1">
      <c r="A251" s="101">
        <f t="shared" si="13"/>
        <v>76</v>
      </c>
      <c r="B251" s="103" t="s">
        <v>577</v>
      </c>
      <c r="C251" s="104" t="s">
        <v>134</v>
      </c>
      <c r="D251" s="103" t="s">
        <v>579</v>
      </c>
      <c r="E251" s="104" t="s">
        <v>114</v>
      </c>
      <c r="F251" s="103" t="s">
        <v>578</v>
      </c>
      <c r="G251" s="106" t="s">
        <v>274</v>
      </c>
      <c r="H251" s="102" t="s">
        <v>200</v>
      </c>
      <c r="I251" s="103" t="s">
        <v>162</v>
      </c>
      <c r="J251" s="224">
        <v>42095</v>
      </c>
      <c r="K251" s="224"/>
      <c r="L251" s="224">
        <f t="shared" si="11"/>
        <v>42095</v>
      </c>
      <c r="M251" s="224">
        <v>42643</v>
      </c>
      <c r="N251" s="224"/>
      <c r="O251" s="224">
        <f t="shared" si="12"/>
        <v>42643</v>
      </c>
      <c r="P251" s="105" t="s">
        <v>122</v>
      </c>
      <c r="Q251" s="103" t="s">
        <v>115</v>
      </c>
      <c r="R251" s="103"/>
      <c r="S251" s="104" t="s">
        <v>138</v>
      </c>
      <c r="T251" s="104"/>
      <c r="U251" s="110">
        <f>+(1823640+16*((1141850+1714473+2097122)/9)+3658606+1293526+1350713+18*(1022001/14)+1350000+600000+350000+929210+1050000+150000)*1.23*1.07</f>
        <v>29843647.662961908</v>
      </c>
      <c r="V251" s="109"/>
      <c r="W251" s="110">
        <v>0</v>
      </c>
      <c r="X251" s="259">
        <f>+U251*0.035</f>
        <v>1044527.6682036669</v>
      </c>
      <c r="Y251" s="260">
        <f>+U251-Z251-X251</f>
        <v>23427263.415425099</v>
      </c>
      <c r="Z251" s="259">
        <f>+U251*0.18</f>
        <v>5371856.5793331433</v>
      </c>
      <c r="AA251" s="226">
        <f>+U251*0.01</f>
        <v>298436.47662961908</v>
      </c>
      <c r="AB251" s="219"/>
      <c r="AC251" s="219"/>
      <c r="AD251" s="219"/>
      <c r="AE251" s="219"/>
      <c r="AF251" s="219"/>
      <c r="AG251" s="100"/>
      <c r="AH251" s="230"/>
    </row>
    <row r="252" spans="1:34" s="329" customFormat="1" ht="67.5" hidden="1">
      <c r="A252" s="400">
        <v>37</v>
      </c>
      <c r="B252" s="401" t="s">
        <v>1328</v>
      </c>
      <c r="C252" s="360" t="s">
        <v>134</v>
      </c>
      <c r="D252" s="401" t="s">
        <v>582</v>
      </c>
      <c r="E252" s="320" t="s">
        <v>114</v>
      </c>
      <c r="F252" s="363" t="s">
        <v>578</v>
      </c>
      <c r="G252" s="363" t="s">
        <v>580</v>
      </c>
      <c r="H252" s="402" t="s">
        <v>581</v>
      </c>
      <c r="I252" s="363" t="s">
        <v>162</v>
      </c>
      <c r="J252" s="403">
        <v>42075</v>
      </c>
      <c r="K252" s="404">
        <v>2</v>
      </c>
      <c r="L252" s="403">
        <f>J252+(K252*31)</f>
        <v>42137</v>
      </c>
      <c r="M252" s="403">
        <v>42217</v>
      </c>
      <c r="N252" s="404">
        <v>12</v>
      </c>
      <c r="O252" s="403">
        <f t="shared" si="12"/>
        <v>42481</v>
      </c>
      <c r="P252" s="363" t="s">
        <v>122</v>
      </c>
      <c r="Q252" s="363" t="s">
        <v>115</v>
      </c>
      <c r="R252" s="363" t="s">
        <v>65</v>
      </c>
      <c r="S252" s="402" t="s">
        <v>143</v>
      </c>
      <c r="T252" s="360"/>
      <c r="U252" s="405">
        <f>+(1823640+24*((1141850+1714473+2097122)/9)+3658606+1293526+1350713+36*(1022001/14)+1350000+600000+350000+4298671+929210+1050000+150000)*1.23*1.07</f>
        <v>43025355.848857142</v>
      </c>
      <c r="V252" s="332"/>
      <c r="W252" s="324">
        <v>0</v>
      </c>
      <c r="X252" s="355">
        <v>16066575</v>
      </c>
      <c r="Y252" s="410">
        <v>0</v>
      </c>
      <c r="Z252" s="355">
        <v>26958781</v>
      </c>
      <c r="AA252" s="406" t="s">
        <v>132</v>
      </c>
      <c r="AB252" s="361"/>
      <c r="AC252" s="361"/>
      <c r="AD252" s="361"/>
      <c r="AE252" s="361"/>
      <c r="AF252" s="361"/>
      <c r="AG252" s="362"/>
    </row>
    <row r="253" spans="1:34" s="229" customFormat="1" ht="51" hidden="1">
      <c r="A253" s="101">
        <f t="shared" si="13"/>
        <v>38</v>
      </c>
      <c r="B253" s="103" t="s">
        <v>583</v>
      </c>
      <c r="C253" s="104" t="s">
        <v>134</v>
      </c>
      <c r="D253" s="103" t="s">
        <v>585</v>
      </c>
      <c r="E253" s="104" t="s">
        <v>114</v>
      </c>
      <c r="F253" s="103" t="s">
        <v>578</v>
      </c>
      <c r="G253" s="106" t="s">
        <v>580</v>
      </c>
      <c r="H253" s="102" t="s">
        <v>584</v>
      </c>
      <c r="I253" s="103" t="s">
        <v>162</v>
      </c>
      <c r="J253" s="224">
        <v>42095</v>
      </c>
      <c r="K253" s="224"/>
      <c r="L253" s="224">
        <f t="shared" si="11"/>
        <v>42095</v>
      </c>
      <c r="M253" s="224">
        <v>42643</v>
      </c>
      <c r="N253" s="224"/>
      <c r="O253" s="224">
        <f t="shared" si="12"/>
        <v>42643</v>
      </c>
      <c r="P253" s="105" t="s">
        <v>122</v>
      </c>
      <c r="Q253" s="103" t="s">
        <v>115</v>
      </c>
      <c r="R253" s="103"/>
      <c r="S253" s="104" t="s">
        <v>138</v>
      </c>
      <c r="T253" s="104"/>
      <c r="U253" s="110">
        <f>+(14*((1141850+1714473+2097122)/9)+14*25000+3658606+1293526+1350713+18*(1022001/14)+1350000+600000+350000+4298671+929210+1050000+150000)*1.23*1.07</f>
        <v>32112953.414395235</v>
      </c>
      <c r="V253" s="109"/>
      <c r="W253" s="110">
        <v>0</v>
      </c>
      <c r="X253" s="259">
        <v>0</v>
      </c>
      <c r="Y253" s="259">
        <v>0</v>
      </c>
      <c r="Z253" s="259">
        <f>+U253*0.235*0.3</f>
        <v>2263963.215714864</v>
      </c>
      <c r="AA253" s="226">
        <f>+U253-Z253-AB253</f>
        <v>29848990.198680371</v>
      </c>
      <c r="AB253" s="219"/>
      <c r="AC253" s="219"/>
      <c r="AD253" s="219"/>
      <c r="AE253" s="219"/>
      <c r="AF253" s="219"/>
      <c r="AG253" s="100"/>
      <c r="AH253" s="230"/>
    </row>
    <row r="254" spans="1:34" s="229" customFormat="1" ht="89.25" hidden="1">
      <c r="A254" s="101">
        <f t="shared" si="13"/>
        <v>39</v>
      </c>
      <c r="B254" s="103" t="s">
        <v>586</v>
      </c>
      <c r="C254" s="104" t="s">
        <v>140</v>
      </c>
      <c r="D254" s="103" t="s">
        <v>589</v>
      </c>
      <c r="E254" s="104" t="s">
        <v>114</v>
      </c>
      <c r="F254" s="103" t="s">
        <v>578</v>
      </c>
      <c r="G254" s="106" t="s">
        <v>587</v>
      </c>
      <c r="H254" s="102" t="s">
        <v>588</v>
      </c>
      <c r="I254" s="103" t="s">
        <v>162</v>
      </c>
      <c r="J254" s="224">
        <v>42095</v>
      </c>
      <c r="K254" s="224"/>
      <c r="L254" s="224">
        <f t="shared" si="11"/>
        <v>42095</v>
      </c>
      <c r="M254" s="224">
        <v>42643</v>
      </c>
      <c r="N254" s="224"/>
      <c r="O254" s="224">
        <f t="shared" si="12"/>
        <v>42643</v>
      </c>
      <c r="P254" s="105" t="s">
        <v>122</v>
      </c>
      <c r="Q254" s="103" t="s">
        <v>115</v>
      </c>
      <c r="R254" s="103"/>
      <c r="S254" s="104" t="s">
        <v>138</v>
      </c>
      <c r="T254" s="104"/>
      <c r="U254" s="110">
        <f>+(12*((1141850+1714473+2097122)/9)+15*25000+3658606+1293526+1350713+18*(1022001/14)+1350000+600000+350000+4298671+929210+1050000+150000)*1.23*1.07</f>
        <v>30697138.36672857</v>
      </c>
      <c r="V254" s="109"/>
      <c r="W254" s="110">
        <v>0</v>
      </c>
      <c r="X254" s="259">
        <v>0</v>
      </c>
      <c r="Y254" s="259">
        <v>0</v>
      </c>
      <c r="Z254" s="259">
        <f>+U254*0.235*0.3</f>
        <v>2164148.2548543639</v>
      </c>
      <c r="AA254" s="226">
        <f>+U254-Z254-AB254</f>
        <v>28532990.111874208</v>
      </c>
      <c r="AB254" s="219"/>
      <c r="AC254" s="219"/>
      <c r="AD254" s="219"/>
      <c r="AE254" s="219"/>
      <c r="AF254" s="219"/>
      <c r="AG254" s="100"/>
      <c r="AH254" s="230"/>
    </row>
    <row r="255" spans="1:34" s="229" customFormat="1" ht="89.25" hidden="1">
      <c r="A255" s="101">
        <f t="shared" si="13"/>
        <v>40</v>
      </c>
      <c r="B255" s="103" t="s">
        <v>590</v>
      </c>
      <c r="C255" s="104" t="s">
        <v>140</v>
      </c>
      <c r="D255" s="103" t="s">
        <v>592</v>
      </c>
      <c r="E255" s="104" t="s">
        <v>114</v>
      </c>
      <c r="F255" s="103" t="s">
        <v>578</v>
      </c>
      <c r="G255" s="106" t="s">
        <v>591</v>
      </c>
      <c r="H255" s="102" t="s">
        <v>584</v>
      </c>
      <c r="I255" s="103" t="s">
        <v>162</v>
      </c>
      <c r="J255" s="224">
        <v>42095</v>
      </c>
      <c r="K255" s="224"/>
      <c r="L255" s="224">
        <f t="shared" si="11"/>
        <v>42095</v>
      </c>
      <c r="M255" s="224">
        <v>42643</v>
      </c>
      <c r="N255" s="224"/>
      <c r="O255" s="224">
        <f t="shared" si="12"/>
        <v>42643</v>
      </c>
      <c r="P255" s="105" t="s">
        <v>122</v>
      </c>
      <c r="Q255" s="103" t="s">
        <v>115</v>
      </c>
      <c r="R255" s="103"/>
      <c r="S255" s="104" t="s">
        <v>138</v>
      </c>
      <c r="T255" s="104"/>
      <c r="U255" s="110">
        <f>+(6*((1141850+1714473+2097122)/9)+6*25000+26*190000+450000+7*270000+45*5000)*1.23*1.07</f>
        <v>14420898.142999999</v>
      </c>
      <c r="V255" s="109"/>
      <c r="W255" s="110">
        <v>0</v>
      </c>
      <c r="X255" s="259">
        <v>0</v>
      </c>
      <c r="Y255" s="259">
        <v>0</v>
      </c>
      <c r="Z255" s="259">
        <v>0</v>
      </c>
      <c r="AA255" s="226">
        <f>+U255*0.235*0.3</f>
        <v>1016673.3190814999</v>
      </c>
      <c r="AB255" s="219"/>
      <c r="AC255" s="219"/>
      <c r="AD255" s="219"/>
      <c r="AE255" s="219"/>
      <c r="AF255" s="219"/>
      <c r="AG255" s="100"/>
      <c r="AH255" s="230"/>
    </row>
    <row r="256" spans="1:34" s="229" customFormat="1" ht="63.75" hidden="1">
      <c r="A256" s="101">
        <f t="shared" si="13"/>
        <v>41</v>
      </c>
      <c r="B256" s="103" t="s">
        <v>593</v>
      </c>
      <c r="C256" s="104" t="s">
        <v>134</v>
      </c>
      <c r="D256" s="103" t="s">
        <v>595</v>
      </c>
      <c r="E256" s="104" t="s">
        <v>114</v>
      </c>
      <c r="F256" s="103" t="s">
        <v>578</v>
      </c>
      <c r="G256" s="106" t="s">
        <v>594</v>
      </c>
      <c r="H256" s="102" t="s">
        <v>584</v>
      </c>
      <c r="I256" s="103" t="s">
        <v>173</v>
      </c>
      <c r="J256" s="224">
        <v>42095</v>
      </c>
      <c r="K256" s="224"/>
      <c r="L256" s="224">
        <f t="shared" ref="L256:L318" si="15">J256+(K256*31)</f>
        <v>42095</v>
      </c>
      <c r="M256" s="224">
        <v>42643</v>
      </c>
      <c r="N256" s="224"/>
      <c r="O256" s="224">
        <f t="shared" si="12"/>
        <v>42643</v>
      </c>
      <c r="P256" s="105" t="s">
        <v>122</v>
      </c>
      <c r="Q256" s="103" t="s">
        <v>123</v>
      </c>
      <c r="R256" s="103"/>
      <c r="S256" s="104" t="s">
        <v>138</v>
      </c>
      <c r="T256" s="104"/>
      <c r="U256" s="110">
        <f>+((3658606+1293526+1350000+1247367+929210+1050000+150000)*1.07+16*190000)*1.23</f>
        <v>16477348.914900001</v>
      </c>
      <c r="V256" s="109"/>
      <c r="W256" s="110">
        <v>0</v>
      </c>
      <c r="X256" s="259">
        <v>0</v>
      </c>
      <c r="Y256" s="259">
        <v>0</v>
      </c>
      <c r="Z256" s="259">
        <v>0</v>
      </c>
      <c r="AA256" s="226">
        <f>+U256*0.235*0.3</f>
        <v>1161653.0985004499</v>
      </c>
      <c r="AB256" s="219"/>
      <c r="AC256" s="219"/>
      <c r="AD256" s="219"/>
      <c r="AE256" s="219"/>
      <c r="AF256" s="219"/>
      <c r="AG256" s="100"/>
      <c r="AH256" s="230"/>
    </row>
    <row r="257" spans="1:256" s="229" customFormat="1" ht="90" hidden="1" customHeight="1">
      <c r="A257" s="101">
        <f t="shared" si="13"/>
        <v>42</v>
      </c>
      <c r="B257" s="103" t="s">
        <v>596</v>
      </c>
      <c r="C257" s="104" t="s">
        <v>134</v>
      </c>
      <c r="D257" s="103" t="s">
        <v>597</v>
      </c>
      <c r="E257" s="104" t="s">
        <v>114</v>
      </c>
      <c r="F257" s="103" t="s">
        <v>578</v>
      </c>
      <c r="G257" s="106" t="s">
        <v>587</v>
      </c>
      <c r="H257" s="102" t="s">
        <v>200</v>
      </c>
      <c r="I257" s="103" t="s">
        <v>173</v>
      </c>
      <c r="J257" s="224">
        <v>42095</v>
      </c>
      <c r="K257" s="224"/>
      <c r="L257" s="224">
        <f t="shared" si="15"/>
        <v>42095</v>
      </c>
      <c r="M257" s="224">
        <v>42643</v>
      </c>
      <c r="N257" s="224"/>
      <c r="O257" s="224">
        <f t="shared" si="12"/>
        <v>42643</v>
      </c>
      <c r="P257" s="105" t="s">
        <v>122</v>
      </c>
      <c r="Q257" s="103" t="s">
        <v>123</v>
      </c>
      <c r="R257" s="103"/>
      <c r="S257" s="104" t="s">
        <v>138</v>
      </c>
      <c r="T257" s="104"/>
      <c r="U257" s="110">
        <f>+((1141850+1714473+1823640+3658606+929210+1350713+150000+1050000)*1.07+16*190000)*1.23</f>
        <v>19293517.321200002</v>
      </c>
      <c r="V257" s="109"/>
      <c r="W257" s="110">
        <v>0</v>
      </c>
      <c r="X257" s="259">
        <v>0</v>
      </c>
      <c r="Y257" s="259">
        <v>0</v>
      </c>
      <c r="Z257" s="259">
        <v>0</v>
      </c>
      <c r="AA257" s="226">
        <f>+U257*0.235*0.3</f>
        <v>1360192.9711445998</v>
      </c>
      <c r="AB257" s="219"/>
      <c r="AC257" s="219"/>
      <c r="AD257" s="219"/>
      <c r="AE257" s="219"/>
      <c r="AF257" s="219"/>
      <c r="AG257" s="100"/>
      <c r="AH257" s="230"/>
    </row>
    <row r="258" spans="1:256" s="229" customFormat="1" ht="90" hidden="1" customHeight="1">
      <c r="A258" s="101">
        <f t="shared" si="13"/>
        <v>43</v>
      </c>
      <c r="B258" s="103" t="s">
        <v>598</v>
      </c>
      <c r="C258" s="104" t="s">
        <v>134</v>
      </c>
      <c r="D258" s="103" t="s">
        <v>599</v>
      </c>
      <c r="E258" s="104" t="s">
        <v>114</v>
      </c>
      <c r="F258" s="103" t="s">
        <v>84</v>
      </c>
      <c r="G258" s="106" t="s">
        <v>158</v>
      </c>
      <c r="H258" s="102" t="s">
        <v>96</v>
      </c>
      <c r="I258" s="103" t="s">
        <v>162</v>
      </c>
      <c r="J258" s="224">
        <v>42095</v>
      </c>
      <c r="K258" s="224"/>
      <c r="L258" s="224">
        <f t="shared" si="15"/>
        <v>42095</v>
      </c>
      <c r="M258" s="224">
        <v>42643</v>
      </c>
      <c r="N258" s="224"/>
      <c r="O258" s="224">
        <f t="shared" si="12"/>
        <v>42643</v>
      </c>
      <c r="P258" s="105" t="s">
        <v>122</v>
      </c>
      <c r="Q258" s="103" t="s">
        <v>115</v>
      </c>
      <c r="R258" s="103"/>
      <c r="S258" s="104" t="s">
        <v>138</v>
      </c>
      <c r="T258" s="104"/>
      <c r="U258" s="110">
        <f>736800*16+3000000</f>
        <v>14788800</v>
      </c>
      <c r="V258" s="109"/>
      <c r="W258" s="110">
        <v>0</v>
      </c>
      <c r="X258" s="259">
        <v>0</v>
      </c>
      <c r="Y258" s="259">
        <v>0</v>
      </c>
      <c r="Z258" s="259">
        <v>0</v>
      </c>
      <c r="AA258" s="226">
        <f>+U258*0.235*0.3</f>
        <v>1042610.3999999999</v>
      </c>
      <c r="AB258" s="219"/>
      <c r="AC258" s="219"/>
      <c r="AD258" s="219"/>
      <c r="AE258" s="219"/>
      <c r="AF258" s="219"/>
      <c r="AG258" s="100"/>
      <c r="AH258" s="230"/>
    </row>
    <row r="259" spans="1:256" s="229" customFormat="1" ht="90" hidden="1" customHeight="1">
      <c r="A259" s="101">
        <f t="shared" si="13"/>
        <v>44</v>
      </c>
      <c r="B259" s="103" t="s">
        <v>600</v>
      </c>
      <c r="C259" s="104" t="s">
        <v>134</v>
      </c>
      <c r="D259" s="103" t="s">
        <v>601</v>
      </c>
      <c r="E259" s="104" t="s">
        <v>114</v>
      </c>
      <c r="F259" s="103" t="s">
        <v>84</v>
      </c>
      <c r="G259" s="106" t="s">
        <v>230</v>
      </c>
      <c r="H259" s="102" t="s">
        <v>14</v>
      </c>
      <c r="I259" s="103" t="s">
        <v>173</v>
      </c>
      <c r="J259" s="224">
        <v>42095</v>
      </c>
      <c r="K259" s="224"/>
      <c r="L259" s="224">
        <f t="shared" si="15"/>
        <v>42095</v>
      </c>
      <c r="M259" s="224">
        <v>42094</v>
      </c>
      <c r="N259" s="224"/>
      <c r="O259" s="224">
        <f t="shared" si="12"/>
        <v>42094</v>
      </c>
      <c r="P259" s="105" t="s">
        <v>122</v>
      </c>
      <c r="Q259" s="103" t="s">
        <v>123</v>
      </c>
      <c r="R259" s="103"/>
      <c r="S259" s="104" t="s">
        <v>138</v>
      </c>
      <c r="T259" s="104"/>
      <c r="U259" s="110">
        <f>736800*4</f>
        <v>2947200</v>
      </c>
      <c r="V259" s="109"/>
      <c r="W259" s="110">
        <v>0</v>
      </c>
      <c r="X259" s="259">
        <v>0</v>
      </c>
      <c r="Y259" s="259">
        <v>0</v>
      </c>
      <c r="Z259" s="259">
        <v>0</v>
      </c>
      <c r="AA259" s="226">
        <f>+U259*0.235*0.3</f>
        <v>207777.6</v>
      </c>
      <c r="AB259" s="219"/>
      <c r="AC259" s="219"/>
      <c r="AD259" s="219"/>
      <c r="AE259" s="219"/>
      <c r="AF259" s="219"/>
      <c r="AG259" s="100"/>
      <c r="AH259" s="230"/>
    </row>
    <row r="260" spans="1:256" s="229" customFormat="1" ht="90" hidden="1" customHeight="1">
      <c r="A260" s="101">
        <f t="shared" si="13"/>
        <v>45</v>
      </c>
      <c r="B260" s="103" t="s">
        <v>602</v>
      </c>
      <c r="C260" s="104" t="s">
        <v>138</v>
      </c>
      <c r="D260" s="103" t="s">
        <v>603</v>
      </c>
      <c r="E260" s="104" t="s">
        <v>114</v>
      </c>
      <c r="F260" s="103" t="s">
        <v>84</v>
      </c>
      <c r="G260" s="106" t="s">
        <v>165</v>
      </c>
      <c r="H260" s="102" t="s">
        <v>96</v>
      </c>
      <c r="I260" s="103" t="s">
        <v>136</v>
      </c>
      <c r="J260" s="224">
        <v>42095</v>
      </c>
      <c r="K260" s="224"/>
      <c r="L260" s="224">
        <f t="shared" si="15"/>
        <v>42095</v>
      </c>
      <c r="M260" s="224">
        <v>42643</v>
      </c>
      <c r="N260" s="224"/>
      <c r="O260" s="224">
        <f t="shared" si="12"/>
        <v>42643</v>
      </c>
      <c r="P260" s="105" t="s">
        <v>122</v>
      </c>
      <c r="Q260" s="103" t="s">
        <v>115</v>
      </c>
      <c r="R260" s="103"/>
      <c r="S260" s="104" t="s">
        <v>138</v>
      </c>
      <c r="T260" s="104"/>
      <c r="U260" s="110">
        <f>736800*16+3000000+1212500*5+1029250*2+2900000+40000*24+1127500+1500000+600000+350000+1350000+1369000+522500+770000+450000</f>
        <v>34808800</v>
      </c>
      <c r="V260" s="109"/>
      <c r="W260" s="110">
        <v>0</v>
      </c>
      <c r="X260" s="259">
        <v>0</v>
      </c>
      <c r="Y260" s="260">
        <f>+U260*0.235*0.3</f>
        <v>2454020.4</v>
      </c>
      <c r="Z260" s="259">
        <f>+U260-Y260-AA260</f>
        <v>30614339.600000001</v>
      </c>
      <c r="AA260" s="226">
        <f>+U260*0.05</f>
        <v>1740440</v>
      </c>
      <c r="AB260" s="219"/>
      <c r="AC260" s="219"/>
      <c r="AD260" s="219"/>
      <c r="AE260" s="219"/>
      <c r="AF260" s="219"/>
      <c r="AG260" s="100"/>
      <c r="AH260" s="230"/>
    </row>
    <row r="261" spans="1:256" s="229" customFormat="1" ht="90" hidden="1" customHeight="1">
      <c r="A261" s="101">
        <f t="shared" si="13"/>
        <v>46</v>
      </c>
      <c r="B261" s="103" t="s">
        <v>604</v>
      </c>
      <c r="C261" s="104" t="s">
        <v>134</v>
      </c>
      <c r="D261" s="103" t="s">
        <v>606</v>
      </c>
      <c r="E261" s="104" t="s">
        <v>114</v>
      </c>
      <c r="F261" s="103" t="s">
        <v>84</v>
      </c>
      <c r="G261" s="106" t="s">
        <v>605</v>
      </c>
      <c r="H261" s="102" t="s">
        <v>14</v>
      </c>
      <c r="I261" s="103" t="s">
        <v>162</v>
      </c>
      <c r="J261" s="224">
        <v>42095</v>
      </c>
      <c r="K261" s="224"/>
      <c r="L261" s="224">
        <f t="shared" si="15"/>
        <v>42095</v>
      </c>
      <c r="M261" s="224">
        <v>42369</v>
      </c>
      <c r="N261" s="224"/>
      <c r="O261" s="224">
        <f t="shared" si="12"/>
        <v>42369</v>
      </c>
      <c r="P261" s="105" t="s">
        <v>122</v>
      </c>
      <c r="Q261" s="103" t="s">
        <v>115</v>
      </c>
      <c r="R261" s="103"/>
      <c r="S261" s="104" t="s">
        <v>138</v>
      </c>
      <c r="T261" s="104"/>
      <c r="U261" s="110">
        <f>+(3658606)*1.23*1.07</f>
        <v>4815091.3566000005</v>
      </c>
      <c r="V261" s="109"/>
      <c r="W261" s="110">
        <v>0</v>
      </c>
      <c r="X261" s="259">
        <v>0</v>
      </c>
      <c r="Y261" s="259">
        <v>0</v>
      </c>
      <c r="Z261" s="259">
        <v>0</v>
      </c>
      <c r="AA261" s="226">
        <v>0</v>
      </c>
      <c r="AB261" s="219"/>
      <c r="AC261" s="219"/>
      <c r="AD261" s="219"/>
      <c r="AE261" s="219"/>
      <c r="AF261" s="219"/>
      <c r="AG261" s="100"/>
      <c r="AH261" s="230"/>
    </row>
    <row r="262" spans="1:256" s="229" customFormat="1" ht="90" hidden="1" customHeight="1">
      <c r="A262" s="101">
        <f t="shared" si="13"/>
        <v>47</v>
      </c>
      <c r="B262" s="103" t="s">
        <v>607</v>
      </c>
      <c r="C262" s="104" t="s">
        <v>138</v>
      </c>
      <c r="D262" s="103" t="s">
        <v>609</v>
      </c>
      <c r="E262" s="104" t="s">
        <v>114</v>
      </c>
      <c r="F262" s="103" t="s">
        <v>84</v>
      </c>
      <c r="G262" s="106" t="s">
        <v>608</v>
      </c>
      <c r="H262" s="102" t="s">
        <v>96</v>
      </c>
      <c r="I262" s="103" t="s">
        <v>162</v>
      </c>
      <c r="J262" s="224">
        <v>42095</v>
      </c>
      <c r="K262" s="224"/>
      <c r="L262" s="224">
        <f t="shared" si="15"/>
        <v>42095</v>
      </c>
      <c r="M262" s="224">
        <v>42369</v>
      </c>
      <c r="N262" s="224"/>
      <c r="O262" s="224">
        <f t="shared" si="12"/>
        <v>42369</v>
      </c>
      <c r="P262" s="105" t="s">
        <v>122</v>
      </c>
      <c r="Q262" s="103" t="s">
        <v>115</v>
      </c>
      <c r="R262" s="103"/>
      <c r="S262" s="104" t="s">
        <v>138</v>
      </c>
      <c r="T262" s="104"/>
      <c r="U262" s="110">
        <f>736800*12+40000*20+1613500</f>
        <v>11255100</v>
      </c>
      <c r="V262" s="109"/>
      <c r="W262" s="110">
        <v>0</v>
      </c>
      <c r="X262" s="259">
        <v>0</v>
      </c>
      <c r="Y262" s="259">
        <v>0</v>
      </c>
      <c r="Z262" s="259">
        <v>0</v>
      </c>
      <c r="AA262" s="226">
        <f>+U262*0.235*0.3</f>
        <v>793484.54999999993</v>
      </c>
      <c r="AB262" s="219"/>
      <c r="AC262" s="219"/>
      <c r="AD262" s="219"/>
      <c r="AE262" s="219"/>
      <c r="AF262" s="219"/>
      <c r="AG262" s="100"/>
      <c r="AH262" s="230"/>
    </row>
    <row r="263" spans="1:256" s="229" customFormat="1" ht="90" hidden="1" customHeight="1">
      <c r="A263" s="101">
        <f t="shared" si="13"/>
        <v>48</v>
      </c>
      <c r="B263" s="103" t="s">
        <v>610</v>
      </c>
      <c r="C263" s="104" t="s">
        <v>473</v>
      </c>
      <c r="D263" s="103" t="s">
        <v>612</v>
      </c>
      <c r="E263" s="104" t="s">
        <v>114</v>
      </c>
      <c r="F263" s="103" t="s">
        <v>88</v>
      </c>
      <c r="G263" s="106" t="s">
        <v>611</v>
      </c>
      <c r="H263" s="102" t="s">
        <v>21</v>
      </c>
      <c r="I263" s="103" t="s">
        <v>278</v>
      </c>
      <c r="J263" s="224">
        <v>43556</v>
      </c>
      <c r="K263" s="224"/>
      <c r="L263" s="224">
        <f t="shared" si="15"/>
        <v>43556</v>
      </c>
      <c r="M263" s="224">
        <v>43920</v>
      </c>
      <c r="N263" s="224"/>
      <c r="O263" s="224">
        <f t="shared" si="12"/>
        <v>43920</v>
      </c>
      <c r="P263" s="105" t="s">
        <v>122</v>
      </c>
      <c r="Q263" s="103" t="s">
        <v>251</v>
      </c>
      <c r="R263" s="103"/>
      <c r="S263" s="104" t="s">
        <v>138</v>
      </c>
      <c r="T263" s="104"/>
      <c r="U263" s="110">
        <f>736800*12+40000*10+1350000+300000*21+450000</f>
        <v>17341600</v>
      </c>
      <c r="V263" s="109"/>
      <c r="W263" s="110">
        <v>0</v>
      </c>
      <c r="X263" s="259">
        <v>0</v>
      </c>
      <c r="Y263" s="259">
        <v>0</v>
      </c>
      <c r="Z263" s="259">
        <f>+U263*0.235*0.3</f>
        <v>1222582.8</v>
      </c>
      <c r="AA263" s="226">
        <f>+U263-Z263</f>
        <v>16119017.199999999</v>
      </c>
      <c r="AB263" s="219"/>
      <c r="AC263" s="219"/>
      <c r="AD263" s="219"/>
      <c r="AE263" s="219"/>
      <c r="AF263" s="219"/>
      <c r="AG263" s="100"/>
      <c r="AH263" s="230"/>
    </row>
    <row r="264" spans="1:256" s="229" customFormat="1" ht="90" hidden="1" customHeight="1">
      <c r="A264" s="101">
        <v>74</v>
      </c>
      <c r="B264" s="103" t="s">
        <v>613</v>
      </c>
      <c r="C264" s="104" t="s">
        <v>138</v>
      </c>
      <c r="D264" s="103" t="s">
        <v>615</v>
      </c>
      <c r="E264" s="104" t="s">
        <v>114</v>
      </c>
      <c r="F264" s="103" t="s">
        <v>88</v>
      </c>
      <c r="G264" s="106" t="s">
        <v>614</v>
      </c>
      <c r="H264" s="102" t="s">
        <v>25</v>
      </c>
      <c r="I264" s="103" t="s">
        <v>234</v>
      </c>
      <c r="J264" s="224">
        <v>42095</v>
      </c>
      <c r="K264" s="224"/>
      <c r="L264" s="224">
        <f t="shared" si="15"/>
        <v>42095</v>
      </c>
      <c r="M264" s="224">
        <v>42369</v>
      </c>
      <c r="N264" s="224"/>
      <c r="O264" s="224">
        <f t="shared" si="12"/>
        <v>42369</v>
      </c>
      <c r="P264" s="105" t="s">
        <v>122</v>
      </c>
      <c r="Q264" s="103" t="s">
        <v>123</v>
      </c>
      <c r="R264" s="103"/>
      <c r="S264" s="104" t="s">
        <v>143</v>
      </c>
      <c r="T264" s="104"/>
      <c r="U264" s="110">
        <v>2235200</v>
      </c>
      <c r="V264" s="109"/>
      <c r="W264" s="110">
        <v>0</v>
      </c>
      <c r="X264" s="259">
        <f>+U264</f>
        <v>2235200</v>
      </c>
      <c r="Y264" s="259">
        <v>0</v>
      </c>
      <c r="Z264" s="259">
        <v>0</v>
      </c>
      <c r="AA264" s="226">
        <v>0</v>
      </c>
      <c r="AB264" s="219"/>
      <c r="AC264" s="219"/>
      <c r="AD264" s="219"/>
      <c r="AE264" s="219"/>
      <c r="AF264" s="219"/>
      <c r="AG264" s="100"/>
      <c r="AH264" s="230"/>
    </row>
    <row r="265" spans="1:256" s="229" customFormat="1" ht="90" hidden="1" customHeight="1">
      <c r="A265" s="101">
        <f t="shared" si="13"/>
        <v>75</v>
      </c>
      <c r="B265" s="103" t="s">
        <v>616</v>
      </c>
      <c r="C265" s="104" t="s">
        <v>134</v>
      </c>
      <c r="D265" s="103" t="s">
        <v>615</v>
      </c>
      <c r="E265" s="104" t="s">
        <v>114</v>
      </c>
      <c r="F265" s="103" t="s">
        <v>88</v>
      </c>
      <c r="G265" s="106" t="s">
        <v>617</v>
      </c>
      <c r="H265" s="102" t="s">
        <v>25</v>
      </c>
      <c r="I265" s="103" t="s">
        <v>234</v>
      </c>
      <c r="J265" s="224">
        <v>42095</v>
      </c>
      <c r="K265" s="224"/>
      <c r="L265" s="224">
        <f t="shared" si="15"/>
        <v>42095</v>
      </c>
      <c r="M265" s="224">
        <v>42369</v>
      </c>
      <c r="N265" s="224"/>
      <c r="O265" s="224">
        <f t="shared" si="12"/>
        <v>42369</v>
      </c>
      <c r="P265" s="105" t="s">
        <v>122</v>
      </c>
      <c r="Q265" s="103" t="s">
        <v>123</v>
      </c>
      <c r="R265" s="103"/>
      <c r="S265" s="104" t="s">
        <v>138</v>
      </c>
      <c r="T265" s="104"/>
      <c r="U265" s="110">
        <f>+(1*1823640)*1.23*1.07</f>
        <v>2400092.6040000003</v>
      </c>
      <c r="V265" s="109"/>
      <c r="W265" s="110">
        <v>0</v>
      </c>
      <c r="X265" s="259">
        <v>0</v>
      </c>
      <c r="Y265" s="260">
        <v>0</v>
      </c>
      <c r="Z265" s="259">
        <v>0</v>
      </c>
      <c r="AA265" s="226"/>
      <c r="AB265" s="219"/>
      <c r="AC265" s="219"/>
      <c r="AD265" s="219"/>
      <c r="AE265" s="219"/>
      <c r="AF265" s="219"/>
      <c r="AG265" s="100"/>
      <c r="AH265" s="230"/>
    </row>
    <row r="266" spans="1:256" s="229" customFormat="1" ht="90" hidden="1" customHeight="1">
      <c r="A266" s="101">
        <f t="shared" si="13"/>
        <v>76</v>
      </c>
      <c r="B266" s="103" t="s">
        <v>618</v>
      </c>
      <c r="C266" s="104" t="s">
        <v>134</v>
      </c>
      <c r="D266" s="103" t="s">
        <v>619</v>
      </c>
      <c r="E266" s="104" t="s">
        <v>114</v>
      </c>
      <c r="F266" s="103" t="s">
        <v>88</v>
      </c>
      <c r="G266" s="106" t="s">
        <v>129</v>
      </c>
      <c r="H266" s="103" t="s">
        <v>240</v>
      </c>
      <c r="I266" s="103" t="s">
        <v>173</v>
      </c>
      <c r="J266" s="224">
        <v>42095</v>
      </c>
      <c r="K266" s="224"/>
      <c r="L266" s="224">
        <f t="shared" si="15"/>
        <v>42095</v>
      </c>
      <c r="M266" s="224">
        <v>42643</v>
      </c>
      <c r="N266" s="224"/>
      <c r="O266" s="224">
        <f t="shared" si="12"/>
        <v>42643</v>
      </c>
      <c r="P266" s="105" t="s">
        <v>122</v>
      </c>
      <c r="Q266" s="103" t="s">
        <v>123</v>
      </c>
      <c r="R266" s="103"/>
      <c r="S266" s="104" t="s">
        <v>138</v>
      </c>
      <c r="T266" s="104"/>
      <c r="U266" s="110">
        <f>+(8*((1141850+1714473+2097122)/9)+3658606+1350713+4298671+929210+300000+1050000+1823640)*1.23*1.07</f>
        <v>23444876.714666668</v>
      </c>
      <c r="V266" s="109"/>
      <c r="W266" s="110">
        <v>0</v>
      </c>
      <c r="X266" s="259">
        <v>0</v>
      </c>
      <c r="Y266" s="259">
        <v>0</v>
      </c>
      <c r="Z266" s="259">
        <f>+U266*0.235*0.3</f>
        <v>1652863.8083840001</v>
      </c>
      <c r="AA266" s="226">
        <f>+U266-Z266-AB266</f>
        <v>21792012.906282667</v>
      </c>
      <c r="AB266" s="219"/>
      <c r="AC266" s="219"/>
      <c r="AD266" s="219"/>
      <c r="AE266" s="219"/>
      <c r="AF266" s="219"/>
      <c r="AG266" s="100"/>
      <c r="AH266" s="230"/>
    </row>
    <row r="267" spans="1:256" s="229" customFormat="1" ht="90" hidden="1" customHeight="1">
      <c r="A267" s="101">
        <f t="shared" si="13"/>
        <v>77</v>
      </c>
      <c r="B267" s="103" t="s">
        <v>620</v>
      </c>
      <c r="C267" s="104" t="s">
        <v>140</v>
      </c>
      <c r="D267" s="103" t="s">
        <v>621</v>
      </c>
      <c r="E267" s="104" t="s">
        <v>114</v>
      </c>
      <c r="F267" s="103" t="s">
        <v>88</v>
      </c>
      <c r="G267" s="106" t="s">
        <v>614</v>
      </c>
      <c r="H267" s="102" t="s">
        <v>25</v>
      </c>
      <c r="I267" s="103" t="s">
        <v>173</v>
      </c>
      <c r="J267" s="224">
        <v>42095</v>
      </c>
      <c r="K267" s="224"/>
      <c r="L267" s="224">
        <f t="shared" si="15"/>
        <v>42095</v>
      </c>
      <c r="M267" s="224">
        <v>42643</v>
      </c>
      <c r="N267" s="224"/>
      <c r="O267" s="224">
        <f t="shared" si="12"/>
        <v>42643</v>
      </c>
      <c r="P267" s="105" t="s">
        <v>122</v>
      </c>
      <c r="Q267" s="103" t="s">
        <v>123</v>
      </c>
      <c r="R267" s="103"/>
      <c r="S267" s="104" t="s">
        <v>138</v>
      </c>
      <c r="T267" s="104"/>
      <c r="U267" s="110">
        <f>+(12*((1141850+1714473+2097122)/9)+1247367+1293526+1350713+4298671+300000+929210+18*1022001/14+1050000+150000)*1.23*1.07</f>
        <v>24397969.218828574</v>
      </c>
      <c r="V267" s="109"/>
      <c r="W267" s="110">
        <v>0</v>
      </c>
      <c r="X267" s="259">
        <v>0</v>
      </c>
      <c r="Y267" s="259">
        <v>0</v>
      </c>
      <c r="Z267" s="259">
        <v>0</v>
      </c>
      <c r="AA267" s="226">
        <f>+U267*0.235*0.3</f>
        <v>1720056.8299274144</v>
      </c>
      <c r="AB267" s="219"/>
      <c r="AC267" s="219"/>
      <c r="AD267" s="219"/>
      <c r="AE267" s="219"/>
      <c r="AF267" s="219"/>
      <c r="AG267" s="100"/>
      <c r="AH267" s="230"/>
    </row>
    <row r="268" spans="1:256" s="229" customFormat="1" ht="90" hidden="1" customHeight="1">
      <c r="A268" s="101">
        <f t="shared" si="13"/>
        <v>78</v>
      </c>
      <c r="B268" s="103" t="s">
        <v>622</v>
      </c>
      <c r="C268" s="104" t="s">
        <v>140</v>
      </c>
      <c r="D268" s="103" t="s">
        <v>623</v>
      </c>
      <c r="E268" s="104" t="s">
        <v>114</v>
      </c>
      <c r="F268" s="103" t="s">
        <v>88</v>
      </c>
      <c r="G268" s="106" t="s">
        <v>172</v>
      </c>
      <c r="H268" s="102" t="s">
        <v>95</v>
      </c>
      <c r="I268" s="103" t="s">
        <v>173</v>
      </c>
      <c r="J268" s="224">
        <v>42095</v>
      </c>
      <c r="K268" s="224"/>
      <c r="L268" s="224">
        <f t="shared" si="15"/>
        <v>42095</v>
      </c>
      <c r="M268" s="224">
        <v>42643</v>
      </c>
      <c r="N268" s="224"/>
      <c r="O268" s="224">
        <f t="shared" si="12"/>
        <v>42643</v>
      </c>
      <c r="P268" s="105" t="s">
        <v>122</v>
      </c>
      <c r="Q268" s="103" t="s">
        <v>123</v>
      </c>
      <c r="R268" s="103"/>
      <c r="S268" s="104" t="s">
        <v>138</v>
      </c>
      <c r="T268" s="104"/>
      <c r="U268" s="110">
        <f>+(6*((1141850+1714473+2097122)/9)+1293526+1350713+929210+4*1022001/14+1350000+4298671+300000+1050000+150000)*1.23*1.07</f>
        <v>18841836.351028569</v>
      </c>
      <c r="V268" s="109"/>
      <c r="W268" s="110">
        <v>0</v>
      </c>
      <c r="X268" s="259">
        <v>0</v>
      </c>
      <c r="Y268" s="259">
        <v>0</v>
      </c>
      <c r="Z268" s="259">
        <f>+U268*0.235*0.3</f>
        <v>1328349.462747514</v>
      </c>
      <c r="AA268" s="226">
        <f>+U268-Z268-AB268</f>
        <v>17513486.888281055</v>
      </c>
      <c r="AB268" s="219"/>
      <c r="AC268" s="219"/>
      <c r="AD268" s="219"/>
      <c r="AE268" s="219"/>
      <c r="AF268" s="219"/>
      <c r="AG268" s="100"/>
      <c r="AH268" s="230"/>
    </row>
    <row r="269" spans="1:256" s="229" customFormat="1" ht="90" hidden="1" customHeight="1">
      <c r="A269" s="101">
        <f t="shared" si="13"/>
        <v>79</v>
      </c>
      <c r="B269" s="103" t="s">
        <v>624</v>
      </c>
      <c r="C269" s="104" t="s">
        <v>473</v>
      </c>
      <c r="D269" s="103" t="s">
        <v>625</v>
      </c>
      <c r="E269" s="104" t="s">
        <v>114</v>
      </c>
      <c r="F269" s="103" t="s">
        <v>88</v>
      </c>
      <c r="G269" s="106" t="s">
        <v>617</v>
      </c>
      <c r="H269" s="102" t="s">
        <v>25</v>
      </c>
      <c r="I269" s="103" t="s">
        <v>278</v>
      </c>
      <c r="J269" s="224">
        <v>43556</v>
      </c>
      <c r="K269" s="224"/>
      <c r="L269" s="224">
        <f t="shared" si="15"/>
        <v>43556</v>
      </c>
      <c r="M269" s="224">
        <v>43920</v>
      </c>
      <c r="N269" s="224"/>
      <c r="O269" s="224">
        <f t="shared" si="12"/>
        <v>43920</v>
      </c>
      <c r="P269" s="105" t="s">
        <v>122</v>
      </c>
      <c r="Q269" s="103" t="s">
        <v>251</v>
      </c>
      <c r="R269" s="103"/>
      <c r="S269" s="104" t="s">
        <v>138</v>
      </c>
      <c r="T269" s="104"/>
      <c r="U269" s="110">
        <f>736800*8+1613500+40000*10</f>
        <v>7907900</v>
      </c>
      <c r="V269" s="109"/>
      <c r="W269" s="110">
        <v>0</v>
      </c>
      <c r="X269" s="259">
        <v>0</v>
      </c>
      <c r="Y269" s="259">
        <v>0</v>
      </c>
      <c r="Z269" s="259">
        <v>0</v>
      </c>
      <c r="AA269" s="226">
        <v>0</v>
      </c>
      <c r="AB269" s="219"/>
      <c r="AC269" s="219"/>
      <c r="AD269" s="219"/>
      <c r="AE269" s="219"/>
      <c r="AF269" s="219"/>
      <c r="AG269" s="100"/>
      <c r="AH269" s="230"/>
    </row>
    <row r="270" spans="1:256" s="229" customFormat="1" ht="90" hidden="1" customHeight="1">
      <c r="A270" s="101">
        <f t="shared" si="13"/>
        <v>80</v>
      </c>
      <c r="B270" s="103" t="s">
        <v>626</v>
      </c>
      <c r="C270" s="104" t="s">
        <v>134</v>
      </c>
      <c r="D270" s="103" t="s">
        <v>615</v>
      </c>
      <c r="E270" s="104" t="s">
        <v>114</v>
      </c>
      <c r="F270" s="103" t="s">
        <v>88</v>
      </c>
      <c r="G270" s="106" t="s">
        <v>381</v>
      </c>
      <c r="H270" s="102" t="s">
        <v>25</v>
      </c>
      <c r="I270" s="103" t="s">
        <v>234</v>
      </c>
      <c r="J270" s="224">
        <v>42095</v>
      </c>
      <c r="K270" s="224"/>
      <c r="L270" s="224">
        <f t="shared" si="15"/>
        <v>42095</v>
      </c>
      <c r="M270" s="224">
        <v>42369</v>
      </c>
      <c r="N270" s="224"/>
      <c r="O270" s="224">
        <f t="shared" si="12"/>
        <v>42369</v>
      </c>
      <c r="P270" s="105" t="s">
        <v>122</v>
      </c>
      <c r="Q270" s="103" t="s">
        <v>123</v>
      </c>
      <c r="R270" s="103"/>
      <c r="S270" s="104" t="s">
        <v>138</v>
      </c>
      <c r="T270" s="104"/>
      <c r="U270" s="110">
        <f>+(1*1823640)*1.23*1.07</f>
        <v>2400092.6040000003</v>
      </c>
      <c r="V270" s="109"/>
      <c r="W270" s="110">
        <v>0</v>
      </c>
      <c r="X270" s="259">
        <v>0</v>
      </c>
      <c r="Y270" s="259">
        <v>0</v>
      </c>
      <c r="Z270" s="259">
        <v>0</v>
      </c>
      <c r="AA270" s="226">
        <f>+U270*0.235*0.3</f>
        <v>169206.528582</v>
      </c>
      <c r="AB270" s="219"/>
      <c r="AC270" s="219"/>
      <c r="AD270" s="219"/>
      <c r="AE270" s="219"/>
      <c r="AF270" s="219"/>
      <c r="AG270" s="100"/>
      <c r="AH270" s="230"/>
    </row>
    <row r="271" spans="1:256" s="229" customFormat="1" ht="90" hidden="1" customHeight="1">
      <c r="A271" s="101">
        <f t="shared" si="13"/>
        <v>81</v>
      </c>
      <c r="B271" s="103" t="s">
        <v>627</v>
      </c>
      <c r="C271" s="104" t="s">
        <v>134</v>
      </c>
      <c r="D271" s="103" t="s">
        <v>628</v>
      </c>
      <c r="E271" s="104" t="s">
        <v>114</v>
      </c>
      <c r="F271" s="103" t="s">
        <v>88</v>
      </c>
      <c r="G271" s="106" t="s">
        <v>255</v>
      </c>
      <c r="H271" s="103" t="s">
        <v>240</v>
      </c>
      <c r="I271" s="103" t="s">
        <v>162</v>
      </c>
      <c r="J271" s="224">
        <v>42095</v>
      </c>
      <c r="K271" s="224"/>
      <c r="L271" s="224">
        <f t="shared" si="15"/>
        <v>42095</v>
      </c>
      <c r="M271" s="224">
        <v>42643</v>
      </c>
      <c r="N271" s="224"/>
      <c r="O271" s="224">
        <f t="shared" si="12"/>
        <v>42643</v>
      </c>
      <c r="P271" s="105" t="s">
        <v>122</v>
      </c>
      <c r="Q271" s="103" t="s">
        <v>115</v>
      </c>
      <c r="R271" s="103"/>
      <c r="S271" s="104" t="s">
        <v>138</v>
      </c>
      <c r="T271" s="104"/>
      <c r="U271" s="110">
        <f>+((5*(1141850+1714473+2097122)/9+1823640)*1.07+5*25000)*1.23</f>
        <v>6175636.4731666669</v>
      </c>
      <c r="V271" s="109"/>
      <c r="W271" s="110">
        <v>0</v>
      </c>
      <c r="X271" s="259">
        <v>0</v>
      </c>
      <c r="Y271" s="259">
        <v>0</v>
      </c>
      <c r="Z271" s="259">
        <v>0</v>
      </c>
      <c r="AA271" s="226">
        <f>+U271*0.235*0.3</f>
        <v>435382.37135824998</v>
      </c>
      <c r="AB271" s="219"/>
      <c r="AC271" s="219"/>
      <c r="AD271" s="219"/>
      <c r="AE271" s="219"/>
      <c r="AF271" s="219"/>
      <c r="AG271" s="100"/>
      <c r="AH271" s="231"/>
      <c r="AI271" s="232"/>
      <c r="AJ271" s="232"/>
      <c r="AK271" s="232"/>
      <c r="AL271" s="232"/>
      <c r="AM271" s="232"/>
      <c r="AN271" s="232"/>
      <c r="AO271" s="232"/>
      <c r="AP271" s="232"/>
      <c r="AQ271" s="232"/>
      <c r="AR271" s="232"/>
      <c r="AS271" s="232"/>
      <c r="AT271" s="232"/>
      <c r="AU271" s="232"/>
      <c r="AV271" s="232"/>
      <c r="AW271" s="232"/>
      <c r="AX271" s="232"/>
      <c r="AY271" s="232"/>
      <c r="AZ271" s="232"/>
      <c r="BA271" s="232"/>
      <c r="BB271" s="232"/>
      <c r="BC271" s="232"/>
      <c r="BD271" s="232"/>
      <c r="BE271" s="232"/>
      <c r="BF271" s="232"/>
      <c r="BG271" s="232"/>
      <c r="BH271" s="232"/>
      <c r="BI271" s="232"/>
      <c r="BJ271" s="232"/>
      <c r="BK271" s="232"/>
      <c r="BL271" s="232"/>
      <c r="BM271" s="232"/>
      <c r="BN271" s="232"/>
      <c r="BO271" s="232"/>
      <c r="BP271" s="232"/>
      <c r="BQ271" s="232"/>
      <c r="BR271" s="232"/>
      <c r="BS271" s="232"/>
      <c r="BT271" s="232"/>
      <c r="BU271" s="232"/>
      <c r="BV271" s="232"/>
      <c r="BW271" s="232"/>
      <c r="BX271" s="232"/>
      <c r="BY271" s="232"/>
      <c r="BZ271" s="232"/>
      <c r="CA271" s="232"/>
      <c r="CB271" s="232"/>
      <c r="CC271" s="232"/>
      <c r="CD271" s="232"/>
      <c r="CE271" s="232"/>
      <c r="CF271" s="232"/>
      <c r="CG271" s="232"/>
      <c r="CH271" s="232"/>
      <c r="CI271" s="232"/>
      <c r="CJ271" s="232"/>
      <c r="CK271" s="232"/>
      <c r="CL271" s="232"/>
      <c r="CM271" s="232"/>
      <c r="CN271" s="232"/>
      <c r="CO271" s="232"/>
      <c r="CP271" s="232"/>
      <c r="CQ271" s="232"/>
      <c r="CR271" s="232"/>
      <c r="CS271" s="232"/>
      <c r="CT271" s="232"/>
      <c r="CU271" s="232"/>
      <c r="CV271" s="232"/>
      <c r="CW271" s="232"/>
      <c r="CX271" s="232"/>
      <c r="CY271" s="232"/>
      <c r="CZ271" s="232"/>
      <c r="DA271" s="232"/>
      <c r="DB271" s="232"/>
      <c r="DC271" s="232"/>
      <c r="DD271" s="232"/>
      <c r="DE271" s="232"/>
      <c r="DF271" s="232"/>
      <c r="DG271" s="232"/>
      <c r="DH271" s="232"/>
      <c r="DI271" s="232"/>
      <c r="DJ271" s="232"/>
      <c r="DK271" s="232"/>
      <c r="DL271" s="232"/>
      <c r="DM271" s="232"/>
      <c r="DN271" s="232"/>
      <c r="DO271" s="232"/>
      <c r="DP271" s="232"/>
      <c r="DQ271" s="232"/>
      <c r="DR271" s="232"/>
      <c r="DS271" s="232"/>
      <c r="DT271" s="232"/>
      <c r="DU271" s="232"/>
      <c r="DV271" s="232"/>
      <c r="DW271" s="232"/>
      <c r="DX271" s="232"/>
      <c r="DY271" s="232"/>
      <c r="DZ271" s="232"/>
      <c r="EA271" s="232"/>
      <c r="EB271" s="232"/>
      <c r="EC271" s="232"/>
      <c r="ED271" s="232"/>
      <c r="EE271" s="232"/>
      <c r="EF271" s="232"/>
      <c r="EG271" s="232"/>
      <c r="EH271" s="232"/>
      <c r="EI271" s="232"/>
      <c r="EJ271" s="232"/>
      <c r="EK271" s="232"/>
      <c r="EL271" s="232"/>
      <c r="EM271" s="232"/>
      <c r="EN271" s="232"/>
      <c r="EO271" s="232"/>
      <c r="EP271" s="232"/>
      <c r="EQ271" s="232"/>
      <c r="ER271" s="232"/>
      <c r="ES271" s="232"/>
      <c r="ET271" s="232"/>
      <c r="EU271" s="232"/>
      <c r="EV271" s="232"/>
      <c r="EW271" s="232"/>
      <c r="EX271" s="232"/>
      <c r="EY271" s="232"/>
      <c r="EZ271" s="232"/>
      <c r="FA271" s="232"/>
      <c r="FB271" s="232"/>
      <c r="FC271" s="232"/>
      <c r="FD271" s="232"/>
      <c r="FE271" s="232"/>
      <c r="FF271" s="232"/>
      <c r="FG271" s="232"/>
      <c r="FH271" s="232"/>
      <c r="FI271" s="232"/>
      <c r="FJ271" s="232"/>
      <c r="FK271" s="232"/>
      <c r="FL271" s="232"/>
      <c r="FM271" s="232"/>
      <c r="FN271" s="232"/>
      <c r="FO271" s="232"/>
      <c r="FP271" s="232"/>
      <c r="FQ271" s="232"/>
      <c r="FR271" s="232"/>
      <c r="FS271" s="232"/>
      <c r="FT271" s="232"/>
      <c r="FU271" s="232"/>
      <c r="FV271" s="232"/>
      <c r="FW271" s="232"/>
      <c r="FX271" s="232"/>
      <c r="FY271" s="232"/>
      <c r="FZ271" s="232"/>
      <c r="GA271" s="232"/>
      <c r="GB271" s="232"/>
      <c r="GC271" s="232"/>
      <c r="GD271" s="232"/>
      <c r="GE271" s="232"/>
      <c r="GF271" s="232"/>
      <c r="GG271" s="232"/>
      <c r="GH271" s="232"/>
      <c r="GI271" s="232"/>
      <c r="GJ271" s="232"/>
      <c r="GK271" s="232"/>
      <c r="GL271" s="232"/>
      <c r="GM271" s="232"/>
      <c r="GN271" s="232"/>
      <c r="GO271" s="232"/>
      <c r="GP271" s="232"/>
      <c r="GQ271" s="232"/>
      <c r="GR271" s="232"/>
      <c r="GS271" s="232"/>
      <c r="GT271" s="232"/>
      <c r="GU271" s="232"/>
      <c r="GV271" s="232"/>
      <c r="GW271" s="232"/>
      <c r="GX271" s="232"/>
      <c r="GY271" s="232"/>
      <c r="GZ271" s="232"/>
      <c r="HA271" s="232"/>
      <c r="HB271" s="232"/>
      <c r="HC271" s="232"/>
      <c r="HD271" s="232"/>
      <c r="HE271" s="232"/>
      <c r="HF271" s="232"/>
      <c r="HG271" s="232"/>
      <c r="HH271" s="232"/>
      <c r="HI271" s="232"/>
      <c r="HJ271" s="232"/>
      <c r="HK271" s="232"/>
      <c r="HL271" s="232"/>
      <c r="HM271" s="232"/>
      <c r="HN271" s="232"/>
      <c r="HO271" s="232"/>
      <c r="HP271" s="232"/>
      <c r="HQ271" s="232"/>
      <c r="HR271" s="232"/>
      <c r="HS271" s="232"/>
      <c r="HT271" s="232"/>
      <c r="HU271" s="232"/>
      <c r="HV271" s="232"/>
      <c r="HW271" s="232"/>
      <c r="HX271" s="232"/>
      <c r="HY271" s="232"/>
      <c r="HZ271" s="232"/>
      <c r="IA271" s="232"/>
      <c r="IB271" s="232"/>
      <c r="IC271" s="232"/>
      <c r="ID271" s="232"/>
      <c r="IE271" s="232"/>
      <c r="IF271" s="232"/>
      <c r="IG271" s="232"/>
      <c r="IH271" s="232"/>
      <c r="II271" s="232"/>
      <c r="IJ271" s="232"/>
      <c r="IK271" s="232"/>
      <c r="IL271" s="232"/>
      <c r="IM271" s="232"/>
      <c r="IN271" s="232"/>
      <c r="IO271" s="232"/>
      <c r="IP271" s="232"/>
      <c r="IQ271" s="232"/>
      <c r="IR271" s="232"/>
      <c r="IS271" s="232"/>
      <c r="IT271" s="232"/>
      <c r="IU271" s="232"/>
      <c r="IV271" s="232"/>
    </row>
    <row r="272" spans="1:256" s="182" customFormat="1" ht="90" hidden="1" customHeight="1">
      <c r="A272" s="101">
        <v>44</v>
      </c>
      <c r="B272" s="103" t="s">
        <v>629</v>
      </c>
      <c r="C272" s="104" t="s">
        <v>83</v>
      </c>
      <c r="D272" s="103" t="s">
        <v>630</v>
      </c>
      <c r="E272" s="104" t="s">
        <v>114</v>
      </c>
      <c r="F272" s="103" t="s">
        <v>91</v>
      </c>
      <c r="G272" s="106" t="s">
        <v>533</v>
      </c>
      <c r="H272" s="102" t="s">
        <v>7</v>
      </c>
      <c r="I272" s="103" t="s">
        <v>116</v>
      </c>
      <c r="J272" s="224">
        <v>41791</v>
      </c>
      <c r="K272" s="224"/>
      <c r="L272" s="224">
        <f t="shared" si="15"/>
        <v>41791</v>
      </c>
      <c r="M272" s="224">
        <v>42277</v>
      </c>
      <c r="N272" s="224"/>
      <c r="O272" s="224">
        <f t="shared" si="12"/>
        <v>42277</v>
      </c>
      <c r="P272" s="105" t="s">
        <v>113</v>
      </c>
      <c r="Q272" s="103" t="s">
        <v>123</v>
      </c>
      <c r="R272" s="105"/>
      <c r="S272" s="104" t="s">
        <v>143</v>
      </c>
      <c r="T272" s="104" t="s">
        <v>119</v>
      </c>
      <c r="U272" s="110">
        <v>20000000</v>
      </c>
      <c r="V272" s="109"/>
      <c r="W272" s="110">
        <f>+U272</f>
        <v>20000000</v>
      </c>
      <c r="X272" s="259">
        <f>+U272*0.8</f>
        <v>16000000</v>
      </c>
      <c r="Y272" s="259">
        <v>0</v>
      </c>
      <c r="Z272" s="259">
        <v>0</v>
      </c>
      <c r="AA272" s="111" t="s">
        <v>120</v>
      </c>
      <c r="AB272" s="219"/>
      <c r="AC272" s="219"/>
      <c r="AD272" s="219"/>
      <c r="AE272" s="219"/>
      <c r="AF272" s="219"/>
      <c r="AG272" s="100"/>
      <c r="AH272" s="97"/>
    </row>
    <row r="273" spans="1:256" s="229" customFormat="1" ht="90" hidden="1" customHeight="1">
      <c r="A273" s="101">
        <f t="shared" si="13"/>
        <v>45</v>
      </c>
      <c r="B273" s="103" t="s">
        <v>631</v>
      </c>
      <c r="C273" s="104" t="s">
        <v>138</v>
      </c>
      <c r="D273" s="103" t="s">
        <v>87</v>
      </c>
      <c r="E273" s="104" t="s">
        <v>114</v>
      </c>
      <c r="F273" s="103" t="s">
        <v>91</v>
      </c>
      <c r="G273" s="106" t="s">
        <v>199</v>
      </c>
      <c r="H273" s="102" t="s">
        <v>200</v>
      </c>
      <c r="I273" s="103" t="s">
        <v>173</v>
      </c>
      <c r="J273" s="224">
        <v>42095</v>
      </c>
      <c r="K273" s="224"/>
      <c r="L273" s="224">
        <f t="shared" si="15"/>
        <v>42095</v>
      </c>
      <c r="M273" s="224">
        <v>42460</v>
      </c>
      <c r="N273" s="224"/>
      <c r="O273" s="224">
        <f t="shared" si="12"/>
        <v>42460</v>
      </c>
      <c r="P273" s="105" t="s">
        <v>122</v>
      </c>
      <c r="Q273" s="103"/>
      <c r="R273" s="103"/>
      <c r="S273" s="104" t="s">
        <v>138</v>
      </c>
      <c r="T273" s="104"/>
      <c r="U273" s="110" t="s">
        <v>87</v>
      </c>
      <c r="V273" s="109"/>
      <c r="W273" s="110">
        <v>0</v>
      </c>
      <c r="X273" s="259">
        <v>0</v>
      </c>
      <c r="Y273" s="261">
        <v>0</v>
      </c>
      <c r="Z273" s="261">
        <v>0</v>
      </c>
      <c r="AA273" s="226">
        <v>0</v>
      </c>
      <c r="AB273" s="220"/>
      <c r="AC273" s="219"/>
      <c r="AD273" s="220"/>
      <c r="AE273" s="219"/>
      <c r="AF273" s="220"/>
      <c r="AG273" s="100"/>
      <c r="AH273" s="227"/>
      <c r="AI273" s="228"/>
      <c r="AJ273" s="228"/>
      <c r="AK273" s="228"/>
      <c r="AL273" s="228"/>
      <c r="AM273" s="228"/>
      <c r="AN273" s="228"/>
      <c r="AO273" s="228"/>
      <c r="AP273" s="228"/>
      <c r="AQ273" s="228"/>
      <c r="AR273" s="228"/>
      <c r="AS273" s="228"/>
      <c r="AT273" s="228"/>
      <c r="AU273" s="228"/>
      <c r="AV273" s="228"/>
      <c r="AW273" s="228"/>
      <c r="AX273" s="228"/>
      <c r="AY273" s="228"/>
      <c r="AZ273" s="228"/>
      <c r="BA273" s="228"/>
      <c r="BB273" s="228"/>
      <c r="BC273" s="228"/>
      <c r="BD273" s="228"/>
      <c r="BE273" s="228"/>
      <c r="BF273" s="228"/>
      <c r="BG273" s="228"/>
      <c r="BH273" s="228"/>
      <c r="BI273" s="228"/>
      <c r="BJ273" s="228"/>
      <c r="BK273" s="228"/>
      <c r="BL273" s="228"/>
      <c r="BM273" s="228"/>
      <c r="BN273" s="228"/>
      <c r="BO273" s="228"/>
      <c r="BP273" s="228"/>
      <c r="BQ273" s="228"/>
      <c r="BR273" s="228"/>
      <c r="BS273" s="228"/>
      <c r="BT273" s="228"/>
      <c r="BU273" s="228"/>
      <c r="BV273" s="228"/>
      <c r="BW273" s="228"/>
      <c r="BX273" s="228"/>
      <c r="BY273" s="228"/>
      <c r="BZ273" s="228"/>
      <c r="CA273" s="228"/>
      <c r="CB273" s="228"/>
      <c r="CC273" s="228"/>
      <c r="CD273" s="228"/>
      <c r="CE273" s="228"/>
      <c r="CF273" s="228"/>
      <c r="CG273" s="228"/>
      <c r="CH273" s="228"/>
      <c r="CI273" s="228"/>
      <c r="CJ273" s="228"/>
      <c r="CK273" s="228"/>
      <c r="CL273" s="228"/>
      <c r="CM273" s="228"/>
      <c r="CN273" s="228"/>
      <c r="CO273" s="228"/>
      <c r="CP273" s="228"/>
      <c r="CQ273" s="228"/>
      <c r="CR273" s="228"/>
      <c r="CS273" s="228"/>
      <c r="CT273" s="228"/>
      <c r="CU273" s="228"/>
      <c r="CV273" s="228"/>
      <c r="CW273" s="228"/>
      <c r="CX273" s="228"/>
      <c r="CY273" s="228"/>
      <c r="CZ273" s="228"/>
      <c r="DA273" s="228"/>
      <c r="DB273" s="228"/>
      <c r="DC273" s="228"/>
      <c r="DD273" s="228"/>
      <c r="DE273" s="228"/>
      <c r="DF273" s="228"/>
      <c r="DG273" s="228"/>
      <c r="DH273" s="228"/>
      <c r="DI273" s="228"/>
      <c r="DJ273" s="228"/>
      <c r="DK273" s="228"/>
      <c r="DL273" s="228"/>
      <c r="DM273" s="228"/>
      <c r="DN273" s="228"/>
      <c r="DO273" s="228"/>
      <c r="DP273" s="228"/>
      <c r="DQ273" s="228"/>
      <c r="DR273" s="228"/>
      <c r="DS273" s="228"/>
      <c r="DT273" s="228"/>
      <c r="DU273" s="228"/>
      <c r="DV273" s="228"/>
      <c r="DW273" s="228"/>
      <c r="DX273" s="228"/>
      <c r="DY273" s="228"/>
      <c r="DZ273" s="228"/>
      <c r="EA273" s="228"/>
      <c r="EB273" s="228"/>
      <c r="EC273" s="228"/>
      <c r="ED273" s="228"/>
      <c r="EE273" s="228"/>
      <c r="EF273" s="228"/>
      <c r="EG273" s="228"/>
      <c r="EH273" s="228"/>
      <c r="EI273" s="228"/>
      <c r="EJ273" s="228"/>
      <c r="EK273" s="228"/>
      <c r="EL273" s="228"/>
      <c r="EM273" s="228"/>
      <c r="EN273" s="228"/>
      <c r="EO273" s="228"/>
      <c r="EP273" s="228"/>
      <c r="EQ273" s="228"/>
      <c r="ER273" s="228"/>
      <c r="ES273" s="228"/>
      <c r="ET273" s="228"/>
      <c r="EU273" s="228"/>
      <c r="EV273" s="228"/>
      <c r="EW273" s="228"/>
      <c r="EX273" s="228"/>
      <c r="EY273" s="228"/>
      <c r="EZ273" s="228"/>
      <c r="FA273" s="228"/>
      <c r="FB273" s="228"/>
      <c r="FC273" s="228"/>
      <c r="FD273" s="228"/>
      <c r="FE273" s="228"/>
      <c r="FF273" s="228"/>
      <c r="FG273" s="228"/>
      <c r="FH273" s="228"/>
      <c r="FI273" s="228"/>
      <c r="FJ273" s="228"/>
      <c r="FK273" s="228"/>
      <c r="FL273" s="228"/>
      <c r="FM273" s="228"/>
      <c r="FN273" s="228"/>
      <c r="FO273" s="228"/>
      <c r="FP273" s="228"/>
      <c r="FQ273" s="228"/>
      <c r="FR273" s="228"/>
      <c r="FS273" s="228"/>
      <c r="FT273" s="228"/>
      <c r="FU273" s="228"/>
      <c r="FV273" s="228"/>
      <c r="FW273" s="228"/>
      <c r="FX273" s="228"/>
      <c r="FY273" s="228"/>
      <c r="FZ273" s="228"/>
      <c r="GA273" s="228"/>
      <c r="GB273" s="228"/>
      <c r="GC273" s="228"/>
      <c r="GD273" s="228"/>
      <c r="GE273" s="228"/>
      <c r="GF273" s="228"/>
      <c r="GG273" s="228"/>
      <c r="GH273" s="228"/>
      <c r="GI273" s="228"/>
      <c r="GJ273" s="228"/>
      <c r="GK273" s="228"/>
      <c r="GL273" s="228"/>
      <c r="GM273" s="228"/>
      <c r="GN273" s="228"/>
      <c r="GO273" s="228"/>
      <c r="GP273" s="228"/>
      <c r="GQ273" s="228"/>
      <c r="GR273" s="228"/>
      <c r="GS273" s="228"/>
      <c r="GT273" s="228"/>
      <c r="GU273" s="228"/>
      <c r="GV273" s="228"/>
      <c r="GW273" s="228"/>
      <c r="GX273" s="228"/>
      <c r="GY273" s="228"/>
      <c r="GZ273" s="228"/>
      <c r="HA273" s="228"/>
      <c r="HB273" s="228"/>
      <c r="HC273" s="228"/>
      <c r="HD273" s="228"/>
      <c r="HE273" s="228"/>
      <c r="HF273" s="228"/>
      <c r="HG273" s="228"/>
      <c r="HH273" s="228"/>
      <c r="HI273" s="228"/>
      <c r="HJ273" s="228"/>
      <c r="HK273" s="228"/>
      <c r="HL273" s="228"/>
      <c r="HM273" s="228"/>
      <c r="HN273" s="228"/>
      <c r="HO273" s="228"/>
      <c r="HP273" s="228"/>
      <c r="HQ273" s="228"/>
      <c r="HR273" s="228"/>
      <c r="HS273" s="228"/>
      <c r="HT273" s="228"/>
      <c r="HU273" s="228"/>
      <c r="HV273" s="228"/>
      <c r="HW273" s="228"/>
      <c r="HX273" s="228"/>
      <c r="HY273" s="228"/>
      <c r="HZ273" s="228"/>
      <c r="IA273" s="228"/>
      <c r="IB273" s="228"/>
      <c r="IC273" s="228"/>
      <c r="ID273" s="228"/>
      <c r="IE273" s="228"/>
      <c r="IF273" s="228"/>
      <c r="IG273" s="228"/>
      <c r="IH273" s="228"/>
      <c r="II273" s="228"/>
      <c r="IJ273" s="228"/>
      <c r="IK273" s="228"/>
      <c r="IL273" s="228"/>
      <c r="IM273" s="228"/>
      <c r="IN273" s="228"/>
      <c r="IO273" s="228"/>
      <c r="IP273" s="228"/>
      <c r="IQ273" s="228"/>
      <c r="IR273" s="228"/>
      <c r="IS273" s="228"/>
      <c r="IT273" s="228"/>
      <c r="IU273" s="228"/>
      <c r="IV273" s="228"/>
    </row>
    <row r="274" spans="1:256" s="229" customFormat="1" ht="90" hidden="1" customHeight="1">
      <c r="A274" s="101">
        <f t="shared" si="13"/>
        <v>46</v>
      </c>
      <c r="B274" s="103" t="s">
        <v>632</v>
      </c>
      <c r="C274" s="104" t="s">
        <v>140</v>
      </c>
      <c r="D274" s="103" t="s">
        <v>633</v>
      </c>
      <c r="E274" s="104" t="s">
        <v>114</v>
      </c>
      <c r="F274" s="103" t="s">
        <v>84</v>
      </c>
      <c r="G274" s="106" t="s">
        <v>158</v>
      </c>
      <c r="H274" s="102" t="s">
        <v>96</v>
      </c>
      <c r="I274" s="103" t="s">
        <v>90</v>
      </c>
      <c r="J274" s="224">
        <v>42095</v>
      </c>
      <c r="K274" s="224"/>
      <c r="L274" s="224">
        <f t="shared" si="15"/>
        <v>42095</v>
      </c>
      <c r="M274" s="224">
        <v>42460</v>
      </c>
      <c r="N274" s="224"/>
      <c r="O274" s="224">
        <f t="shared" si="12"/>
        <v>42460</v>
      </c>
      <c r="P274" s="105" t="s">
        <v>122</v>
      </c>
      <c r="Q274" s="103"/>
      <c r="R274" s="103"/>
      <c r="S274" s="104" t="s">
        <v>138</v>
      </c>
      <c r="T274" s="104"/>
      <c r="U274" s="108" t="s">
        <v>87</v>
      </c>
      <c r="V274" s="109"/>
      <c r="W274" s="110">
        <v>0</v>
      </c>
      <c r="X274" s="259">
        <v>0</v>
      </c>
      <c r="Y274" s="262">
        <v>0</v>
      </c>
      <c r="Z274" s="259">
        <v>0</v>
      </c>
      <c r="AA274" s="233">
        <v>0</v>
      </c>
      <c r="AB274" s="219"/>
      <c r="AC274" s="221"/>
      <c r="AD274" s="219"/>
      <c r="AE274" s="221"/>
      <c r="AF274" s="219"/>
      <c r="AG274" s="222"/>
      <c r="AH274" s="230"/>
    </row>
    <row r="275" spans="1:256" s="329" customFormat="1" ht="90" hidden="1" customHeight="1">
      <c r="A275" s="318">
        <v>48</v>
      </c>
      <c r="B275" s="319" t="s">
        <v>1273</v>
      </c>
      <c r="C275" s="320" t="s">
        <v>93</v>
      </c>
      <c r="D275" s="319" t="s">
        <v>1272</v>
      </c>
      <c r="E275" s="320" t="s">
        <v>114</v>
      </c>
      <c r="F275" s="319" t="s">
        <v>93</v>
      </c>
      <c r="G275" s="321" t="s">
        <v>93</v>
      </c>
      <c r="H275" s="330" t="s">
        <v>93</v>
      </c>
      <c r="I275" s="319" t="s">
        <v>93</v>
      </c>
      <c r="J275" s="322">
        <v>42095</v>
      </c>
      <c r="K275" s="322"/>
      <c r="L275" s="322">
        <f t="shared" si="15"/>
        <v>42095</v>
      </c>
      <c r="M275" s="322">
        <v>42277</v>
      </c>
      <c r="N275" s="322"/>
      <c r="O275" s="322">
        <f t="shared" si="12"/>
        <v>42277</v>
      </c>
      <c r="P275" s="323" t="s">
        <v>93</v>
      </c>
      <c r="Q275" s="319" t="s">
        <v>93</v>
      </c>
      <c r="R275" s="323" t="s">
        <v>1181</v>
      </c>
      <c r="S275" s="320" t="s">
        <v>118</v>
      </c>
      <c r="T275" s="320"/>
      <c r="U275" s="324">
        <v>0</v>
      </c>
      <c r="V275" s="332"/>
      <c r="W275" s="324">
        <v>70934718</v>
      </c>
      <c r="X275" s="340" t="s">
        <v>1201</v>
      </c>
      <c r="Y275" s="324">
        <v>0</v>
      </c>
      <c r="Z275" s="324">
        <v>0</v>
      </c>
      <c r="AA275" s="325">
        <v>0</v>
      </c>
      <c r="AB275" s="326"/>
      <c r="AC275" s="326"/>
      <c r="AD275" s="326"/>
      <c r="AE275" s="326"/>
      <c r="AF275" s="326"/>
      <c r="AG275" s="327"/>
      <c r="AH275" s="328"/>
    </row>
    <row r="276" spans="1:256" s="229" customFormat="1" ht="90" hidden="1" customHeight="1">
      <c r="A276" s="101">
        <f t="shared" si="13"/>
        <v>49</v>
      </c>
      <c r="B276" s="103" t="s">
        <v>634</v>
      </c>
      <c r="C276" s="104" t="s">
        <v>93</v>
      </c>
      <c r="D276" s="103" t="s">
        <v>635</v>
      </c>
      <c r="E276" s="104" t="s">
        <v>114</v>
      </c>
      <c r="F276" s="103" t="s">
        <v>93</v>
      </c>
      <c r="G276" s="106" t="s">
        <v>93</v>
      </c>
      <c r="H276" s="102" t="s">
        <v>93</v>
      </c>
      <c r="I276" s="103" t="s">
        <v>278</v>
      </c>
      <c r="J276" s="224">
        <v>41730</v>
      </c>
      <c r="K276" s="224"/>
      <c r="L276" s="224">
        <f t="shared" si="15"/>
        <v>41730</v>
      </c>
      <c r="M276" s="224">
        <v>43920</v>
      </c>
      <c r="N276" s="224"/>
      <c r="O276" s="224">
        <f t="shared" si="12"/>
        <v>43920</v>
      </c>
      <c r="P276" s="105" t="s">
        <v>122</v>
      </c>
      <c r="Q276" s="103" t="s">
        <v>251</v>
      </c>
      <c r="R276" s="103"/>
      <c r="S276" s="104" t="s">
        <v>334</v>
      </c>
      <c r="T276" s="104"/>
      <c r="U276" s="110">
        <v>30000000</v>
      </c>
      <c r="V276" s="109"/>
      <c r="W276" s="110">
        <v>3999998</v>
      </c>
      <c r="X276" s="259">
        <v>3999999</v>
      </c>
      <c r="Y276" s="260">
        <v>15000000</v>
      </c>
      <c r="Z276" s="259">
        <f>+Y276*1.07</f>
        <v>16050000.000000002</v>
      </c>
      <c r="AA276" s="226">
        <f>+Z276*1.07</f>
        <v>17173500.000000004</v>
      </c>
      <c r="AB276" s="219"/>
      <c r="AC276" s="219"/>
      <c r="AD276" s="219"/>
      <c r="AE276" s="219"/>
      <c r="AF276" s="219"/>
      <c r="AG276" s="100"/>
      <c r="AH276" s="230"/>
    </row>
    <row r="277" spans="1:256" s="229" customFormat="1" ht="90" hidden="1" customHeight="1">
      <c r="A277" s="101">
        <f t="shared" si="13"/>
        <v>50</v>
      </c>
      <c r="B277" s="103" t="s">
        <v>636</v>
      </c>
      <c r="C277" s="104" t="s">
        <v>138</v>
      </c>
      <c r="D277" s="103" t="s">
        <v>601</v>
      </c>
      <c r="E277" s="104" t="s">
        <v>114</v>
      </c>
      <c r="F277" s="103" t="s">
        <v>84</v>
      </c>
      <c r="G277" s="106" t="s">
        <v>14</v>
      </c>
      <c r="H277" s="102" t="s">
        <v>14</v>
      </c>
      <c r="I277" s="103" t="s">
        <v>162</v>
      </c>
      <c r="J277" s="224"/>
      <c r="K277" s="224"/>
      <c r="L277" s="224">
        <f t="shared" si="15"/>
        <v>0</v>
      </c>
      <c r="M277" s="224"/>
      <c r="N277" s="224"/>
      <c r="O277" s="224">
        <f t="shared" si="12"/>
        <v>0</v>
      </c>
      <c r="P277" s="105" t="s">
        <v>122</v>
      </c>
      <c r="Q277" s="103" t="s">
        <v>115</v>
      </c>
      <c r="R277" s="103"/>
      <c r="S277" s="104" t="s">
        <v>138</v>
      </c>
      <c r="T277" s="104"/>
      <c r="U277" s="110">
        <f>+(2097122)*1.23*1.07</f>
        <v>2760022.2642000001</v>
      </c>
      <c r="V277" s="109"/>
      <c r="W277" s="110">
        <v>0</v>
      </c>
      <c r="X277" s="259">
        <v>0</v>
      </c>
      <c r="Y277" s="259">
        <v>0</v>
      </c>
      <c r="Z277" s="259">
        <v>0</v>
      </c>
      <c r="AA277" s="226">
        <v>0</v>
      </c>
      <c r="AB277" s="219"/>
      <c r="AC277" s="219"/>
      <c r="AD277" s="219"/>
      <c r="AE277" s="219"/>
      <c r="AF277" s="219"/>
      <c r="AG277" s="100"/>
      <c r="AH277" s="230"/>
    </row>
    <row r="278" spans="1:256" s="229" customFormat="1" ht="90" hidden="1" customHeight="1">
      <c r="A278" s="101">
        <f t="shared" si="13"/>
        <v>51</v>
      </c>
      <c r="B278" s="103" t="s">
        <v>637</v>
      </c>
      <c r="C278" s="104" t="s">
        <v>134</v>
      </c>
      <c r="D278" s="103" t="s">
        <v>638</v>
      </c>
      <c r="E278" s="104" t="s">
        <v>114</v>
      </c>
      <c r="F278" s="103" t="s">
        <v>84</v>
      </c>
      <c r="G278" s="106" t="s">
        <v>248</v>
      </c>
      <c r="H278" s="102" t="s">
        <v>14</v>
      </c>
      <c r="I278" s="103" t="s">
        <v>162</v>
      </c>
      <c r="J278" s="224"/>
      <c r="K278" s="224"/>
      <c r="L278" s="224">
        <f t="shared" si="15"/>
        <v>0</v>
      </c>
      <c r="M278" s="224"/>
      <c r="N278" s="224"/>
      <c r="O278" s="224">
        <f t="shared" si="12"/>
        <v>0</v>
      </c>
      <c r="P278" s="105" t="s">
        <v>122</v>
      </c>
      <c r="Q278" s="103" t="s">
        <v>115</v>
      </c>
      <c r="R278" s="103"/>
      <c r="S278" s="104" t="s">
        <v>138</v>
      </c>
      <c r="T278" s="104"/>
      <c r="U278" s="110">
        <f>+(1714473)*1.23*1.07</f>
        <v>2256417.9153</v>
      </c>
      <c r="V278" s="109"/>
      <c r="W278" s="110">
        <v>0</v>
      </c>
      <c r="X278" s="259">
        <v>0</v>
      </c>
      <c r="Y278" s="259">
        <v>0</v>
      </c>
      <c r="Z278" s="259">
        <v>0</v>
      </c>
      <c r="AA278" s="226">
        <f>+U278*0.235*0.3</f>
        <v>159077.46302865</v>
      </c>
      <c r="AB278" s="219"/>
      <c r="AC278" s="219"/>
      <c r="AD278" s="219"/>
      <c r="AE278" s="219"/>
      <c r="AF278" s="219"/>
      <c r="AG278" s="100"/>
      <c r="AH278" s="230"/>
    </row>
    <row r="279" spans="1:256" s="229" customFormat="1" ht="90" hidden="1" customHeight="1">
      <c r="A279" s="101">
        <f t="shared" si="13"/>
        <v>52</v>
      </c>
      <c r="B279" s="103" t="s">
        <v>639</v>
      </c>
      <c r="C279" s="104" t="s">
        <v>134</v>
      </c>
      <c r="D279" s="103" t="s">
        <v>601</v>
      </c>
      <c r="E279" s="104" t="s">
        <v>114</v>
      </c>
      <c r="F279" s="103" t="s">
        <v>84</v>
      </c>
      <c r="G279" s="106" t="s">
        <v>14</v>
      </c>
      <c r="H279" s="102" t="s">
        <v>14</v>
      </c>
      <c r="I279" s="103" t="s">
        <v>162</v>
      </c>
      <c r="J279" s="224"/>
      <c r="K279" s="224"/>
      <c r="L279" s="224">
        <f t="shared" si="15"/>
        <v>0</v>
      </c>
      <c r="M279" s="224"/>
      <c r="N279" s="224"/>
      <c r="O279" s="224">
        <f t="shared" si="12"/>
        <v>0</v>
      </c>
      <c r="P279" s="105" t="s">
        <v>122</v>
      </c>
      <c r="Q279" s="103" t="s">
        <v>115</v>
      </c>
      <c r="R279" s="103"/>
      <c r="S279" s="104" t="s">
        <v>138</v>
      </c>
      <c r="T279" s="104"/>
      <c r="U279" s="110">
        <f>+(2097122)*1.23*1.07</f>
        <v>2760022.2642000001</v>
      </c>
      <c r="V279" s="109"/>
      <c r="W279" s="110">
        <v>0</v>
      </c>
      <c r="X279" s="259">
        <v>0</v>
      </c>
      <c r="Y279" s="259">
        <v>0</v>
      </c>
      <c r="Z279" s="259">
        <v>0</v>
      </c>
      <c r="AA279" s="226">
        <f>+U279*0.235*0.3</f>
        <v>194581.56962610001</v>
      </c>
      <c r="AB279" s="219"/>
      <c r="AC279" s="219"/>
      <c r="AD279" s="219"/>
      <c r="AE279" s="219"/>
      <c r="AF279" s="219"/>
      <c r="AG279" s="100"/>
      <c r="AH279" s="230"/>
    </row>
    <row r="280" spans="1:256" s="229" customFormat="1" ht="90" hidden="1" customHeight="1">
      <c r="A280" s="101">
        <f t="shared" si="13"/>
        <v>53</v>
      </c>
      <c r="B280" s="103" t="s">
        <v>640</v>
      </c>
      <c r="C280" s="104" t="s">
        <v>134</v>
      </c>
      <c r="D280" s="103" t="s">
        <v>641</v>
      </c>
      <c r="E280" s="104" t="s">
        <v>114</v>
      </c>
      <c r="F280" s="103" t="s">
        <v>84</v>
      </c>
      <c r="G280" s="106" t="s">
        <v>245</v>
      </c>
      <c r="H280" s="102" t="s">
        <v>14</v>
      </c>
      <c r="I280" s="103" t="s">
        <v>162</v>
      </c>
      <c r="J280" s="224"/>
      <c r="K280" s="224"/>
      <c r="L280" s="224">
        <f t="shared" si="15"/>
        <v>0</v>
      </c>
      <c r="M280" s="224"/>
      <c r="N280" s="224"/>
      <c r="O280" s="224">
        <f t="shared" si="12"/>
        <v>0</v>
      </c>
      <c r="P280" s="105" t="s">
        <v>122</v>
      </c>
      <c r="Q280" s="103" t="s">
        <v>115</v>
      </c>
      <c r="R280" s="103"/>
      <c r="S280" s="104" t="s">
        <v>138</v>
      </c>
      <c r="T280" s="104"/>
      <c r="U280" s="110">
        <f>+(16*((1141850+1714473+2097122)/9)+3658606+9*(1022001/14))*1.23*1.07</f>
        <v>17269510.283997621</v>
      </c>
      <c r="V280" s="109"/>
      <c r="W280" s="110">
        <v>0</v>
      </c>
      <c r="X280" s="259">
        <v>0</v>
      </c>
      <c r="Y280" s="259">
        <v>0</v>
      </c>
      <c r="Z280" s="259">
        <f>+U280*0.235*0.3</f>
        <v>1217500.4750218322</v>
      </c>
      <c r="AA280" s="226">
        <f>+U280-Z280-AB280</f>
        <v>16052009.80897579</v>
      </c>
      <c r="AB280" s="219"/>
      <c r="AC280" s="219"/>
      <c r="AD280" s="219"/>
      <c r="AE280" s="219"/>
      <c r="AF280" s="219"/>
      <c r="AG280" s="100"/>
      <c r="AH280" s="230"/>
    </row>
    <row r="281" spans="1:256" s="229" customFormat="1" ht="90" hidden="1" customHeight="1">
      <c r="A281" s="101">
        <f t="shared" si="13"/>
        <v>54</v>
      </c>
      <c r="B281" s="103" t="s">
        <v>642</v>
      </c>
      <c r="C281" s="104" t="s">
        <v>138</v>
      </c>
      <c r="D281" s="103" t="s">
        <v>601</v>
      </c>
      <c r="E281" s="104" t="s">
        <v>114</v>
      </c>
      <c r="F281" s="103" t="s">
        <v>84</v>
      </c>
      <c r="G281" s="106" t="s">
        <v>135</v>
      </c>
      <c r="H281" s="102" t="s">
        <v>96</v>
      </c>
      <c r="I281" s="103" t="s">
        <v>162</v>
      </c>
      <c r="J281" s="224"/>
      <c r="K281" s="224"/>
      <c r="L281" s="224">
        <f t="shared" si="15"/>
        <v>0</v>
      </c>
      <c r="M281" s="224"/>
      <c r="N281" s="224"/>
      <c r="O281" s="224">
        <f t="shared" si="12"/>
        <v>0</v>
      </c>
      <c r="P281" s="105" t="s">
        <v>122</v>
      </c>
      <c r="Q281" s="103" t="s">
        <v>115</v>
      </c>
      <c r="R281" s="103"/>
      <c r="S281" s="104" t="s">
        <v>138</v>
      </c>
      <c r="T281" s="104"/>
      <c r="U281" s="110">
        <f>+(2097122)*1.23*1.07</f>
        <v>2760022.2642000001</v>
      </c>
      <c r="V281" s="109"/>
      <c r="W281" s="110">
        <v>0</v>
      </c>
      <c r="X281" s="259">
        <v>0</v>
      </c>
      <c r="Y281" s="259">
        <v>0</v>
      </c>
      <c r="Z281" s="259">
        <v>2300000</v>
      </c>
      <c r="AA281" s="226">
        <v>24600000</v>
      </c>
      <c r="AB281" s="219"/>
      <c r="AC281" s="219"/>
      <c r="AD281" s="219"/>
      <c r="AE281" s="219"/>
      <c r="AF281" s="219"/>
      <c r="AG281" s="100"/>
      <c r="AH281" s="230"/>
    </row>
    <row r="282" spans="1:256" s="229" customFormat="1" ht="90" hidden="1" customHeight="1">
      <c r="A282" s="101">
        <f t="shared" si="13"/>
        <v>55</v>
      </c>
      <c r="B282" s="103" t="s">
        <v>643</v>
      </c>
      <c r="C282" s="104" t="s">
        <v>134</v>
      </c>
      <c r="D282" s="103" t="s">
        <v>644</v>
      </c>
      <c r="E282" s="104" t="s">
        <v>114</v>
      </c>
      <c r="F282" s="103" t="s">
        <v>84</v>
      </c>
      <c r="G282" s="106" t="s">
        <v>155</v>
      </c>
      <c r="H282" s="102" t="s">
        <v>14</v>
      </c>
      <c r="I282" s="103" t="s">
        <v>162</v>
      </c>
      <c r="J282" s="224"/>
      <c r="K282" s="224"/>
      <c r="L282" s="224">
        <f t="shared" si="15"/>
        <v>0</v>
      </c>
      <c r="M282" s="224"/>
      <c r="N282" s="224"/>
      <c r="O282" s="224">
        <f t="shared" si="12"/>
        <v>0</v>
      </c>
      <c r="P282" s="105" t="s">
        <v>122</v>
      </c>
      <c r="Q282" s="103" t="s">
        <v>115</v>
      </c>
      <c r="R282" s="103"/>
      <c r="S282" s="104" t="s">
        <v>138</v>
      </c>
      <c r="T282" s="104"/>
      <c r="U282" s="110">
        <f>+(2097122*3)*1.23*1.07</f>
        <v>8280066.7926000003</v>
      </c>
      <c r="V282" s="109"/>
      <c r="W282" s="110">
        <v>0</v>
      </c>
      <c r="X282" s="259">
        <v>0</v>
      </c>
      <c r="Y282" s="259">
        <v>0</v>
      </c>
      <c r="Z282" s="259">
        <v>0</v>
      </c>
      <c r="AA282" s="226">
        <v>0</v>
      </c>
      <c r="AB282" s="219"/>
      <c r="AC282" s="219"/>
      <c r="AD282" s="219"/>
      <c r="AE282" s="219"/>
      <c r="AF282" s="219"/>
      <c r="AG282" s="100"/>
      <c r="AH282" s="230"/>
    </row>
    <row r="283" spans="1:256" s="229" customFormat="1" ht="90" hidden="1" customHeight="1">
      <c r="A283" s="101">
        <f t="shared" si="13"/>
        <v>56</v>
      </c>
      <c r="B283" s="103" t="s">
        <v>645</v>
      </c>
      <c r="C283" s="104" t="s">
        <v>134</v>
      </c>
      <c r="D283" s="103" t="s">
        <v>646</v>
      </c>
      <c r="E283" s="104" t="s">
        <v>114</v>
      </c>
      <c r="F283" s="103" t="s">
        <v>84</v>
      </c>
      <c r="G283" s="106" t="s">
        <v>158</v>
      </c>
      <c r="H283" s="102" t="s">
        <v>14</v>
      </c>
      <c r="I283" s="103" t="s">
        <v>162</v>
      </c>
      <c r="J283" s="224"/>
      <c r="K283" s="224"/>
      <c r="L283" s="224">
        <f t="shared" si="15"/>
        <v>0</v>
      </c>
      <c r="M283" s="224"/>
      <c r="N283" s="224"/>
      <c r="O283" s="224">
        <f t="shared" si="12"/>
        <v>0</v>
      </c>
      <c r="P283" s="105" t="s">
        <v>122</v>
      </c>
      <c r="Q283" s="103" t="s">
        <v>115</v>
      </c>
      <c r="R283" s="103"/>
      <c r="S283" s="104" t="s">
        <v>138</v>
      </c>
      <c r="T283" s="104"/>
      <c r="U283" s="110">
        <f>+(1714473+1141850)*1.23*1.07</f>
        <v>3759206.7003000001</v>
      </c>
      <c r="V283" s="109"/>
      <c r="W283" s="110">
        <v>0</v>
      </c>
      <c r="X283" s="259">
        <v>0</v>
      </c>
      <c r="Y283" s="259">
        <v>0</v>
      </c>
      <c r="Z283" s="259">
        <v>0</v>
      </c>
      <c r="AA283" s="226">
        <v>0</v>
      </c>
      <c r="AB283" s="219"/>
      <c r="AC283" s="219"/>
      <c r="AD283" s="219"/>
      <c r="AE283" s="219"/>
      <c r="AF283" s="219"/>
      <c r="AG283" s="100"/>
      <c r="AH283" s="230"/>
    </row>
    <row r="284" spans="1:256" s="229" customFormat="1" ht="90" hidden="1" customHeight="1">
      <c r="A284" s="101">
        <f t="shared" si="13"/>
        <v>57</v>
      </c>
      <c r="B284" s="103" t="s">
        <v>647</v>
      </c>
      <c r="C284" s="104" t="s">
        <v>134</v>
      </c>
      <c r="D284" s="103" t="s">
        <v>648</v>
      </c>
      <c r="E284" s="104" t="s">
        <v>114</v>
      </c>
      <c r="F284" s="103" t="s">
        <v>84</v>
      </c>
      <c r="G284" s="106" t="s">
        <v>608</v>
      </c>
      <c r="H284" s="102" t="s">
        <v>14</v>
      </c>
      <c r="I284" s="103" t="s">
        <v>162</v>
      </c>
      <c r="J284" s="224"/>
      <c r="K284" s="224"/>
      <c r="L284" s="224">
        <f t="shared" si="15"/>
        <v>0</v>
      </c>
      <c r="M284" s="224"/>
      <c r="N284" s="224"/>
      <c r="O284" s="224">
        <f t="shared" si="12"/>
        <v>0</v>
      </c>
      <c r="P284" s="105" t="s">
        <v>122</v>
      </c>
      <c r="Q284" s="103" t="s">
        <v>115</v>
      </c>
      <c r="R284" s="103"/>
      <c r="S284" s="104" t="s">
        <v>138</v>
      </c>
      <c r="T284" s="104"/>
      <c r="U284" s="110">
        <f>+(2097122*3+1350000)*1.23*1.07</f>
        <v>10056801.7926</v>
      </c>
      <c r="V284" s="109"/>
      <c r="W284" s="110">
        <v>0</v>
      </c>
      <c r="X284" s="259">
        <v>0</v>
      </c>
      <c r="Y284" s="259">
        <v>0</v>
      </c>
      <c r="Z284" s="259">
        <f>+U284*0.235*0.3</f>
        <v>709004.52637829992</v>
      </c>
      <c r="AA284" s="226">
        <f>+U284-Z284-AB284</f>
        <v>9347797.2662217002</v>
      </c>
      <c r="AB284" s="219"/>
      <c r="AC284" s="219"/>
      <c r="AD284" s="219"/>
      <c r="AE284" s="219"/>
      <c r="AF284" s="219"/>
      <c r="AG284" s="100"/>
      <c r="AH284" s="230"/>
    </row>
    <row r="285" spans="1:256" s="229" customFormat="1" ht="90" hidden="1" customHeight="1">
      <c r="A285" s="101">
        <v>75</v>
      </c>
      <c r="B285" s="103" t="s">
        <v>649</v>
      </c>
      <c r="C285" s="104" t="s">
        <v>138</v>
      </c>
      <c r="D285" s="103" t="s">
        <v>651</v>
      </c>
      <c r="E285" s="104" t="s">
        <v>114</v>
      </c>
      <c r="F285" s="103" t="s">
        <v>84</v>
      </c>
      <c r="G285" s="106" t="s">
        <v>650</v>
      </c>
      <c r="H285" s="102" t="s">
        <v>14</v>
      </c>
      <c r="I285" s="103" t="s">
        <v>162</v>
      </c>
      <c r="J285" s="224">
        <v>42278</v>
      </c>
      <c r="K285" s="224"/>
      <c r="L285" s="224">
        <f t="shared" si="15"/>
        <v>42278</v>
      </c>
      <c r="M285" s="224">
        <v>42428</v>
      </c>
      <c r="N285" s="224"/>
      <c r="O285" s="224">
        <f t="shared" si="12"/>
        <v>42428</v>
      </c>
      <c r="P285" s="105" t="s">
        <v>122</v>
      </c>
      <c r="Q285" s="103" t="s">
        <v>115</v>
      </c>
      <c r="R285" s="103"/>
      <c r="S285" s="104" t="s">
        <v>334</v>
      </c>
      <c r="T285" s="104"/>
      <c r="U285" s="110">
        <f>+(12*1022001/14)*1.23*1.07</f>
        <v>1152904.7280857144</v>
      </c>
      <c r="V285" s="109"/>
      <c r="W285" s="110">
        <v>0</v>
      </c>
      <c r="X285" s="259">
        <v>0</v>
      </c>
      <c r="Y285" s="259">
        <v>0</v>
      </c>
      <c r="Z285" s="259">
        <v>0</v>
      </c>
      <c r="AA285" s="226">
        <v>0</v>
      </c>
      <c r="AB285" s="219"/>
      <c r="AC285" s="219"/>
      <c r="AD285" s="219"/>
      <c r="AE285" s="219"/>
      <c r="AF285" s="219"/>
      <c r="AG285" s="100"/>
      <c r="AH285" s="230"/>
    </row>
    <row r="286" spans="1:256" s="229" customFormat="1" ht="90" hidden="1" customHeight="1">
      <c r="A286" s="101">
        <f t="shared" ref="A286:A351" si="16">+A285+1</f>
        <v>76</v>
      </c>
      <c r="B286" s="103" t="s">
        <v>652</v>
      </c>
      <c r="C286" s="104" t="s">
        <v>140</v>
      </c>
      <c r="D286" s="103" t="s">
        <v>653</v>
      </c>
      <c r="E286" s="104" t="s">
        <v>114</v>
      </c>
      <c r="F286" s="103" t="s">
        <v>84</v>
      </c>
      <c r="G286" s="106" t="s">
        <v>135</v>
      </c>
      <c r="H286" s="102" t="s">
        <v>96</v>
      </c>
      <c r="I286" s="103" t="s">
        <v>162</v>
      </c>
      <c r="J286" s="224"/>
      <c r="K286" s="224"/>
      <c r="L286" s="224">
        <f t="shared" si="15"/>
        <v>0</v>
      </c>
      <c r="M286" s="224"/>
      <c r="N286" s="224"/>
      <c r="O286" s="224">
        <f t="shared" ref="O286:O349" si="17">M286+(N286*22)</f>
        <v>0</v>
      </c>
      <c r="P286" s="105" t="s">
        <v>122</v>
      </c>
      <c r="Q286" s="103" t="s">
        <v>115</v>
      </c>
      <c r="R286" s="103"/>
      <c r="S286" s="104" t="s">
        <v>138</v>
      </c>
      <c r="T286" s="104"/>
      <c r="U286" s="110">
        <f>+(1714473+1141850)*1.23*1.07</f>
        <v>3759206.7003000001</v>
      </c>
      <c r="V286" s="109"/>
      <c r="W286" s="110">
        <v>0</v>
      </c>
      <c r="X286" s="259">
        <v>0</v>
      </c>
      <c r="Y286" s="259">
        <v>0</v>
      </c>
      <c r="Z286" s="259">
        <v>0</v>
      </c>
      <c r="AA286" s="226">
        <v>0</v>
      </c>
      <c r="AB286" s="219"/>
      <c r="AC286" s="219"/>
      <c r="AD286" s="219"/>
      <c r="AE286" s="219"/>
      <c r="AF286" s="219"/>
      <c r="AG286" s="100"/>
      <c r="AH286" s="230"/>
    </row>
    <row r="287" spans="1:256" s="229" customFormat="1" ht="90" hidden="1" customHeight="1">
      <c r="A287" s="101">
        <f t="shared" si="16"/>
        <v>77</v>
      </c>
      <c r="B287" s="103" t="s">
        <v>654</v>
      </c>
      <c r="C287" s="104" t="s">
        <v>134</v>
      </c>
      <c r="D287" s="103" t="s">
        <v>655</v>
      </c>
      <c r="E287" s="104" t="s">
        <v>114</v>
      </c>
      <c r="F287" s="103" t="s">
        <v>84</v>
      </c>
      <c r="G287" s="106" t="s">
        <v>296</v>
      </c>
      <c r="H287" s="102" t="s">
        <v>14</v>
      </c>
      <c r="I287" s="103" t="s">
        <v>162</v>
      </c>
      <c r="J287" s="224"/>
      <c r="K287" s="224"/>
      <c r="L287" s="224">
        <f t="shared" si="15"/>
        <v>0</v>
      </c>
      <c r="M287" s="224"/>
      <c r="N287" s="224"/>
      <c r="O287" s="224">
        <f t="shared" si="17"/>
        <v>0</v>
      </c>
      <c r="P287" s="105" t="s">
        <v>122</v>
      </c>
      <c r="Q287" s="103" t="s">
        <v>115</v>
      </c>
      <c r="R287" s="103"/>
      <c r="S287" s="104" t="s">
        <v>138</v>
      </c>
      <c r="T287" s="104"/>
      <c r="U287" s="110">
        <f>+(23*((1141850+1714473+2097122)/9))*1.23*1.07</f>
        <v>16660251.798166666</v>
      </c>
      <c r="V287" s="109"/>
      <c r="W287" s="110">
        <v>0</v>
      </c>
      <c r="X287" s="259">
        <v>0</v>
      </c>
      <c r="Y287" s="259">
        <v>0</v>
      </c>
      <c r="Z287" s="259">
        <v>0</v>
      </c>
      <c r="AA287" s="226">
        <v>0</v>
      </c>
      <c r="AB287" s="219"/>
      <c r="AC287" s="219"/>
      <c r="AD287" s="219"/>
      <c r="AE287" s="219"/>
      <c r="AF287" s="219"/>
      <c r="AG287" s="100"/>
      <c r="AH287" s="230"/>
    </row>
    <row r="288" spans="1:256" s="229" customFormat="1" ht="90" hidden="1" customHeight="1">
      <c r="A288" s="101">
        <v>76</v>
      </c>
      <c r="B288" s="103" t="s">
        <v>656</v>
      </c>
      <c r="C288" s="104" t="s">
        <v>134</v>
      </c>
      <c r="D288" s="103" t="s">
        <v>651</v>
      </c>
      <c r="E288" s="104" t="s">
        <v>114</v>
      </c>
      <c r="F288" s="103" t="s">
        <v>84</v>
      </c>
      <c r="G288" s="106" t="s">
        <v>353</v>
      </c>
      <c r="H288" s="102" t="s">
        <v>96</v>
      </c>
      <c r="I288" s="103" t="s">
        <v>162</v>
      </c>
      <c r="J288" s="224">
        <v>42278</v>
      </c>
      <c r="K288" s="224"/>
      <c r="L288" s="224">
        <f t="shared" si="15"/>
        <v>42278</v>
      </c>
      <c r="M288" s="224">
        <v>42428</v>
      </c>
      <c r="N288" s="224"/>
      <c r="O288" s="224">
        <f t="shared" si="17"/>
        <v>42428</v>
      </c>
      <c r="P288" s="105" t="s">
        <v>122</v>
      </c>
      <c r="Q288" s="103" t="s">
        <v>115</v>
      </c>
      <c r="R288" s="103"/>
      <c r="S288" s="104" t="s">
        <v>334</v>
      </c>
      <c r="T288" s="104"/>
      <c r="U288" s="110">
        <f>+(12*1022001/14)*1.23*1.07</f>
        <v>1152904.7280857144</v>
      </c>
      <c r="V288" s="109"/>
      <c r="W288" s="110">
        <v>0</v>
      </c>
      <c r="X288" s="259">
        <v>0</v>
      </c>
      <c r="Y288" s="259">
        <v>0</v>
      </c>
      <c r="Z288" s="259">
        <v>0</v>
      </c>
      <c r="AA288" s="226">
        <v>0</v>
      </c>
      <c r="AB288" s="219"/>
      <c r="AC288" s="219"/>
      <c r="AD288" s="219"/>
      <c r="AE288" s="219"/>
      <c r="AF288" s="219"/>
      <c r="AG288" s="100"/>
      <c r="AH288" s="230"/>
    </row>
    <row r="289" spans="1:34" s="229" customFormat="1" ht="63.75" hidden="1">
      <c r="A289" s="101">
        <f t="shared" si="16"/>
        <v>77</v>
      </c>
      <c r="B289" s="103" t="s">
        <v>657</v>
      </c>
      <c r="C289" s="104" t="s">
        <v>134</v>
      </c>
      <c r="D289" s="103" t="s">
        <v>658</v>
      </c>
      <c r="E289" s="104" t="s">
        <v>114</v>
      </c>
      <c r="F289" s="103" t="s">
        <v>84</v>
      </c>
      <c r="G289" s="106" t="s">
        <v>135</v>
      </c>
      <c r="H289" s="102" t="s">
        <v>96</v>
      </c>
      <c r="I289" s="103" t="s">
        <v>162</v>
      </c>
      <c r="J289" s="224"/>
      <c r="K289" s="224"/>
      <c r="L289" s="224">
        <f t="shared" si="15"/>
        <v>0</v>
      </c>
      <c r="M289" s="224"/>
      <c r="N289" s="224"/>
      <c r="O289" s="224">
        <f t="shared" si="17"/>
        <v>0</v>
      </c>
      <c r="P289" s="105" t="s">
        <v>122</v>
      </c>
      <c r="Q289" s="103" t="s">
        <v>115</v>
      </c>
      <c r="R289" s="103"/>
      <c r="S289" s="104" t="s">
        <v>138</v>
      </c>
      <c r="T289" s="104"/>
      <c r="U289" s="110">
        <f>+(10*((1141850+1714473+2097122)/9)+3658606+1350713+1293526+4298671+28*(1022001/14)+1350000+350000+750000+150000)*1.23*1.07</f>
        <v>27308213.978133336</v>
      </c>
      <c r="V289" s="109"/>
      <c r="W289" s="110">
        <v>0</v>
      </c>
      <c r="X289" s="259">
        <v>0</v>
      </c>
      <c r="Y289" s="259">
        <v>0</v>
      </c>
      <c r="Z289" s="259">
        <f>+U289*0.235*0.3</f>
        <v>1925229.0854584</v>
      </c>
      <c r="AA289" s="226">
        <f>+U289-Z289-AB289</f>
        <v>25382984.892674934</v>
      </c>
      <c r="AB289" s="219"/>
      <c r="AC289" s="219"/>
      <c r="AD289" s="219"/>
      <c r="AE289" s="219"/>
      <c r="AF289" s="219"/>
      <c r="AG289" s="100"/>
      <c r="AH289" s="230"/>
    </row>
    <row r="290" spans="1:34" s="229" customFormat="1" ht="38.25" hidden="1">
      <c r="A290" s="101">
        <f t="shared" si="16"/>
        <v>78</v>
      </c>
      <c r="B290" s="103" t="s">
        <v>659</v>
      </c>
      <c r="C290" s="104" t="s">
        <v>134</v>
      </c>
      <c r="D290" s="103" t="s">
        <v>660</v>
      </c>
      <c r="E290" s="104" t="s">
        <v>114</v>
      </c>
      <c r="F290" s="103" t="s">
        <v>84</v>
      </c>
      <c r="G290" s="106" t="s">
        <v>296</v>
      </c>
      <c r="H290" s="102" t="s">
        <v>14</v>
      </c>
      <c r="I290" s="103" t="s">
        <v>162</v>
      </c>
      <c r="J290" s="224"/>
      <c r="K290" s="224"/>
      <c r="L290" s="224">
        <f t="shared" si="15"/>
        <v>0</v>
      </c>
      <c r="M290" s="224"/>
      <c r="N290" s="224"/>
      <c r="O290" s="224">
        <f t="shared" si="17"/>
        <v>0</v>
      </c>
      <c r="P290" s="105" t="s">
        <v>122</v>
      </c>
      <c r="Q290" s="103" t="s">
        <v>115</v>
      </c>
      <c r="R290" s="103"/>
      <c r="S290" s="104" t="s">
        <v>138</v>
      </c>
      <c r="T290" s="104"/>
      <c r="U290" s="110">
        <f>+(2097122*3)*1.23*1.07*2</f>
        <v>16560133.585200001</v>
      </c>
      <c r="V290" s="109"/>
      <c r="W290" s="110">
        <v>0</v>
      </c>
      <c r="X290" s="259">
        <v>0</v>
      </c>
      <c r="Y290" s="259">
        <v>0</v>
      </c>
      <c r="Z290" s="259">
        <v>0</v>
      </c>
      <c r="AA290" s="226">
        <f>+U290*0.235*0.3</f>
        <v>1167489.4177565998</v>
      </c>
      <c r="AB290" s="219"/>
      <c r="AC290" s="219"/>
      <c r="AD290" s="219"/>
      <c r="AE290" s="219"/>
      <c r="AF290" s="219"/>
      <c r="AG290" s="100"/>
      <c r="AH290" s="230"/>
    </row>
    <row r="291" spans="1:34" s="229" customFormat="1" ht="38.25" hidden="1">
      <c r="A291" s="101">
        <f t="shared" si="16"/>
        <v>79</v>
      </c>
      <c r="B291" s="103" t="s">
        <v>661</v>
      </c>
      <c r="C291" s="104" t="s">
        <v>134</v>
      </c>
      <c r="D291" s="103" t="s">
        <v>662</v>
      </c>
      <c r="E291" s="104" t="s">
        <v>114</v>
      </c>
      <c r="F291" s="103" t="s">
        <v>84</v>
      </c>
      <c r="G291" s="106" t="s">
        <v>605</v>
      </c>
      <c r="H291" s="102" t="s">
        <v>14</v>
      </c>
      <c r="I291" s="103" t="s">
        <v>162</v>
      </c>
      <c r="J291" s="224"/>
      <c r="K291" s="224"/>
      <c r="L291" s="224">
        <f t="shared" si="15"/>
        <v>0</v>
      </c>
      <c r="M291" s="224"/>
      <c r="N291" s="224"/>
      <c r="O291" s="224">
        <f t="shared" si="17"/>
        <v>0</v>
      </c>
      <c r="P291" s="105" t="s">
        <v>122</v>
      </c>
      <c r="Q291" s="103" t="s">
        <v>115</v>
      </c>
      <c r="R291" s="103"/>
      <c r="S291" s="104" t="s">
        <v>138</v>
      </c>
      <c r="T291" s="104"/>
      <c r="U291" s="110">
        <f>+(2097122)*1.23*1.07</f>
        <v>2760022.2642000001</v>
      </c>
      <c r="V291" s="109"/>
      <c r="W291" s="110">
        <v>0</v>
      </c>
      <c r="X291" s="259">
        <v>0</v>
      </c>
      <c r="Y291" s="259">
        <v>0</v>
      </c>
      <c r="Z291" s="259">
        <v>0</v>
      </c>
      <c r="AA291" s="226">
        <v>0</v>
      </c>
      <c r="AB291" s="219"/>
      <c r="AC291" s="219"/>
      <c r="AD291" s="219"/>
      <c r="AE291" s="219"/>
      <c r="AF291" s="219"/>
      <c r="AG291" s="100"/>
      <c r="AH291" s="230"/>
    </row>
    <row r="292" spans="1:34" s="229" customFormat="1" ht="51" hidden="1">
      <c r="A292" s="101">
        <f t="shared" si="16"/>
        <v>80</v>
      </c>
      <c r="B292" s="103" t="s">
        <v>663</v>
      </c>
      <c r="C292" s="104" t="s">
        <v>134</v>
      </c>
      <c r="D292" s="103" t="s">
        <v>664</v>
      </c>
      <c r="E292" s="104" t="s">
        <v>114</v>
      </c>
      <c r="F292" s="103" t="s">
        <v>84</v>
      </c>
      <c r="G292" s="106" t="s">
        <v>14</v>
      </c>
      <c r="H292" s="102" t="s">
        <v>14</v>
      </c>
      <c r="I292" s="103" t="s">
        <v>162</v>
      </c>
      <c r="J292" s="224"/>
      <c r="K292" s="224"/>
      <c r="L292" s="224">
        <f t="shared" si="15"/>
        <v>0</v>
      </c>
      <c r="M292" s="224"/>
      <c r="N292" s="224"/>
      <c r="O292" s="224">
        <f t="shared" si="17"/>
        <v>0</v>
      </c>
      <c r="P292" s="105" t="s">
        <v>122</v>
      </c>
      <c r="Q292" s="103" t="s">
        <v>123</v>
      </c>
      <c r="R292" s="103"/>
      <c r="S292" s="104" t="s">
        <v>138</v>
      </c>
      <c r="T292" s="104"/>
      <c r="U292" s="110">
        <f>+(1714473)*1.23*1.07+3776100</f>
        <v>6032517.9153000005</v>
      </c>
      <c r="V292" s="109"/>
      <c r="W292" s="110"/>
      <c r="X292" s="259"/>
      <c r="Y292" s="259">
        <v>0</v>
      </c>
      <c r="Z292" s="259">
        <f>+U292*0.235*0.3</f>
        <v>425292.51302865002</v>
      </c>
      <c r="AA292" s="226">
        <f>+U292-Z292</f>
        <v>5607225.4022713508</v>
      </c>
      <c r="AB292" s="219"/>
      <c r="AC292" s="219"/>
      <c r="AD292" s="219"/>
      <c r="AE292" s="219"/>
      <c r="AF292" s="219"/>
      <c r="AG292" s="100"/>
      <c r="AH292" s="230"/>
    </row>
    <row r="293" spans="1:34" s="229" customFormat="1" ht="38.25" hidden="1">
      <c r="A293" s="101">
        <v>77</v>
      </c>
      <c r="B293" s="103" t="s">
        <v>665</v>
      </c>
      <c r="C293" s="104" t="s">
        <v>140</v>
      </c>
      <c r="D293" s="103" t="s">
        <v>666</v>
      </c>
      <c r="E293" s="104" t="s">
        <v>114</v>
      </c>
      <c r="F293" s="103" t="s">
        <v>84</v>
      </c>
      <c r="G293" s="106" t="s">
        <v>248</v>
      </c>
      <c r="H293" s="102" t="s">
        <v>39</v>
      </c>
      <c r="I293" s="103" t="s">
        <v>124</v>
      </c>
      <c r="J293" s="224">
        <v>42278</v>
      </c>
      <c r="K293" s="224"/>
      <c r="L293" s="224">
        <f t="shared" si="15"/>
        <v>42278</v>
      </c>
      <c r="M293" s="224">
        <v>42428</v>
      </c>
      <c r="N293" s="224"/>
      <c r="O293" s="224">
        <f t="shared" si="17"/>
        <v>42428</v>
      </c>
      <c r="P293" s="105" t="s">
        <v>122</v>
      </c>
      <c r="Q293" s="103" t="s">
        <v>123</v>
      </c>
      <c r="R293" s="103"/>
      <c r="S293" s="104" t="s">
        <v>334</v>
      </c>
      <c r="T293" s="104"/>
      <c r="U293" s="110">
        <f>+(4*1022001/14)*1.23*1.07</f>
        <v>384301.57602857146</v>
      </c>
      <c r="V293" s="109"/>
      <c r="W293" s="110">
        <v>0</v>
      </c>
      <c r="X293" s="259">
        <v>0</v>
      </c>
      <c r="Y293" s="259">
        <v>0</v>
      </c>
      <c r="Z293" s="259">
        <v>0</v>
      </c>
      <c r="AA293" s="226">
        <v>0</v>
      </c>
      <c r="AB293" s="219"/>
      <c r="AC293" s="219"/>
      <c r="AD293" s="219"/>
      <c r="AE293" s="219"/>
      <c r="AF293" s="219"/>
      <c r="AG293" s="100"/>
      <c r="AH293" s="230"/>
    </row>
    <row r="294" spans="1:34" s="229" customFormat="1" ht="38.25" hidden="1">
      <c r="A294" s="101">
        <f t="shared" si="16"/>
        <v>78</v>
      </c>
      <c r="B294" s="103" t="s">
        <v>667</v>
      </c>
      <c r="C294" s="104" t="s">
        <v>140</v>
      </c>
      <c r="D294" s="103" t="s">
        <v>668</v>
      </c>
      <c r="E294" s="104" t="s">
        <v>114</v>
      </c>
      <c r="F294" s="103" t="s">
        <v>84</v>
      </c>
      <c r="G294" s="106" t="s">
        <v>248</v>
      </c>
      <c r="H294" s="102" t="s">
        <v>39</v>
      </c>
      <c r="I294" s="103" t="s">
        <v>173</v>
      </c>
      <c r="J294" s="224"/>
      <c r="K294" s="224"/>
      <c r="L294" s="224">
        <f t="shared" si="15"/>
        <v>0</v>
      </c>
      <c r="M294" s="224"/>
      <c r="N294" s="224"/>
      <c r="O294" s="224">
        <f t="shared" si="17"/>
        <v>0</v>
      </c>
      <c r="P294" s="105" t="s">
        <v>122</v>
      </c>
      <c r="Q294" s="103" t="s">
        <v>123</v>
      </c>
      <c r="R294" s="103"/>
      <c r="S294" s="104" t="s">
        <v>138</v>
      </c>
      <c r="T294" s="104"/>
      <c r="U294" s="110">
        <f>+(11*(1022001/14)+1350000+350000)*1.23*1.07</f>
        <v>3294199.3340785722</v>
      </c>
      <c r="V294" s="109"/>
      <c r="W294" s="110">
        <v>0</v>
      </c>
      <c r="X294" s="259">
        <v>0</v>
      </c>
      <c r="Y294" s="259">
        <v>0</v>
      </c>
      <c r="Z294" s="259">
        <v>0</v>
      </c>
      <c r="AA294" s="226">
        <f>+U294*0.235*0.3</f>
        <v>232241.05305253933</v>
      </c>
      <c r="AB294" s="219"/>
      <c r="AC294" s="219"/>
      <c r="AD294" s="219"/>
      <c r="AE294" s="219"/>
      <c r="AF294" s="219"/>
      <c r="AG294" s="100"/>
      <c r="AH294" s="230"/>
    </row>
    <row r="295" spans="1:34" s="229" customFormat="1" ht="38.25" hidden="1">
      <c r="A295" s="101">
        <f t="shared" si="16"/>
        <v>79</v>
      </c>
      <c r="B295" s="103" t="s">
        <v>669</v>
      </c>
      <c r="C295" s="104"/>
      <c r="D295" s="103" t="s">
        <v>670</v>
      </c>
      <c r="E295" s="104" t="s">
        <v>114</v>
      </c>
      <c r="F295" s="103" t="s">
        <v>84</v>
      </c>
      <c r="G295" s="106" t="s">
        <v>165</v>
      </c>
      <c r="H295" s="102" t="s">
        <v>96</v>
      </c>
      <c r="I295" s="103" t="s">
        <v>173</v>
      </c>
      <c r="J295" s="224"/>
      <c r="K295" s="224"/>
      <c r="L295" s="224">
        <f t="shared" si="15"/>
        <v>0</v>
      </c>
      <c r="M295" s="224"/>
      <c r="N295" s="224"/>
      <c r="O295" s="224">
        <f t="shared" si="17"/>
        <v>0</v>
      </c>
      <c r="P295" s="105" t="s">
        <v>122</v>
      </c>
      <c r="Q295" s="103" t="s">
        <v>123</v>
      </c>
      <c r="R295" s="103"/>
      <c r="S295" s="104" t="s">
        <v>138</v>
      </c>
      <c r="T295" s="104"/>
      <c r="U295" s="110">
        <f>+(929210)*1.23*1.07</f>
        <v>1222933.2810000002</v>
      </c>
      <c r="V295" s="109"/>
      <c r="W295" s="110">
        <v>0</v>
      </c>
      <c r="X295" s="259">
        <v>0</v>
      </c>
      <c r="Y295" s="259">
        <v>0</v>
      </c>
      <c r="Z295" s="259">
        <v>0</v>
      </c>
      <c r="AA295" s="226">
        <v>0</v>
      </c>
      <c r="AB295" s="219"/>
      <c r="AC295" s="219"/>
      <c r="AD295" s="219"/>
      <c r="AE295" s="219"/>
      <c r="AF295" s="219"/>
      <c r="AG295" s="100"/>
      <c r="AH295" s="230"/>
    </row>
    <row r="296" spans="1:34" s="229" customFormat="1" ht="76.5" hidden="1">
      <c r="A296" s="101">
        <f t="shared" si="16"/>
        <v>80</v>
      </c>
      <c r="B296" s="103" t="s">
        <v>657</v>
      </c>
      <c r="C296" s="104" t="s">
        <v>134</v>
      </c>
      <c r="D296" s="103" t="s">
        <v>671</v>
      </c>
      <c r="E296" s="104" t="s">
        <v>114</v>
      </c>
      <c r="F296" s="103" t="s">
        <v>84</v>
      </c>
      <c r="G296" s="106" t="s">
        <v>135</v>
      </c>
      <c r="H296" s="102" t="s">
        <v>96</v>
      </c>
      <c r="I296" s="103" t="s">
        <v>173</v>
      </c>
      <c r="J296" s="224"/>
      <c r="K296" s="224"/>
      <c r="L296" s="224">
        <f t="shared" si="15"/>
        <v>0</v>
      </c>
      <c r="M296" s="224"/>
      <c r="N296" s="224"/>
      <c r="O296" s="224">
        <f t="shared" si="17"/>
        <v>0</v>
      </c>
      <c r="P296" s="105" t="s">
        <v>122</v>
      </c>
      <c r="Q296" s="103" t="s">
        <v>123</v>
      </c>
      <c r="R296" s="103"/>
      <c r="S296" s="104" t="s">
        <v>138</v>
      </c>
      <c r="T296" s="104"/>
      <c r="U296" s="110">
        <f>+(10*((1141850+1714473+2097122)/9)+3658606+1247367+1293526+1350713+4298671+28*(1022001/14)+1350000+350000+750000+300000)*1.23*1.07</f>
        <v>29147288.686833333</v>
      </c>
      <c r="V296" s="109"/>
      <c r="W296" s="110">
        <v>0</v>
      </c>
      <c r="X296" s="259">
        <v>0</v>
      </c>
      <c r="Y296" s="259">
        <v>0</v>
      </c>
      <c r="Z296" s="259">
        <f>+U296*0.235*0.3</f>
        <v>2054883.8524217498</v>
      </c>
      <c r="AA296" s="226">
        <f>+U296-Z296-AB296</f>
        <v>27092404.834411584</v>
      </c>
      <c r="AB296" s="219"/>
      <c r="AC296" s="219"/>
      <c r="AD296" s="219"/>
      <c r="AE296" s="219"/>
      <c r="AF296" s="219"/>
      <c r="AG296" s="100"/>
      <c r="AH296" s="230"/>
    </row>
    <row r="297" spans="1:34" s="229" customFormat="1" ht="76.5" hidden="1">
      <c r="A297" s="101">
        <f t="shared" si="16"/>
        <v>81</v>
      </c>
      <c r="B297" s="103" t="s">
        <v>672</v>
      </c>
      <c r="C297" s="104" t="s">
        <v>134</v>
      </c>
      <c r="D297" s="103" t="s">
        <v>673</v>
      </c>
      <c r="E297" s="104" t="s">
        <v>114</v>
      </c>
      <c r="F297" s="103" t="s">
        <v>84</v>
      </c>
      <c r="G297" s="106" t="s">
        <v>135</v>
      </c>
      <c r="H297" s="102" t="s">
        <v>96</v>
      </c>
      <c r="I297" s="103" t="s">
        <v>173</v>
      </c>
      <c r="J297" s="224"/>
      <c r="K297" s="224"/>
      <c r="L297" s="224">
        <f t="shared" si="15"/>
        <v>0</v>
      </c>
      <c r="M297" s="224"/>
      <c r="N297" s="224"/>
      <c r="O297" s="224">
        <f t="shared" si="17"/>
        <v>0</v>
      </c>
      <c r="P297" s="105" t="s">
        <v>122</v>
      </c>
      <c r="Q297" s="103" t="s">
        <v>123</v>
      </c>
      <c r="R297" s="103"/>
      <c r="S297" s="104" t="s">
        <v>138</v>
      </c>
      <c r="T297" s="104"/>
      <c r="U297" s="110">
        <f>+(12*((1141850+1714473+2097122)/9)+3658606+1293526+1350713+4298671+12*(1022001/14)+929210+1350000+350000+300000+400000+300000)*1.23*1.07</f>
        <v>28574268.502685715</v>
      </c>
      <c r="V297" s="109"/>
      <c r="W297" s="110">
        <v>0</v>
      </c>
      <c r="X297" s="259">
        <v>0</v>
      </c>
      <c r="Y297" s="259">
        <v>0</v>
      </c>
      <c r="Z297" s="259">
        <f>+U297*0.235*0.3</f>
        <v>2014485.9294393426</v>
      </c>
      <c r="AA297" s="226">
        <f>+U297-Z297-AB297</f>
        <v>26559782.573246371</v>
      </c>
      <c r="AB297" s="219"/>
      <c r="AC297" s="219"/>
      <c r="AD297" s="219"/>
      <c r="AE297" s="219"/>
      <c r="AF297" s="219"/>
      <c r="AG297" s="100"/>
      <c r="AH297" s="230"/>
    </row>
    <row r="298" spans="1:34" s="229" customFormat="1" ht="76.5" hidden="1">
      <c r="A298" s="101">
        <f t="shared" si="16"/>
        <v>82</v>
      </c>
      <c r="B298" s="103" t="s">
        <v>674</v>
      </c>
      <c r="C298" s="104" t="s">
        <v>134</v>
      </c>
      <c r="D298" s="103" t="s">
        <v>675</v>
      </c>
      <c r="E298" s="104" t="s">
        <v>114</v>
      </c>
      <c r="F298" s="103" t="s">
        <v>84</v>
      </c>
      <c r="G298" s="106" t="s">
        <v>158</v>
      </c>
      <c r="H298" s="102" t="s">
        <v>14</v>
      </c>
      <c r="I298" s="103" t="s">
        <v>173</v>
      </c>
      <c r="J298" s="224"/>
      <c r="K298" s="224"/>
      <c r="L298" s="224">
        <f t="shared" si="15"/>
        <v>0</v>
      </c>
      <c r="M298" s="224"/>
      <c r="N298" s="224"/>
      <c r="O298" s="224">
        <f t="shared" si="17"/>
        <v>0</v>
      </c>
      <c r="P298" s="105" t="s">
        <v>122</v>
      </c>
      <c r="Q298" s="103" t="s">
        <v>123</v>
      </c>
      <c r="R298" s="103"/>
      <c r="S298" s="104" t="s">
        <v>138</v>
      </c>
      <c r="T298" s="104"/>
      <c r="U298" s="110">
        <f>+(7*((1141850+1714473+2097122)/9)+3658606+1293526+1350713+4298671+300000+1350000+929210+20*(1022001/14)+400000)*1.23*1.07</f>
        <v>24865612.785576191</v>
      </c>
      <c r="V298" s="109"/>
      <c r="W298" s="110">
        <v>0</v>
      </c>
      <c r="X298" s="259">
        <v>0</v>
      </c>
      <c r="Y298" s="259">
        <v>0</v>
      </c>
      <c r="Z298" s="259">
        <f>+U298*0.235*0.3</f>
        <v>1753025.7013831213</v>
      </c>
      <c r="AA298" s="226">
        <f>+U298-Z298-AB298</f>
        <v>23112587.084193069</v>
      </c>
      <c r="AB298" s="219"/>
      <c r="AC298" s="219"/>
      <c r="AD298" s="219"/>
      <c r="AE298" s="219"/>
      <c r="AF298" s="219"/>
      <c r="AG298" s="100"/>
      <c r="AH298" s="230"/>
    </row>
    <row r="299" spans="1:34" s="229" customFormat="1" ht="38.25" hidden="1">
      <c r="A299" s="101">
        <v>78</v>
      </c>
      <c r="B299" s="103" t="s">
        <v>676</v>
      </c>
      <c r="C299" s="104" t="s">
        <v>134</v>
      </c>
      <c r="D299" s="103" t="s">
        <v>677</v>
      </c>
      <c r="E299" s="104" t="s">
        <v>114</v>
      </c>
      <c r="F299" s="103" t="s">
        <v>84</v>
      </c>
      <c r="G299" s="106" t="s">
        <v>608</v>
      </c>
      <c r="H299" s="102" t="s">
        <v>96</v>
      </c>
      <c r="I299" s="103" t="s">
        <v>124</v>
      </c>
      <c r="J299" s="224">
        <v>42278</v>
      </c>
      <c r="K299" s="224"/>
      <c r="L299" s="224">
        <f t="shared" si="15"/>
        <v>42278</v>
      </c>
      <c r="M299" s="224">
        <v>42428</v>
      </c>
      <c r="N299" s="224"/>
      <c r="O299" s="224">
        <f t="shared" si="17"/>
        <v>42428</v>
      </c>
      <c r="P299" s="105" t="s">
        <v>122</v>
      </c>
      <c r="Q299" s="103" t="s">
        <v>123</v>
      </c>
      <c r="R299" s="103"/>
      <c r="S299" s="104" t="s">
        <v>334</v>
      </c>
      <c r="T299" s="104"/>
      <c r="U299" s="110">
        <f>+(450000)*1.23</f>
        <v>553500</v>
      </c>
      <c r="V299" s="109"/>
      <c r="W299" s="110">
        <v>0</v>
      </c>
      <c r="X299" s="259">
        <v>0</v>
      </c>
      <c r="Y299" s="259">
        <v>0</v>
      </c>
      <c r="Z299" s="259">
        <v>0</v>
      </c>
      <c r="AA299" s="226">
        <v>0</v>
      </c>
      <c r="AB299" s="219"/>
      <c r="AC299" s="219"/>
      <c r="AD299" s="219"/>
      <c r="AE299" s="219"/>
      <c r="AF299" s="219"/>
      <c r="AG299" s="100"/>
      <c r="AH299" s="230"/>
    </row>
    <row r="300" spans="1:34" s="229" customFormat="1" ht="63.75" hidden="1">
      <c r="A300" s="101">
        <f t="shared" si="16"/>
        <v>79</v>
      </c>
      <c r="B300" s="103" t="s">
        <v>678</v>
      </c>
      <c r="C300" s="104" t="s">
        <v>134</v>
      </c>
      <c r="D300" s="103" t="s">
        <v>679</v>
      </c>
      <c r="E300" s="104" t="s">
        <v>114</v>
      </c>
      <c r="F300" s="103" t="s">
        <v>84</v>
      </c>
      <c r="G300" s="106" t="s">
        <v>248</v>
      </c>
      <c r="H300" s="102" t="s">
        <v>39</v>
      </c>
      <c r="I300" s="103" t="s">
        <v>173</v>
      </c>
      <c r="J300" s="224">
        <v>42826</v>
      </c>
      <c r="K300" s="224"/>
      <c r="L300" s="224">
        <f t="shared" si="15"/>
        <v>42826</v>
      </c>
      <c r="M300" s="224">
        <v>43190</v>
      </c>
      <c r="N300" s="224"/>
      <c r="O300" s="224">
        <f t="shared" si="17"/>
        <v>43190</v>
      </c>
      <c r="P300" s="105" t="s">
        <v>122</v>
      </c>
      <c r="Q300" s="103" t="s">
        <v>123</v>
      </c>
      <c r="R300" s="103"/>
      <c r="S300" s="104" t="s">
        <v>138</v>
      </c>
      <c r="T300" s="104"/>
      <c r="U300" s="110">
        <f>+(8*((1141850+1714473+2097122)/9)+1293526+1350713+4298671+300000+1350000+350000+929210+600000+24*(1022001/14)+750000)*1.23*1.07</f>
        <v>22870111.778838098</v>
      </c>
      <c r="V300" s="109"/>
      <c r="W300" s="110">
        <v>0</v>
      </c>
      <c r="X300" s="259">
        <v>0</v>
      </c>
      <c r="Y300" s="260">
        <f>+U300*0.235*0.3</f>
        <v>1612342.8804080856</v>
      </c>
      <c r="Z300" s="259">
        <f>+U300-Y300-AA300</f>
        <v>20114263.309488107</v>
      </c>
      <c r="AA300" s="226">
        <f>+U300*0.05</f>
        <v>1143505.5889419049</v>
      </c>
      <c r="AB300" s="219"/>
      <c r="AC300" s="219"/>
      <c r="AD300" s="219"/>
      <c r="AE300" s="219"/>
      <c r="AF300" s="219"/>
      <c r="AG300" s="100"/>
      <c r="AH300" s="230"/>
    </row>
    <row r="301" spans="1:34" s="229" customFormat="1" ht="38.25" hidden="1">
      <c r="A301" s="101">
        <f t="shared" si="16"/>
        <v>80</v>
      </c>
      <c r="B301" s="103" t="s">
        <v>680</v>
      </c>
      <c r="C301" s="104" t="s">
        <v>140</v>
      </c>
      <c r="D301" s="103" t="s">
        <v>681</v>
      </c>
      <c r="E301" s="104" t="s">
        <v>114</v>
      </c>
      <c r="F301" s="103" t="s">
        <v>84</v>
      </c>
      <c r="G301" s="106" t="s">
        <v>296</v>
      </c>
      <c r="H301" s="102" t="s">
        <v>14</v>
      </c>
      <c r="I301" s="103" t="s">
        <v>173</v>
      </c>
      <c r="J301" s="224"/>
      <c r="K301" s="224"/>
      <c r="L301" s="224">
        <f t="shared" si="15"/>
        <v>0</v>
      </c>
      <c r="M301" s="224"/>
      <c r="N301" s="224"/>
      <c r="O301" s="224">
        <f t="shared" si="17"/>
        <v>0</v>
      </c>
      <c r="P301" s="105" t="s">
        <v>122</v>
      </c>
      <c r="Q301" s="103" t="s">
        <v>123</v>
      </c>
      <c r="R301" s="103"/>
      <c r="S301" s="104" t="s">
        <v>138</v>
      </c>
      <c r="T301" s="104"/>
      <c r="U301" s="110">
        <f>+(2097122)*1.23*1.07</f>
        <v>2760022.2642000001</v>
      </c>
      <c r="V301" s="109"/>
      <c r="W301" s="110">
        <v>0</v>
      </c>
      <c r="X301" s="259">
        <v>0</v>
      </c>
      <c r="Y301" s="259">
        <v>0</v>
      </c>
      <c r="Z301" s="259">
        <v>0</v>
      </c>
      <c r="AA301" s="226">
        <f>+U301*0.235*0.3</f>
        <v>194581.56962610001</v>
      </c>
      <c r="AB301" s="219"/>
      <c r="AC301" s="219"/>
      <c r="AD301" s="219"/>
      <c r="AE301" s="219"/>
      <c r="AF301" s="219"/>
      <c r="AG301" s="100"/>
      <c r="AH301" s="230"/>
    </row>
    <row r="302" spans="1:34" s="229" customFormat="1" ht="89.25" hidden="1">
      <c r="A302" s="101">
        <f t="shared" si="16"/>
        <v>81</v>
      </c>
      <c r="B302" s="103" t="s">
        <v>682</v>
      </c>
      <c r="C302" s="104" t="s">
        <v>134</v>
      </c>
      <c r="D302" s="103" t="s">
        <v>683</v>
      </c>
      <c r="E302" s="104" t="s">
        <v>114</v>
      </c>
      <c r="F302" s="103" t="s">
        <v>84</v>
      </c>
      <c r="G302" s="106" t="s">
        <v>245</v>
      </c>
      <c r="H302" s="102" t="s">
        <v>14</v>
      </c>
      <c r="I302" s="103" t="s">
        <v>173</v>
      </c>
      <c r="J302" s="224"/>
      <c r="K302" s="224"/>
      <c r="L302" s="224">
        <f t="shared" si="15"/>
        <v>0</v>
      </c>
      <c r="M302" s="224"/>
      <c r="N302" s="224"/>
      <c r="O302" s="224">
        <f t="shared" si="17"/>
        <v>0</v>
      </c>
      <c r="P302" s="105" t="s">
        <v>122</v>
      </c>
      <c r="Q302" s="103" t="s">
        <v>123</v>
      </c>
      <c r="R302" s="103"/>
      <c r="S302" s="104" t="s">
        <v>138</v>
      </c>
      <c r="T302" s="104"/>
      <c r="U302" s="110">
        <f>+(1823640+10*((1141850+1714473+2097122)/9)+3658606+1293526+1350713*2+4298671+300000+929210+10*(1022001/14)+750000+150000)*1.23*1.07</f>
        <v>29137016.150304757</v>
      </c>
      <c r="V302" s="109"/>
      <c r="W302" s="110">
        <v>0</v>
      </c>
      <c r="X302" s="259">
        <v>0</v>
      </c>
      <c r="Y302" s="259">
        <v>0</v>
      </c>
      <c r="Z302" s="259">
        <f>+U302*0.235*0.3</f>
        <v>2054159.6385964851</v>
      </c>
      <c r="AA302" s="226">
        <f>+U302-Z302-AB302</f>
        <v>27082856.511708271</v>
      </c>
      <c r="AB302" s="219"/>
      <c r="AC302" s="219"/>
      <c r="AD302" s="219"/>
      <c r="AE302" s="219"/>
      <c r="AF302" s="219"/>
      <c r="AG302" s="100"/>
      <c r="AH302" s="230"/>
    </row>
    <row r="303" spans="1:34" s="229" customFormat="1" ht="38.25" hidden="1">
      <c r="A303" s="101">
        <f t="shared" si="16"/>
        <v>82</v>
      </c>
      <c r="B303" s="103" t="s">
        <v>684</v>
      </c>
      <c r="C303" s="104" t="s">
        <v>140</v>
      </c>
      <c r="D303" s="103" t="s">
        <v>685</v>
      </c>
      <c r="E303" s="104" t="s">
        <v>114</v>
      </c>
      <c r="F303" s="103" t="s">
        <v>84</v>
      </c>
      <c r="G303" s="106" t="s">
        <v>158</v>
      </c>
      <c r="H303" s="102" t="s">
        <v>14</v>
      </c>
      <c r="I303" s="103" t="s">
        <v>173</v>
      </c>
      <c r="J303" s="224"/>
      <c r="K303" s="224"/>
      <c r="L303" s="224">
        <f t="shared" si="15"/>
        <v>0</v>
      </c>
      <c r="M303" s="224"/>
      <c r="N303" s="224"/>
      <c r="O303" s="224">
        <f t="shared" si="17"/>
        <v>0</v>
      </c>
      <c r="P303" s="105" t="s">
        <v>122</v>
      </c>
      <c r="Q303" s="103" t="s">
        <v>123</v>
      </c>
      <c r="R303" s="103"/>
      <c r="S303" s="104" t="s">
        <v>138</v>
      </c>
      <c r="T303" s="104"/>
      <c r="U303" s="110">
        <f>+(2097122)*1.23*1.07*3</f>
        <v>8280066.7926000003</v>
      </c>
      <c r="V303" s="109"/>
      <c r="W303" s="110">
        <v>0</v>
      </c>
      <c r="X303" s="259">
        <v>0</v>
      </c>
      <c r="Y303" s="259">
        <v>0</v>
      </c>
      <c r="Z303" s="259">
        <v>0</v>
      </c>
      <c r="AA303" s="226">
        <f>+U303*0.235*0.3</f>
        <v>583744.70887829992</v>
      </c>
      <c r="AB303" s="219"/>
      <c r="AC303" s="219"/>
      <c r="AD303" s="219"/>
      <c r="AE303" s="219"/>
      <c r="AF303" s="219"/>
      <c r="AG303" s="100"/>
      <c r="AH303" s="230"/>
    </row>
    <row r="304" spans="1:34" s="229" customFormat="1" ht="38.25" hidden="1">
      <c r="A304" s="101">
        <f t="shared" si="16"/>
        <v>83</v>
      </c>
      <c r="B304" s="103" t="s">
        <v>686</v>
      </c>
      <c r="C304" s="104" t="s">
        <v>134</v>
      </c>
      <c r="D304" s="103" t="s">
        <v>687</v>
      </c>
      <c r="E304" s="104" t="s">
        <v>114</v>
      </c>
      <c r="F304" s="103" t="s">
        <v>84</v>
      </c>
      <c r="G304" s="106" t="s">
        <v>353</v>
      </c>
      <c r="H304" s="102" t="s">
        <v>96</v>
      </c>
      <c r="I304" s="103" t="s">
        <v>173</v>
      </c>
      <c r="J304" s="224"/>
      <c r="K304" s="224"/>
      <c r="L304" s="224">
        <f t="shared" si="15"/>
        <v>0</v>
      </c>
      <c r="M304" s="224"/>
      <c r="N304" s="224"/>
      <c r="O304" s="224">
        <f t="shared" si="17"/>
        <v>0</v>
      </c>
      <c r="P304" s="105" t="s">
        <v>122</v>
      </c>
      <c r="Q304" s="103" t="s">
        <v>123</v>
      </c>
      <c r="R304" s="103"/>
      <c r="S304" s="104" t="s">
        <v>138</v>
      </c>
      <c r="T304" s="104"/>
      <c r="U304" s="110">
        <f>+(2097122*3+1823640)*1.23*1.07</f>
        <v>10680159.396599999</v>
      </c>
      <c r="V304" s="109"/>
      <c r="W304" s="110">
        <v>0</v>
      </c>
      <c r="X304" s="259">
        <v>0</v>
      </c>
      <c r="Y304" s="259">
        <v>0</v>
      </c>
      <c r="Z304" s="259">
        <v>0</v>
      </c>
      <c r="AA304" s="226">
        <f>+U304*0.235*0.3</f>
        <v>752951.23746029986</v>
      </c>
      <c r="AB304" s="219"/>
      <c r="AC304" s="219"/>
      <c r="AD304" s="219"/>
      <c r="AE304" s="219"/>
      <c r="AF304" s="219"/>
      <c r="AG304" s="100"/>
      <c r="AH304" s="230"/>
    </row>
    <row r="305" spans="1:34" s="229" customFormat="1" ht="63.75" hidden="1">
      <c r="A305" s="101">
        <f t="shared" si="16"/>
        <v>84</v>
      </c>
      <c r="B305" s="103" t="s">
        <v>688</v>
      </c>
      <c r="C305" s="104" t="s">
        <v>134</v>
      </c>
      <c r="D305" s="103" t="s">
        <v>689</v>
      </c>
      <c r="E305" s="104" t="s">
        <v>114</v>
      </c>
      <c r="F305" s="103" t="s">
        <v>84</v>
      </c>
      <c r="G305" s="106" t="s">
        <v>155</v>
      </c>
      <c r="H305" s="102" t="s">
        <v>14</v>
      </c>
      <c r="I305" s="103" t="s">
        <v>173</v>
      </c>
      <c r="J305" s="224"/>
      <c r="K305" s="224"/>
      <c r="L305" s="224">
        <f t="shared" si="15"/>
        <v>0</v>
      </c>
      <c r="M305" s="224"/>
      <c r="N305" s="224"/>
      <c r="O305" s="224">
        <f t="shared" si="17"/>
        <v>0</v>
      </c>
      <c r="P305" s="105" t="s">
        <v>122</v>
      </c>
      <c r="Q305" s="103" t="s">
        <v>123</v>
      </c>
      <c r="R305" s="103"/>
      <c r="S305" s="104" t="s">
        <v>138</v>
      </c>
      <c r="T305" s="104"/>
      <c r="U305" s="110">
        <f>+(1823640+8*((1141850+1714473+2097122)/9)+3658606+1293526+1350713*3)*1.23*1.07</f>
        <v>20045483.857766666</v>
      </c>
      <c r="V305" s="109"/>
      <c r="W305" s="110">
        <v>0</v>
      </c>
      <c r="X305" s="259">
        <v>0</v>
      </c>
      <c r="Y305" s="259">
        <v>0</v>
      </c>
      <c r="Z305" s="259">
        <v>0</v>
      </c>
      <c r="AA305" s="226">
        <v>0</v>
      </c>
      <c r="AB305" s="219"/>
      <c r="AC305" s="219"/>
      <c r="AD305" s="219"/>
      <c r="AE305" s="219"/>
      <c r="AF305" s="219"/>
      <c r="AG305" s="100"/>
      <c r="AH305" s="230"/>
    </row>
    <row r="306" spans="1:34" s="229" customFormat="1" ht="63.75" hidden="1">
      <c r="A306" s="101">
        <f t="shared" si="16"/>
        <v>85</v>
      </c>
      <c r="B306" s="103" t="s">
        <v>690</v>
      </c>
      <c r="C306" s="104" t="s">
        <v>134</v>
      </c>
      <c r="D306" s="103" t="s">
        <v>691</v>
      </c>
      <c r="E306" s="104" t="s">
        <v>114</v>
      </c>
      <c r="F306" s="103" t="s">
        <v>84</v>
      </c>
      <c r="G306" s="106" t="s">
        <v>155</v>
      </c>
      <c r="H306" s="102" t="s">
        <v>14</v>
      </c>
      <c r="I306" s="103" t="s">
        <v>173</v>
      </c>
      <c r="J306" s="224"/>
      <c r="K306" s="224"/>
      <c r="L306" s="224">
        <f t="shared" si="15"/>
        <v>0</v>
      </c>
      <c r="M306" s="224"/>
      <c r="N306" s="224"/>
      <c r="O306" s="224">
        <f t="shared" si="17"/>
        <v>0</v>
      </c>
      <c r="P306" s="105" t="s">
        <v>122</v>
      </c>
      <c r="Q306" s="103" t="s">
        <v>123</v>
      </c>
      <c r="R306" s="103"/>
      <c r="S306" s="104" t="s">
        <v>138</v>
      </c>
      <c r="T306" s="104"/>
      <c r="U306" s="110">
        <f>+(1823640+12*((1141850+1714473+2097122)/9)+3658606+1293526+1350713*3)*1.23*1.07</f>
        <v>22942918.9531</v>
      </c>
      <c r="V306" s="109"/>
      <c r="W306" s="110">
        <v>0</v>
      </c>
      <c r="X306" s="259">
        <v>0</v>
      </c>
      <c r="Y306" s="259">
        <v>0</v>
      </c>
      <c r="Z306" s="259">
        <v>0</v>
      </c>
      <c r="AA306" s="226">
        <f>+U306*0.235*0.3</f>
        <v>1617475.7861935499</v>
      </c>
      <c r="AB306" s="219"/>
      <c r="AC306" s="219"/>
      <c r="AD306" s="219"/>
      <c r="AE306" s="219"/>
      <c r="AF306" s="219"/>
      <c r="AG306" s="100"/>
      <c r="AH306" s="230"/>
    </row>
    <row r="307" spans="1:34" s="229" customFormat="1" ht="38.25" hidden="1">
      <c r="A307" s="101">
        <f t="shared" si="16"/>
        <v>86</v>
      </c>
      <c r="B307" s="103" t="s">
        <v>692</v>
      </c>
      <c r="C307" s="104" t="s">
        <v>140</v>
      </c>
      <c r="D307" s="103" t="s">
        <v>694</v>
      </c>
      <c r="E307" s="104" t="s">
        <v>114</v>
      </c>
      <c r="F307" s="103" t="s">
        <v>84</v>
      </c>
      <c r="G307" s="106" t="s">
        <v>693</v>
      </c>
      <c r="H307" s="102" t="s">
        <v>14</v>
      </c>
      <c r="I307" s="103" t="s">
        <v>173</v>
      </c>
      <c r="J307" s="224"/>
      <c r="K307" s="224"/>
      <c r="L307" s="224">
        <f t="shared" si="15"/>
        <v>0</v>
      </c>
      <c r="M307" s="224"/>
      <c r="N307" s="224"/>
      <c r="O307" s="224">
        <f t="shared" si="17"/>
        <v>0</v>
      </c>
      <c r="P307" s="105" t="s">
        <v>122</v>
      </c>
      <c r="Q307" s="103" t="s">
        <v>123</v>
      </c>
      <c r="R307" s="103"/>
      <c r="S307" s="104" t="s">
        <v>138</v>
      </c>
      <c r="T307" s="104"/>
      <c r="U307" s="110">
        <f>+(12*((1141850+1714473+2097122)/9)+1293526+1350713*3+8*1022001/14)*1.23*1.07</f>
        <v>16496338.144557141</v>
      </c>
      <c r="V307" s="109"/>
      <c r="W307" s="110">
        <v>0</v>
      </c>
      <c r="X307" s="259">
        <v>0</v>
      </c>
      <c r="Y307" s="259">
        <v>0</v>
      </c>
      <c r="Z307" s="259">
        <v>0</v>
      </c>
      <c r="AA307" s="226">
        <f>+U307*0.235*0.3</f>
        <v>1162991.8391912784</v>
      </c>
      <c r="AB307" s="219"/>
      <c r="AC307" s="219"/>
      <c r="AD307" s="219"/>
      <c r="AE307" s="219"/>
      <c r="AF307" s="219"/>
      <c r="AG307" s="100"/>
      <c r="AH307" s="230"/>
    </row>
    <row r="308" spans="1:34" s="229" customFormat="1" ht="89.25" hidden="1">
      <c r="A308" s="101">
        <f t="shared" si="16"/>
        <v>87</v>
      </c>
      <c r="B308" s="103" t="s">
        <v>695</v>
      </c>
      <c r="C308" s="104" t="s">
        <v>134</v>
      </c>
      <c r="D308" s="103" t="s">
        <v>696</v>
      </c>
      <c r="E308" s="104" t="s">
        <v>114</v>
      </c>
      <c r="F308" s="103" t="s">
        <v>84</v>
      </c>
      <c r="G308" s="106" t="s">
        <v>191</v>
      </c>
      <c r="H308" s="102" t="s">
        <v>14</v>
      </c>
      <c r="I308" s="103" t="s">
        <v>173</v>
      </c>
      <c r="J308" s="224"/>
      <c r="K308" s="224"/>
      <c r="L308" s="224">
        <f t="shared" si="15"/>
        <v>0</v>
      </c>
      <c r="M308" s="224"/>
      <c r="N308" s="224"/>
      <c r="O308" s="224">
        <f t="shared" si="17"/>
        <v>0</v>
      </c>
      <c r="P308" s="105" t="s">
        <v>122</v>
      </c>
      <c r="Q308" s="103" t="s">
        <v>123</v>
      </c>
      <c r="R308" s="103"/>
      <c r="S308" s="104" t="s">
        <v>138</v>
      </c>
      <c r="T308" s="104"/>
      <c r="U308" s="110">
        <f>+(2*((1141850+1714473+2097122)/9)+3658606+1293526+1350713*3+300000+929210+10*1022001/14+750000+150000)*1.23*1.07</f>
        <v>17062245.831838097</v>
      </c>
      <c r="V308" s="109"/>
      <c r="W308" s="110">
        <v>0</v>
      </c>
      <c r="X308" s="259">
        <v>0</v>
      </c>
      <c r="Y308" s="259">
        <v>0</v>
      </c>
      <c r="Z308" s="259">
        <v>0</v>
      </c>
      <c r="AA308" s="226">
        <v>0</v>
      </c>
      <c r="AB308" s="219"/>
      <c r="AC308" s="219"/>
      <c r="AD308" s="219"/>
      <c r="AE308" s="219"/>
      <c r="AF308" s="219"/>
      <c r="AG308" s="100"/>
      <c r="AH308" s="230"/>
    </row>
    <row r="309" spans="1:34" s="229" customFormat="1" ht="76.5" hidden="1">
      <c r="A309" s="101">
        <f t="shared" si="16"/>
        <v>88</v>
      </c>
      <c r="B309" s="103" t="s">
        <v>697</v>
      </c>
      <c r="C309" s="104" t="s">
        <v>140</v>
      </c>
      <c r="D309" s="103" t="s">
        <v>698</v>
      </c>
      <c r="E309" s="104" t="s">
        <v>114</v>
      </c>
      <c r="F309" s="103" t="s">
        <v>84</v>
      </c>
      <c r="G309" s="106" t="s">
        <v>191</v>
      </c>
      <c r="H309" s="102" t="s">
        <v>14</v>
      </c>
      <c r="I309" s="103" t="s">
        <v>173</v>
      </c>
      <c r="J309" s="224"/>
      <c r="K309" s="224"/>
      <c r="L309" s="224">
        <f t="shared" si="15"/>
        <v>0</v>
      </c>
      <c r="M309" s="224"/>
      <c r="N309" s="224"/>
      <c r="O309" s="224">
        <f t="shared" si="17"/>
        <v>0</v>
      </c>
      <c r="P309" s="105" t="s">
        <v>122</v>
      </c>
      <c r="Q309" s="103" t="s">
        <v>123</v>
      </c>
      <c r="R309" s="103"/>
      <c r="S309" s="104" t="s">
        <v>138</v>
      </c>
      <c r="T309" s="104"/>
      <c r="U309" s="110">
        <f>+(5*((1141850+1714473+2097122)/9)+1293526+1350713*3+300000+929210+10*1022001/14+750000+150000)*1.23*1.07</f>
        <v>14420230.796738094</v>
      </c>
      <c r="V309" s="109"/>
      <c r="W309" s="110">
        <v>0</v>
      </c>
      <c r="X309" s="259">
        <v>0</v>
      </c>
      <c r="Y309" s="259">
        <v>0</v>
      </c>
      <c r="Z309" s="259">
        <v>0</v>
      </c>
      <c r="AA309" s="226">
        <f>+U309*0.235*0.3</f>
        <v>1016626.2711700356</v>
      </c>
      <c r="AB309" s="219"/>
      <c r="AC309" s="219"/>
      <c r="AD309" s="219"/>
      <c r="AE309" s="219"/>
      <c r="AF309" s="219"/>
      <c r="AG309" s="100"/>
      <c r="AH309" s="230"/>
    </row>
    <row r="310" spans="1:34" s="229" customFormat="1" ht="63.75" hidden="1">
      <c r="A310" s="101">
        <f t="shared" si="16"/>
        <v>89</v>
      </c>
      <c r="B310" s="103" t="s">
        <v>699</v>
      </c>
      <c r="C310" s="104" t="s">
        <v>134</v>
      </c>
      <c r="D310" s="103" t="s">
        <v>700</v>
      </c>
      <c r="E310" s="104" t="s">
        <v>114</v>
      </c>
      <c r="F310" s="103" t="s">
        <v>84</v>
      </c>
      <c r="G310" s="106" t="s">
        <v>191</v>
      </c>
      <c r="H310" s="102" t="s">
        <v>14</v>
      </c>
      <c r="I310" s="103" t="s">
        <v>173</v>
      </c>
      <c r="J310" s="224"/>
      <c r="K310" s="224"/>
      <c r="L310" s="224">
        <f t="shared" si="15"/>
        <v>0</v>
      </c>
      <c r="M310" s="224"/>
      <c r="N310" s="224"/>
      <c r="O310" s="224">
        <f t="shared" si="17"/>
        <v>0</v>
      </c>
      <c r="P310" s="105" t="s">
        <v>122</v>
      </c>
      <c r="Q310" s="103" t="s">
        <v>123</v>
      </c>
      <c r="R310" s="103"/>
      <c r="S310" s="104" t="s">
        <v>138</v>
      </c>
      <c r="T310" s="104"/>
      <c r="U310" s="110">
        <f>+(5*((1141850+1714473+2097122)/9)+3658606+1293526+1350713+300000+929210+4*1022001/14+750000+150000)*1.23*1.07</f>
        <v>15103523.030695237</v>
      </c>
      <c r="V310" s="109"/>
      <c r="W310" s="110">
        <v>0</v>
      </c>
      <c r="X310" s="259">
        <v>0</v>
      </c>
      <c r="Y310" s="259">
        <v>0</v>
      </c>
      <c r="Z310" s="259">
        <v>0</v>
      </c>
      <c r="AA310" s="226">
        <v>0</v>
      </c>
      <c r="AB310" s="219"/>
      <c r="AC310" s="219"/>
      <c r="AD310" s="219"/>
      <c r="AE310" s="219"/>
      <c r="AF310" s="219"/>
      <c r="AG310" s="100"/>
      <c r="AH310" s="230"/>
    </row>
    <row r="311" spans="1:34" s="229" customFormat="1" ht="51" hidden="1">
      <c r="A311" s="101">
        <f t="shared" si="16"/>
        <v>90</v>
      </c>
      <c r="B311" s="103" t="s">
        <v>701</v>
      </c>
      <c r="C311" s="104" t="s">
        <v>140</v>
      </c>
      <c r="D311" s="103" t="s">
        <v>702</v>
      </c>
      <c r="E311" s="104" t="s">
        <v>114</v>
      </c>
      <c r="F311" s="103" t="s">
        <v>84</v>
      </c>
      <c r="G311" s="106" t="s">
        <v>650</v>
      </c>
      <c r="H311" s="102" t="s">
        <v>14</v>
      </c>
      <c r="I311" s="103" t="s">
        <v>173</v>
      </c>
      <c r="J311" s="224"/>
      <c r="K311" s="224"/>
      <c r="L311" s="224">
        <f t="shared" si="15"/>
        <v>0</v>
      </c>
      <c r="M311" s="224"/>
      <c r="N311" s="224"/>
      <c r="O311" s="224">
        <f t="shared" si="17"/>
        <v>0</v>
      </c>
      <c r="P311" s="105" t="s">
        <v>122</v>
      </c>
      <c r="Q311" s="103" t="s">
        <v>123</v>
      </c>
      <c r="R311" s="103"/>
      <c r="S311" s="104" t="s">
        <v>138</v>
      </c>
      <c r="T311" s="104"/>
      <c r="U311" s="110">
        <f>+(8*((1141850+1714473+2097122)/9)+1350713*2+10*1022001/14+150000)*1.23*1.07</f>
        <v>10508385.889338097</v>
      </c>
      <c r="V311" s="109"/>
      <c r="W311" s="110"/>
      <c r="X311" s="259"/>
      <c r="Y311" s="259">
        <v>0</v>
      </c>
      <c r="Z311" s="259">
        <v>0</v>
      </c>
      <c r="AA311" s="226">
        <f>+U311*0.235*0.3</f>
        <v>740841.20519833569</v>
      </c>
      <c r="AB311" s="219"/>
      <c r="AC311" s="219"/>
      <c r="AD311" s="219"/>
      <c r="AE311" s="219"/>
      <c r="AF311" s="219"/>
      <c r="AG311" s="100"/>
      <c r="AH311" s="230"/>
    </row>
    <row r="312" spans="1:34" s="229" customFormat="1" ht="76.5" hidden="1">
      <c r="A312" s="101">
        <f t="shared" si="16"/>
        <v>91</v>
      </c>
      <c r="B312" s="103" t="s">
        <v>703</v>
      </c>
      <c r="C312" s="104" t="s">
        <v>134</v>
      </c>
      <c r="D312" s="103" t="s">
        <v>704</v>
      </c>
      <c r="E312" s="104" t="s">
        <v>114</v>
      </c>
      <c r="F312" s="103" t="s">
        <v>84</v>
      </c>
      <c r="G312" s="106" t="s">
        <v>135</v>
      </c>
      <c r="H312" s="102" t="s">
        <v>96</v>
      </c>
      <c r="I312" s="103" t="s">
        <v>173</v>
      </c>
      <c r="J312" s="224"/>
      <c r="K312" s="224"/>
      <c r="L312" s="224">
        <f t="shared" si="15"/>
        <v>0</v>
      </c>
      <c r="M312" s="224"/>
      <c r="N312" s="224"/>
      <c r="O312" s="224">
        <f t="shared" si="17"/>
        <v>0</v>
      </c>
      <c r="P312" s="105" t="s">
        <v>122</v>
      </c>
      <c r="Q312" s="103" t="s">
        <v>123</v>
      </c>
      <c r="R312" s="103"/>
      <c r="S312" s="104" t="s">
        <v>138</v>
      </c>
      <c r="T312" s="104"/>
      <c r="U312" s="110">
        <f>+(3658606+1293526+1350713*3+300000+929210+6*1022001/14+750000+150000)*1.23*1.07</f>
        <v>15229226.708142858</v>
      </c>
      <c r="V312" s="109"/>
      <c r="W312" s="110">
        <v>0</v>
      </c>
      <c r="X312" s="259">
        <v>0</v>
      </c>
      <c r="Y312" s="259">
        <v>0</v>
      </c>
      <c r="Z312" s="259">
        <v>0</v>
      </c>
      <c r="AA312" s="226">
        <v>0</v>
      </c>
      <c r="AB312" s="219"/>
      <c r="AC312" s="219"/>
      <c r="AD312" s="219"/>
      <c r="AE312" s="219"/>
      <c r="AF312" s="219"/>
      <c r="AG312" s="100"/>
      <c r="AH312" s="230"/>
    </row>
    <row r="313" spans="1:34" s="229" customFormat="1" ht="38.25" hidden="1">
      <c r="A313" s="101">
        <v>79</v>
      </c>
      <c r="B313" s="103" t="s">
        <v>705</v>
      </c>
      <c r="C313" s="104" t="s">
        <v>140</v>
      </c>
      <c r="D313" s="103" t="s">
        <v>706</v>
      </c>
      <c r="E313" s="104" t="s">
        <v>114</v>
      </c>
      <c r="F313" s="103" t="s">
        <v>84</v>
      </c>
      <c r="G313" s="106" t="s">
        <v>14</v>
      </c>
      <c r="H313" s="102" t="s">
        <v>14</v>
      </c>
      <c r="I313" s="103" t="s">
        <v>278</v>
      </c>
      <c r="J313" s="224">
        <v>42278</v>
      </c>
      <c r="K313" s="224"/>
      <c r="L313" s="224">
        <f t="shared" si="15"/>
        <v>42278</v>
      </c>
      <c r="M313" s="224">
        <v>42551</v>
      </c>
      <c r="N313" s="224"/>
      <c r="O313" s="224">
        <f t="shared" si="17"/>
        <v>42551</v>
      </c>
      <c r="P313" s="105" t="s">
        <v>122</v>
      </c>
      <c r="Q313" s="103" t="s">
        <v>251</v>
      </c>
      <c r="R313" s="103"/>
      <c r="S313" s="104" t="s">
        <v>143</v>
      </c>
      <c r="T313" s="104"/>
      <c r="U313" s="110">
        <f>+(43*190000)*1.23</f>
        <v>10049100</v>
      </c>
      <c r="V313" s="109">
        <v>0</v>
      </c>
      <c r="W313" s="110">
        <v>0</v>
      </c>
      <c r="X313" s="259">
        <f>+U313*0.35</f>
        <v>3517185</v>
      </c>
      <c r="Y313" s="259">
        <f>+U313-X313</f>
        <v>6531915</v>
      </c>
      <c r="Z313" s="259">
        <v>0</v>
      </c>
      <c r="AA313" s="226">
        <f>+U313*0.01</f>
        <v>100491</v>
      </c>
      <c r="AB313" s="219"/>
      <c r="AC313" s="219"/>
      <c r="AD313" s="219"/>
      <c r="AE313" s="219"/>
      <c r="AF313" s="219"/>
      <c r="AG313" s="100"/>
      <c r="AH313" s="230"/>
    </row>
    <row r="314" spans="1:34" s="229" customFormat="1" ht="38.25" hidden="1">
      <c r="A314" s="101">
        <f t="shared" si="16"/>
        <v>80</v>
      </c>
      <c r="B314" s="103" t="s">
        <v>707</v>
      </c>
      <c r="C314" s="104" t="s">
        <v>134</v>
      </c>
      <c r="D314" s="103" t="s">
        <v>708</v>
      </c>
      <c r="E314" s="104" t="s">
        <v>114</v>
      </c>
      <c r="F314" s="103" t="s">
        <v>84</v>
      </c>
      <c r="G314" s="106" t="s">
        <v>353</v>
      </c>
      <c r="H314" s="102" t="s">
        <v>96</v>
      </c>
      <c r="I314" s="103" t="s">
        <v>278</v>
      </c>
      <c r="J314" s="224"/>
      <c r="K314" s="224"/>
      <c r="L314" s="224">
        <f t="shared" si="15"/>
        <v>0</v>
      </c>
      <c r="M314" s="224"/>
      <c r="N314" s="224"/>
      <c r="O314" s="224">
        <f t="shared" si="17"/>
        <v>0</v>
      </c>
      <c r="P314" s="105" t="s">
        <v>122</v>
      </c>
      <c r="Q314" s="103" t="s">
        <v>251</v>
      </c>
      <c r="R314" s="103"/>
      <c r="S314" s="104" t="s">
        <v>138</v>
      </c>
      <c r="T314" s="104"/>
      <c r="U314" s="110">
        <f>+(15*190000)*1.23</f>
        <v>3505500</v>
      </c>
      <c r="V314" s="109"/>
      <c r="W314" s="110">
        <v>0</v>
      </c>
      <c r="X314" s="259">
        <v>0</v>
      </c>
      <c r="Y314" s="260">
        <f>+U314*0.235*0.3</f>
        <v>247137.75</v>
      </c>
      <c r="Z314" s="259">
        <f>+U314-Y314-AA314</f>
        <v>3258362.25</v>
      </c>
      <c r="AA314" s="226">
        <v>0</v>
      </c>
      <c r="AB314" s="219"/>
      <c r="AC314" s="219"/>
      <c r="AD314" s="219"/>
      <c r="AE314" s="219"/>
      <c r="AF314" s="219"/>
      <c r="AG314" s="100"/>
      <c r="AH314" s="230"/>
    </row>
    <row r="315" spans="1:34" s="229" customFormat="1" ht="38.25" hidden="1">
      <c r="A315" s="101">
        <f t="shared" si="16"/>
        <v>81</v>
      </c>
      <c r="B315" s="103" t="s">
        <v>709</v>
      </c>
      <c r="C315" s="104" t="s">
        <v>140</v>
      </c>
      <c r="D315" s="103" t="s">
        <v>710</v>
      </c>
      <c r="E315" s="104" t="s">
        <v>114</v>
      </c>
      <c r="F315" s="103" t="s">
        <v>84</v>
      </c>
      <c r="G315" s="106" t="s">
        <v>191</v>
      </c>
      <c r="H315" s="102" t="s">
        <v>14</v>
      </c>
      <c r="I315" s="103" t="s">
        <v>278</v>
      </c>
      <c r="J315" s="224"/>
      <c r="K315" s="224"/>
      <c r="L315" s="224">
        <f t="shared" si="15"/>
        <v>0</v>
      </c>
      <c r="M315" s="224"/>
      <c r="N315" s="224"/>
      <c r="O315" s="224">
        <f t="shared" si="17"/>
        <v>0</v>
      </c>
      <c r="P315" s="105" t="s">
        <v>122</v>
      </c>
      <c r="Q315" s="103" t="s">
        <v>251</v>
      </c>
      <c r="R315" s="103"/>
      <c r="S315" s="104" t="s">
        <v>138</v>
      </c>
      <c r="T315" s="104"/>
      <c r="U315" s="110">
        <f>+(22*190000+450000+270000*3)*1.23</f>
        <v>6691200</v>
      </c>
      <c r="V315" s="109"/>
      <c r="W315" s="110">
        <v>0</v>
      </c>
      <c r="X315" s="259">
        <v>0</v>
      </c>
      <c r="Y315" s="260">
        <f>+U315*0.235*0.3</f>
        <v>471729.6</v>
      </c>
      <c r="Z315" s="259">
        <f>+U315-Y315-AA315</f>
        <v>5884910.4000000004</v>
      </c>
      <c r="AA315" s="226">
        <f>+U315*0.05</f>
        <v>334560</v>
      </c>
      <c r="AB315" s="219"/>
      <c r="AC315" s="219"/>
      <c r="AD315" s="219"/>
      <c r="AE315" s="219"/>
      <c r="AF315" s="219"/>
      <c r="AG315" s="100"/>
      <c r="AH315" s="230"/>
    </row>
    <row r="316" spans="1:34" s="229" customFormat="1" ht="38.25" hidden="1">
      <c r="A316" s="101">
        <f t="shared" si="16"/>
        <v>82</v>
      </c>
      <c r="B316" s="103" t="s">
        <v>711</v>
      </c>
      <c r="C316" s="104" t="s">
        <v>140</v>
      </c>
      <c r="D316" s="103" t="s">
        <v>712</v>
      </c>
      <c r="E316" s="104" t="s">
        <v>114</v>
      </c>
      <c r="F316" s="103" t="s">
        <v>84</v>
      </c>
      <c r="G316" s="106" t="s">
        <v>608</v>
      </c>
      <c r="H316" s="102" t="s">
        <v>96</v>
      </c>
      <c r="I316" s="103" t="s">
        <v>278</v>
      </c>
      <c r="J316" s="224"/>
      <c r="K316" s="224"/>
      <c r="L316" s="224">
        <f t="shared" si="15"/>
        <v>0</v>
      </c>
      <c r="M316" s="224"/>
      <c r="N316" s="224"/>
      <c r="O316" s="224">
        <f t="shared" si="17"/>
        <v>0</v>
      </c>
      <c r="P316" s="105" t="s">
        <v>122</v>
      </c>
      <c r="Q316" s="103" t="s">
        <v>251</v>
      </c>
      <c r="R316" s="103"/>
      <c r="S316" s="104" t="s">
        <v>138</v>
      </c>
      <c r="T316" s="104"/>
      <c r="U316" s="110">
        <f>+(20*190000+450000+270000*3)*1.23</f>
        <v>6223800</v>
      </c>
      <c r="V316" s="109"/>
      <c r="W316" s="110">
        <v>0</v>
      </c>
      <c r="X316" s="259">
        <v>0</v>
      </c>
      <c r="Y316" s="259">
        <v>0</v>
      </c>
      <c r="Z316" s="259">
        <v>0</v>
      </c>
      <c r="AA316" s="226">
        <v>0</v>
      </c>
      <c r="AB316" s="219"/>
      <c r="AC316" s="219"/>
      <c r="AD316" s="219"/>
      <c r="AE316" s="219"/>
      <c r="AF316" s="219"/>
      <c r="AG316" s="100"/>
      <c r="AH316" s="230"/>
    </row>
    <row r="317" spans="1:34" s="229" customFormat="1" ht="38.25" hidden="1">
      <c r="A317" s="101">
        <f t="shared" si="16"/>
        <v>83</v>
      </c>
      <c r="B317" s="103" t="s">
        <v>713</v>
      </c>
      <c r="C317" s="104" t="s">
        <v>134</v>
      </c>
      <c r="D317" s="103" t="s">
        <v>714</v>
      </c>
      <c r="E317" s="104" t="s">
        <v>114</v>
      </c>
      <c r="F317" s="103" t="s">
        <v>84</v>
      </c>
      <c r="G317" s="106" t="s">
        <v>296</v>
      </c>
      <c r="H317" s="102" t="s">
        <v>14</v>
      </c>
      <c r="I317" s="103" t="s">
        <v>278</v>
      </c>
      <c r="J317" s="224"/>
      <c r="K317" s="224"/>
      <c r="L317" s="224">
        <f t="shared" si="15"/>
        <v>0</v>
      </c>
      <c r="M317" s="224"/>
      <c r="N317" s="224"/>
      <c r="O317" s="224">
        <f t="shared" si="17"/>
        <v>0</v>
      </c>
      <c r="P317" s="105" t="s">
        <v>122</v>
      </c>
      <c r="Q317" s="103" t="s">
        <v>251</v>
      </c>
      <c r="R317" s="103"/>
      <c r="S317" s="104" t="s">
        <v>138</v>
      </c>
      <c r="T317" s="104"/>
      <c r="U317" s="110">
        <f>+(9*190000)*1.23</f>
        <v>2103300</v>
      </c>
      <c r="V317" s="109"/>
      <c r="W317" s="110">
        <v>0</v>
      </c>
      <c r="X317" s="259">
        <v>0</v>
      </c>
      <c r="Y317" s="260">
        <f>+U317*0.235*0.3</f>
        <v>148282.65</v>
      </c>
      <c r="Z317" s="259">
        <f>+U317-Y317</f>
        <v>1955017.35</v>
      </c>
      <c r="AA317" s="226">
        <v>0</v>
      </c>
      <c r="AB317" s="219"/>
      <c r="AC317" s="219"/>
      <c r="AD317" s="219"/>
      <c r="AE317" s="219"/>
      <c r="AF317" s="219"/>
      <c r="AG317" s="100"/>
      <c r="AH317" s="230"/>
    </row>
    <row r="318" spans="1:34" s="229" customFormat="1" ht="38.25" hidden="1">
      <c r="A318" s="101">
        <v>80</v>
      </c>
      <c r="B318" s="103" t="s">
        <v>680</v>
      </c>
      <c r="C318" s="104" t="s">
        <v>140</v>
      </c>
      <c r="D318" s="103" t="s">
        <v>715</v>
      </c>
      <c r="E318" s="104" t="s">
        <v>114</v>
      </c>
      <c r="F318" s="103" t="s">
        <v>84</v>
      </c>
      <c r="G318" s="106" t="s">
        <v>296</v>
      </c>
      <c r="H318" s="102" t="s">
        <v>14</v>
      </c>
      <c r="I318" s="103" t="s">
        <v>278</v>
      </c>
      <c r="J318" s="224">
        <v>42278</v>
      </c>
      <c r="K318" s="224"/>
      <c r="L318" s="224">
        <f t="shared" si="15"/>
        <v>42278</v>
      </c>
      <c r="M318" s="224">
        <v>42551</v>
      </c>
      <c r="N318" s="224"/>
      <c r="O318" s="224">
        <f t="shared" si="17"/>
        <v>42551</v>
      </c>
      <c r="P318" s="105" t="s">
        <v>122</v>
      </c>
      <c r="Q318" s="103" t="s">
        <v>251</v>
      </c>
      <c r="R318" s="103"/>
      <c r="S318" s="104" t="s">
        <v>138</v>
      </c>
      <c r="T318" s="104"/>
      <c r="U318" s="110">
        <f>+(20*190000+16*10000+1350000)*1.23</f>
        <v>6531300</v>
      </c>
      <c r="V318" s="109"/>
      <c r="W318" s="110">
        <v>0</v>
      </c>
      <c r="X318" s="259">
        <v>0</v>
      </c>
      <c r="Y318" s="259">
        <f>+U318-X318</f>
        <v>6531300</v>
      </c>
      <c r="Z318" s="259">
        <v>0</v>
      </c>
      <c r="AA318" s="226">
        <f>+U318*0.01</f>
        <v>65313</v>
      </c>
      <c r="AB318" s="219"/>
      <c r="AC318" s="219"/>
      <c r="AD318" s="219"/>
      <c r="AE318" s="219"/>
      <c r="AF318" s="219"/>
      <c r="AG318" s="100"/>
      <c r="AH318" s="230"/>
    </row>
    <row r="319" spans="1:34" s="409" customFormat="1" ht="45">
      <c r="A319" s="400">
        <v>38</v>
      </c>
      <c r="B319" s="401" t="s">
        <v>1274</v>
      </c>
      <c r="C319" s="360" t="s">
        <v>140</v>
      </c>
      <c r="D319" s="401" t="s">
        <v>1275</v>
      </c>
      <c r="E319" s="320" t="s">
        <v>114</v>
      </c>
      <c r="F319" s="363" t="s">
        <v>84</v>
      </c>
      <c r="G319" s="363" t="s">
        <v>191</v>
      </c>
      <c r="H319" s="402" t="s">
        <v>14</v>
      </c>
      <c r="I319" s="363" t="s">
        <v>173</v>
      </c>
      <c r="J319" s="403">
        <v>42068</v>
      </c>
      <c r="K319" s="404">
        <v>3</v>
      </c>
      <c r="L319" s="403">
        <v>42160</v>
      </c>
      <c r="M319" s="403">
        <v>42170</v>
      </c>
      <c r="N319" s="404">
        <v>9</v>
      </c>
      <c r="O319" s="403">
        <f>M319+(N319*31)</f>
        <v>42449</v>
      </c>
      <c r="P319" s="363" t="s">
        <v>113</v>
      </c>
      <c r="Q319" s="363" t="s">
        <v>123</v>
      </c>
      <c r="R319" s="363" t="s">
        <v>1282</v>
      </c>
      <c r="S319" s="402" t="s">
        <v>118</v>
      </c>
      <c r="T319" s="360"/>
      <c r="U319" s="405">
        <v>14130251</v>
      </c>
      <c r="V319" s="332"/>
      <c r="W319" s="324">
        <v>0</v>
      </c>
      <c r="X319" s="355">
        <v>13282436</v>
      </c>
      <c r="Y319" s="355">
        <v>847815</v>
      </c>
      <c r="Z319" s="355">
        <v>0</v>
      </c>
      <c r="AA319" s="406" t="s">
        <v>132</v>
      </c>
      <c r="AB319" s="407"/>
      <c r="AC319" s="407"/>
      <c r="AD319" s="407"/>
      <c r="AE319" s="407"/>
      <c r="AF319" s="407"/>
      <c r="AG319" s="408"/>
    </row>
    <row r="320" spans="1:34" s="409" customFormat="1" ht="56.25">
      <c r="A320" s="400">
        <v>39</v>
      </c>
      <c r="B320" s="401" t="s">
        <v>1276</v>
      </c>
      <c r="C320" s="360" t="s">
        <v>138</v>
      </c>
      <c r="D320" s="401" t="s">
        <v>1277</v>
      </c>
      <c r="E320" s="320"/>
      <c r="F320" s="363" t="s">
        <v>91</v>
      </c>
      <c r="G320" s="363" t="s">
        <v>294</v>
      </c>
      <c r="H320" s="402" t="s">
        <v>200</v>
      </c>
      <c r="I320" s="363" t="s">
        <v>173</v>
      </c>
      <c r="J320" s="351" t="s">
        <v>83</v>
      </c>
      <c r="K320" s="352" t="s">
        <v>83</v>
      </c>
      <c r="L320" s="351" t="s">
        <v>83</v>
      </c>
      <c r="M320" s="403">
        <v>42073</v>
      </c>
      <c r="N320" s="404">
        <v>8</v>
      </c>
      <c r="O320" s="403">
        <f>M320+(N320*31)</f>
        <v>42321</v>
      </c>
      <c r="P320" s="363" t="s">
        <v>113</v>
      </c>
      <c r="Q320" s="363" t="s">
        <v>123</v>
      </c>
      <c r="R320" s="363" t="s">
        <v>65</v>
      </c>
      <c r="S320" s="402" t="s">
        <v>118</v>
      </c>
      <c r="T320" s="360"/>
      <c r="U320" s="405">
        <v>9336705</v>
      </c>
      <c r="V320" s="332"/>
      <c r="W320" s="324"/>
      <c r="X320" s="355">
        <v>9336705</v>
      </c>
      <c r="Y320" s="355">
        <v>0</v>
      </c>
      <c r="Z320" s="355">
        <v>0</v>
      </c>
      <c r="AA320" s="406" t="s">
        <v>132</v>
      </c>
      <c r="AB320" s="407"/>
      <c r="AC320" s="407"/>
      <c r="AD320" s="407"/>
      <c r="AE320" s="407"/>
      <c r="AF320" s="407"/>
      <c r="AG320" s="408"/>
    </row>
    <row r="321" spans="1:34" s="409" customFormat="1" ht="112.5">
      <c r="A321" s="400">
        <v>40</v>
      </c>
      <c r="B321" s="401" t="s">
        <v>1278</v>
      </c>
      <c r="C321" s="360" t="s">
        <v>134</v>
      </c>
      <c r="D321" s="401" t="s">
        <v>1255</v>
      </c>
      <c r="E321" s="320"/>
      <c r="F321" s="363" t="s">
        <v>88</v>
      </c>
      <c r="G321" s="363" t="s">
        <v>1279</v>
      </c>
      <c r="H321" s="402" t="s">
        <v>23</v>
      </c>
      <c r="I321" s="363" t="s">
        <v>136</v>
      </c>
      <c r="J321" s="403">
        <v>42151</v>
      </c>
      <c r="K321" s="404">
        <v>12</v>
      </c>
      <c r="L321" s="403">
        <f t="shared" ref="L321:L383" si="18">J321+(K321*31)</f>
        <v>42523</v>
      </c>
      <c r="M321" s="403">
        <v>42248</v>
      </c>
      <c r="N321" s="404">
        <v>6</v>
      </c>
      <c r="O321" s="403">
        <f>M321+(N321*31)</f>
        <v>42434</v>
      </c>
      <c r="P321" s="363" t="s">
        <v>122</v>
      </c>
      <c r="Q321" s="363" t="s">
        <v>115</v>
      </c>
      <c r="R321" s="363" t="s">
        <v>1282</v>
      </c>
      <c r="S321" s="402" t="s">
        <v>118</v>
      </c>
      <c r="T321" s="360"/>
      <c r="U321" s="405">
        <v>44500000</v>
      </c>
      <c r="V321" s="332"/>
      <c r="W321" s="324"/>
      <c r="X321" s="355">
        <v>4591500</v>
      </c>
      <c r="Y321" s="355">
        <v>3660125</v>
      </c>
      <c r="Z321" s="355">
        <v>35317000</v>
      </c>
      <c r="AA321" s="406" t="s">
        <v>132</v>
      </c>
      <c r="AB321" s="407"/>
      <c r="AC321" s="407"/>
      <c r="AD321" s="407"/>
      <c r="AE321" s="407"/>
      <c r="AF321" s="407"/>
      <c r="AG321" s="408"/>
    </row>
    <row r="322" spans="1:34" s="229" customFormat="1" ht="38.25" hidden="1">
      <c r="A322" s="101">
        <f>+A319+1</f>
        <v>39</v>
      </c>
      <c r="B322" s="103" t="s">
        <v>637</v>
      </c>
      <c r="C322" s="104" t="s">
        <v>134</v>
      </c>
      <c r="D322" s="103" t="s">
        <v>716</v>
      </c>
      <c r="E322" s="104" t="s">
        <v>114</v>
      </c>
      <c r="F322" s="103" t="s">
        <v>84</v>
      </c>
      <c r="G322" s="106" t="s">
        <v>248</v>
      </c>
      <c r="H322" s="102" t="s">
        <v>39</v>
      </c>
      <c r="I322" s="103" t="s">
        <v>278</v>
      </c>
      <c r="J322" s="224"/>
      <c r="K322" s="224"/>
      <c r="L322" s="224">
        <f t="shared" si="18"/>
        <v>0</v>
      </c>
      <c r="M322" s="224"/>
      <c r="N322" s="224"/>
      <c r="O322" s="224">
        <f t="shared" si="17"/>
        <v>0</v>
      </c>
      <c r="P322" s="105" t="s">
        <v>122</v>
      </c>
      <c r="Q322" s="103" t="s">
        <v>251</v>
      </c>
      <c r="R322" s="103"/>
      <c r="S322" s="104" t="s">
        <v>138</v>
      </c>
      <c r="T322" s="104"/>
      <c r="U322" s="110">
        <f>+(27*190000)*1.23</f>
        <v>6309900</v>
      </c>
      <c r="V322" s="109"/>
      <c r="W322" s="110">
        <v>0</v>
      </c>
      <c r="X322" s="259">
        <v>0</v>
      </c>
      <c r="Y322" s="259">
        <v>0</v>
      </c>
      <c r="Z322" s="259">
        <v>0</v>
      </c>
      <c r="AA322" s="226">
        <f>+U322*0.235*0.3</f>
        <v>444847.95</v>
      </c>
      <c r="AB322" s="219"/>
      <c r="AC322" s="219"/>
      <c r="AD322" s="219"/>
      <c r="AE322" s="219"/>
      <c r="AF322" s="219"/>
      <c r="AG322" s="100"/>
      <c r="AH322" s="230"/>
    </row>
    <row r="323" spans="1:34" s="229" customFormat="1" ht="38.25" hidden="1">
      <c r="A323" s="101">
        <v>81</v>
      </c>
      <c r="B323" s="103" t="s">
        <v>717</v>
      </c>
      <c r="C323" s="104" t="s">
        <v>134</v>
      </c>
      <c r="D323" s="103" t="s">
        <v>718</v>
      </c>
      <c r="E323" s="104" t="s">
        <v>114</v>
      </c>
      <c r="F323" s="103" t="s">
        <v>84</v>
      </c>
      <c r="G323" s="106" t="s">
        <v>608</v>
      </c>
      <c r="H323" s="102" t="s">
        <v>96</v>
      </c>
      <c r="I323" s="103" t="s">
        <v>278</v>
      </c>
      <c r="J323" s="224">
        <v>42278</v>
      </c>
      <c r="K323" s="224"/>
      <c r="L323" s="224">
        <f t="shared" si="18"/>
        <v>42278</v>
      </c>
      <c r="M323" s="224">
        <v>42551</v>
      </c>
      <c r="N323" s="224"/>
      <c r="O323" s="224">
        <f t="shared" si="17"/>
        <v>42551</v>
      </c>
      <c r="P323" s="105" t="s">
        <v>122</v>
      </c>
      <c r="Q323" s="103" t="s">
        <v>251</v>
      </c>
      <c r="R323" s="103"/>
      <c r="S323" s="104" t="s">
        <v>138</v>
      </c>
      <c r="T323" s="104"/>
      <c r="U323" s="110">
        <f>+(20*190000+12*10000+1350000)*1.23</f>
        <v>6482100</v>
      </c>
      <c r="V323" s="109"/>
      <c r="W323" s="110">
        <v>0</v>
      </c>
      <c r="X323" s="259">
        <v>0</v>
      </c>
      <c r="Y323" s="259">
        <f>+U323-X323</f>
        <v>6482100</v>
      </c>
      <c r="Z323" s="259">
        <v>0</v>
      </c>
      <c r="AA323" s="226">
        <f>+U323*0.01</f>
        <v>64821</v>
      </c>
      <c r="AB323" s="219"/>
      <c r="AC323" s="219"/>
      <c r="AD323" s="219"/>
      <c r="AE323" s="219"/>
      <c r="AF323" s="219"/>
      <c r="AG323" s="100"/>
      <c r="AH323" s="230"/>
    </row>
    <row r="324" spans="1:34" s="229" customFormat="1" ht="38.25" hidden="1">
      <c r="A324" s="101">
        <f t="shared" si="16"/>
        <v>82</v>
      </c>
      <c r="B324" s="103" t="s">
        <v>719</v>
      </c>
      <c r="C324" s="104" t="s">
        <v>134</v>
      </c>
      <c r="D324" s="103" t="s">
        <v>720</v>
      </c>
      <c r="E324" s="104" t="s">
        <v>114</v>
      </c>
      <c r="F324" s="103" t="s">
        <v>84</v>
      </c>
      <c r="G324" s="106" t="s">
        <v>165</v>
      </c>
      <c r="H324" s="102" t="s">
        <v>96</v>
      </c>
      <c r="I324" s="103" t="s">
        <v>278</v>
      </c>
      <c r="J324" s="224"/>
      <c r="K324" s="224"/>
      <c r="L324" s="224">
        <f t="shared" si="18"/>
        <v>0</v>
      </c>
      <c r="M324" s="224"/>
      <c r="N324" s="224"/>
      <c r="O324" s="224">
        <f t="shared" si="17"/>
        <v>0</v>
      </c>
      <c r="P324" s="105" t="s">
        <v>122</v>
      </c>
      <c r="Q324" s="103" t="s">
        <v>251</v>
      </c>
      <c r="R324" s="103"/>
      <c r="S324" s="104" t="s">
        <v>138</v>
      </c>
      <c r="T324" s="104"/>
      <c r="U324" s="110">
        <f>+(14*190000+16*10000)*1.23</f>
        <v>3468600</v>
      </c>
      <c r="V324" s="109"/>
      <c r="W324" s="110">
        <v>0</v>
      </c>
      <c r="X324" s="259">
        <v>0</v>
      </c>
      <c r="Y324" s="259">
        <v>0</v>
      </c>
      <c r="Z324" s="259">
        <v>0</v>
      </c>
      <c r="AA324" s="226">
        <v>0</v>
      </c>
      <c r="AB324" s="219"/>
      <c r="AC324" s="219"/>
      <c r="AD324" s="219"/>
      <c r="AE324" s="219"/>
      <c r="AF324" s="219"/>
      <c r="AG324" s="100"/>
      <c r="AH324" s="230"/>
    </row>
    <row r="325" spans="1:34" s="229" customFormat="1" ht="38.25" hidden="1">
      <c r="A325" s="101">
        <f t="shared" si="16"/>
        <v>83</v>
      </c>
      <c r="B325" s="103" t="s">
        <v>721</v>
      </c>
      <c r="C325" s="104" t="s">
        <v>134</v>
      </c>
      <c r="D325" s="103" t="s">
        <v>722</v>
      </c>
      <c r="E325" s="104" t="s">
        <v>114</v>
      </c>
      <c r="F325" s="103" t="s">
        <v>84</v>
      </c>
      <c r="G325" s="106" t="s">
        <v>605</v>
      </c>
      <c r="H325" s="102" t="s">
        <v>14</v>
      </c>
      <c r="I325" s="103" t="s">
        <v>278</v>
      </c>
      <c r="J325" s="224"/>
      <c r="K325" s="224"/>
      <c r="L325" s="224">
        <f t="shared" si="18"/>
        <v>0</v>
      </c>
      <c r="M325" s="224"/>
      <c r="N325" s="224"/>
      <c r="O325" s="224">
        <f t="shared" si="17"/>
        <v>0</v>
      </c>
      <c r="P325" s="105" t="s">
        <v>122</v>
      </c>
      <c r="Q325" s="103" t="s">
        <v>251</v>
      </c>
      <c r="R325" s="103"/>
      <c r="S325" s="104" t="s">
        <v>138</v>
      </c>
      <c r="T325" s="104"/>
      <c r="U325" s="110">
        <f>+(16*190000)*1.23</f>
        <v>3739200</v>
      </c>
      <c r="V325" s="109"/>
      <c r="W325" s="110">
        <v>0</v>
      </c>
      <c r="X325" s="259">
        <v>0</v>
      </c>
      <c r="Y325" s="259">
        <v>0</v>
      </c>
      <c r="Z325" s="259">
        <v>0</v>
      </c>
      <c r="AA325" s="226">
        <f>+U325*0.235*0.3</f>
        <v>263613.59999999998</v>
      </c>
      <c r="AB325" s="219"/>
      <c r="AC325" s="219"/>
      <c r="AD325" s="219"/>
      <c r="AE325" s="219"/>
      <c r="AF325" s="219"/>
      <c r="AG325" s="100"/>
      <c r="AH325" s="230"/>
    </row>
    <row r="326" spans="1:34" s="229" customFormat="1" ht="38.25" hidden="1">
      <c r="A326" s="101">
        <f t="shared" si="16"/>
        <v>84</v>
      </c>
      <c r="B326" s="103" t="s">
        <v>632</v>
      </c>
      <c r="C326" s="104" t="s">
        <v>140</v>
      </c>
      <c r="D326" s="103" t="s">
        <v>723</v>
      </c>
      <c r="E326" s="104" t="s">
        <v>114</v>
      </c>
      <c r="F326" s="103" t="s">
        <v>84</v>
      </c>
      <c r="G326" s="106" t="s">
        <v>158</v>
      </c>
      <c r="H326" s="102" t="s">
        <v>14</v>
      </c>
      <c r="I326" s="103" t="s">
        <v>278</v>
      </c>
      <c r="J326" s="224"/>
      <c r="K326" s="224"/>
      <c r="L326" s="224">
        <f t="shared" si="18"/>
        <v>0</v>
      </c>
      <c r="M326" s="224"/>
      <c r="N326" s="224"/>
      <c r="O326" s="224">
        <f t="shared" si="17"/>
        <v>0</v>
      </c>
      <c r="P326" s="105" t="s">
        <v>122</v>
      </c>
      <c r="Q326" s="103" t="s">
        <v>251</v>
      </c>
      <c r="R326" s="103"/>
      <c r="S326" s="104" t="s">
        <v>138</v>
      </c>
      <c r="T326" s="104"/>
      <c r="U326" s="110">
        <f>+(22*190000+450000)*1.23</f>
        <v>5694900</v>
      </c>
      <c r="V326" s="109"/>
      <c r="W326" s="110">
        <v>0</v>
      </c>
      <c r="X326" s="259">
        <v>0</v>
      </c>
      <c r="Y326" s="259">
        <v>0</v>
      </c>
      <c r="Z326" s="259">
        <v>0</v>
      </c>
      <c r="AA326" s="226">
        <v>0</v>
      </c>
      <c r="AB326" s="219"/>
      <c r="AC326" s="219"/>
      <c r="AD326" s="219"/>
      <c r="AE326" s="219"/>
      <c r="AF326" s="219"/>
      <c r="AG326" s="100"/>
      <c r="AH326" s="230"/>
    </row>
    <row r="327" spans="1:34" s="229" customFormat="1" ht="38.25" hidden="1">
      <c r="A327" s="101">
        <f t="shared" si="16"/>
        <v>85</v>
      </c>
      <c r="B327" s="103" t="s">
        <v>374</v>
      </c>
      <c r="C327" s="104" t="s">
        <v>134</v>
      </c>
      <c r="D327" s="103" t="s">
        <v>724</v>
      </c>
      <c r="E327" s="104" t="s">
        <v>114</v>
      </c>
      <c r="F327" s="103" t="s">
        <v>84</v>
      </c>
      <c r="G327" s="106" t="s">
        <v>135</v>
      </c>
      <c r="H327" s="102" t="s">
        <v>96</v>
      </c>
      <c r="I327" s="103" t="s">
        <v>278</v>
      </c>
      <c r="J327" s="224"/>
      <c r="K327" s="224"/>
      <c r="L327" s="224">
        <f t="shared" si="18"/>
        <v>0</v>
      </c>
      <c r="M327" s="224"/>
      <c r="N327" s="224"/>
      <c r="O327" s="224">
        <f t="shared" si="17"/>
        <v>0</v>
      </c>
      <c r="P327" s="105" t="s">
        <v>122</v>
      </c>
      <c r="Q327" s="103" t="s">
        <v>251</v>
      </c>
      <c r="R327" s="103"/>
      <c r="S327" s="104" t="s">
        <v>138</v>
      </c>
      <c r="T327" s="104"/>
      <c r="U327" s="110">
        <f>+(16*190000+28*10000)*1.23</f>
        <v>4083600</v>
      </c>
      <c r="V327" s="109"/>
      <c r="W327" s="110">
        <v>0</v>
      </c>
      <c r="X327" s="259">
        <v>0</v>
      </c>
      <c r="Y327" s="259">
        <v>0</v>
      </c>
      <c r="Z327" s="259">
        <v>0</v>
      </c>
      <c r="AA327" s="226">
        <f>+U327*0.235*0.3</f>
        <v>287893.8</v>
      </c>
      <c r="AB327" s="219"/>
      <c r="AC327" s="219"/>
      <c r="AD327" s="219"/>
      <c r="AE327" s="219"/>
      <c r="AF327" s="219"/>
      <c r="AG327" s="100"/>
      <c r="AH327" s="230"/>
    </row>
    <row r="328" spans="1:34" s="229" customFormat="1" ht="38.25" hidden="1">
      <c r="A328" s="101">
        <f t="shared" si="16"/>
        <v>86</v>
      </c>
      <c r="B328" s="103" t="s">
        <v>725</v>
      </c>
      <c r="C328" s="104" t="s">
        <v>140</v>
      </c>
      <c r="D328" s="103" t="s">
        <v>726</v>
      </c>
      <c r="E328" s="104" t="s">
        <v>114</v>
      </c>
      <c r="F328" s="103" t="s">
        <v>84</v>
      </c>
      <c r="G328" s="106" t="s">
        <v>693</v>
      </c>
      <c r="H328" s="102" t="s">
        <v>14</v>
      </c>
      <c r="I328" s="103" t="s">
        <v>278</v>
      </c>
      <c r="J328" s="224"/>
      <c r="K328" s="224"/>
      <c r="L328" s="224">
        <f t="shared" si="18"/>
        <v>0</v>
      </c>
      <c r="M328" s="224"/>
      <c r="N328" s="224"/>
      <c r="O328" s="224">
        <f t="shared" si="17"/>
        <v>0</v>
      </c>
      <c r="P328" s="105" t="s">
        <v>122</v>
      </c>
      <c r="Q328" s="103" t="s">
        <v>251</v>
      </c>
      <c r="R328" s="103"/>
      <c r="S328" s="104" t="s">
        <v>138</v>
      </c>
      <c r="T328" s="104"/>
      <c r="U328" s="110">
        <f>+(5*190000+250000)*1.23</f>
        <v>1476000</v>
      </c>
      <c r="V328" s="109"/>
      <c r="W328" s="110">
        <v>0</v>
      </c>
      <c r="X328" s="259">
        <v>0</v>
      </c>
      <c r="Y328" s="259">
        <v>0</v>
      </c>
      <c r="Z328" s="259">
        <v>0</v>
      </c>
      <c r="AA328" s="226">
        <f>+U328</f>
        <v>1476000</v>
      </c>
      <c r="AB328" s="219"/>
      <c r="AC328" s="219"/>
      <c r="AD328" s="219"/>
      <c r="AE328" s="219"/>
      <c r="AF328" s="219"/>
      <c r="AG328" s="100"/>
      <c r="AH328" s="230"/>
    </row>
    <row r="329" spans="1:34" s="229" customFormat="1" ht="38.25" hidden="1">
      <c r="A329" s="101">
        <f t="shared" si="16"/>
        <v>87</v>
      </c>
      <c r="B329" s="103" t="s">
        <v>727</v>
      </c>
      <c r="C329" s="104" t="s">
        <v>138</v>
      </c>
      <c r="D329" s="103" t="s">
        <v>728</v>
      </c>
      <c r="E329" s="104" t="s">
        <v>114</v>
      </c>
      <c r="F329" s="103" t="s">
        <v>84</v>
      </c>
      <c r="G329" s="106" t="s">
        <v>191</v>
      </c>
      <c r="H329" s="102" t="s">
        <v>14</v>
      </c>
      <c r="I329" s="103" t="s">
        <v>278</v>
      </c>
      <c r="J329" s="224"/>
      <c r="K329" s="224"/>
      <c r="L329" s="224">
        <f t="shared" si="18"/>
        <v>0</v>
      </c>
      <c r="M329" s="224"/>
      <c r="N329" s="224"/>
      <c r="O329" s="224">
        <f t="shared" si="17"/>
        <v>0</v>
      </c>
      <c r="P329" s="105" t="s">
        <v>122</v>
      </c>
      <c r="Q329" s="103" t="s">
        <v>251</v>
      </c>
      <c r="R329" s="103"/>
      <c r="S329" s="104" t="s">
        <v>138</v>
      </c>
      <c r="T329" s="104"/>
      <c r="U329" s="110">
        <f>+(12*190000+12*10000)*1.23</f>
        <v>2952000</v>
      </c>
      <c r="V329" s="109"/>
      <c r="W329" s="110">
        <v>0</v>
      </c>
      <c r="X329" s="259">
        <v>0</v>
      </c>
      <c r="Y329" s="259">
        <v>0</v>
      </c>
      <c r="Z329" s="259">
        <f>+U329*0.235*0.3</f>
        <v>208116</v>
      </c>
      <c r="AA329" s="226">
        <f>+U329-Z329</f>
        <v>2743884</v>
      </c>
      <c r="AB329" s="219"/>
      <c r="AC329" s="219"/>
      <c r="AD329" s="219"/>
      <c r="AE329" s="219"/>
      <c r="AF329" s="219"/>
      <c r="AG329" s="100"/>
      <c r="AH329" s="230"/>
    </row>
    <row r="330" spans="1:34" s="229" customFormat="1" ht="38.25" hidden="1">
      <c r="A330" s="101">
        <v>82</v>
      </c>
      <c r="B330" s="103" t="s">
        <v>729</v>
      </c>
      <c r="C330" s="104" t="s">
        <v>134</v>
      </c>
      <c r="D330" s="103" t="s">
        <v>730</v>
      </c>
      <c r="E330" s="104" t="s">
        <v>114</v>
      </c>
      <c r="F330" s="103" t="s">
        <v>84</v>
      </c>
      <c r="G330" s="106" t="s">
        <v>353</v>
      </c>
      <c r="H330" s="102" t="s">
        <v>96</v>
      </c>
      <c r="I330" s="103" t="s">
        <v>278</v>
      </c>
      <c r="J330" s="224">
        <v>42278</v>
      </c>
      <c r="K330" s="224"/>
      <c r="L330" s="224">
        <f t="shared" si="18"/>
        <v>42278</v>
      </c>
      <c r="M330" s="224">
        <v>42428</v>
      </c>
      <c r="N330" s="224"/>
      <c r="O330" s="224">
        <f t="shared" si="17"/>
        <v>42428</v>
      </c>
      <c r="P330" s="105" t="s">
        <v>122</v>
      </c>
      <c r="Q330" s="103" t="s">
        <v>251</v>
      </c>
      <c r="R330" s="103"/>
      <c r="S330" s="104" t="s">
        <v>334</v>
      </c>
      <c r="T330" s="104"/>
      <c r="U330" s="110">
        <f>+(10*10000)*1.23</f>
        <v>123000</v>
      </c>
      <c r="V330" s="109"/>
      <c r="W330" s="110">
        <v>0</v>
      </c>
      <c r="X330" s="259">
        <v>0</v>
      </c>
      <c r="Y330" s="259">
        <v>0</v>
      </c>
      <c r="Z330" s="259">
        <v>0</v>
      </c>
      <c r="AA330" s="226">
        <v>0</v>
      </c>
      <c r="AB330" s="219"/>
      <c r="AC330" s="219"/>
      <c r="AD330" s="219"/>
      <c r="AE330" s="219"/>
      <c r="AF330" s="219"/>
      <c r="AG330" s="100"/>
      <c r="AH330" s="230"/>
    </row>
    <row r="331" spans="1:34" s="229" customFormat="1" ht="38.25" hidden="1">
      <c r="A331" s="101">
        <f t="shared" si="16"/>
        <v>83</v>
      </c>
      <c r="B331" s="103" t="s">
        <v>731</v>
      </c>
      <c r="C331" s="104" t="s">
        <v>134</v>
      </c>
      <c r="D331" s="103" t="s">
        <v>644</v>
      </c>
      <c r="E331" s="104" t="s">
        <v>114</v>
      </c>
      <c r="F331" s="103" t="s">
        <v>84</v>
      </c>
      <c r="G331" s="106" t="s">
        <v>650</v>
      </c>
      <c r="H331" s="102" t="s">
        <v>14</v>
      </c>
      <c r="I331" s="103" t="s">
        <v>278</v>
      </c>
      <c r="J331" s="224"/>
      <c r="K331" s="224"/>
      <c r="L331" s="224">
        <f t="shared" si="18"/>
        <v>0</v>
      </c>
      <c r="M331" s="224"/>
      <c r="N331" s="224"/>
      <c r="O331" s="224">
        <f t="shared" si="17"/>
        <v>0</v>
      </c>
      <c r="P331" s="105" t="s">
        <v>122</v>
      </c>
      <c r="Q331" s="103" t="s">
        <v>251</v>
      </c>
      <c r="R331" s="103"/>
      <c r="S331" s="104" t="s">
        <v>138</v>
      </c>
      <c r="T331" s="104"/>
      <c r="U331" s="110">
        <f>+(12*190000)*1.23</f>
        <v>2804400</v>
      </c>
      <c r="V331" s="109"/>
      <c r="W331" s="110">
        <v>0</v>
      </c>
      <c r="X331" s="259">
        <v>0</v>
      </c>
      <c r="Y331" s="259">
        <v>0</v>
      </c>
      <c r="Z331" s="259">
        <v>0</v>
      </c>
      <c r="AA331" s="226">
        <v>0</v>
      </c>
      <c r="AB331" s="219"/>
      <c r="AC331" s="219"/>
      <c r="AD331" s="219"/>
      <c r="AE331" s="219"/>
      <c r="AF331" s="219"/>
      <c r="AG331" s="100"/>
      <c r="AH331" s="230"/>
    </row>
    <row r="332" spans="1:34" s="229" customFormat="1" ht="38.25" hidden="1">
      <c r="A332" s="101">
        <f t="shared" si="16"/>
        <v>84</v>
      </c>
      <c r="B332" s="103" t="s">
        <v>732</v>
      </c>
      <c r="C332" s="104" t="s">
        <v>134</v>
      </c>
      <c r="D332" s="103" t="s">
        <v>733</v>
      </c>
      <c r="E332" s="104" t="s">
        <v>114</v>
      </c>
      <c r="F332" s="103" t="s">
        <v>84</v>
      </c>
      <c r="G332" s="106" t="s">
        <v>650</v>
      </c>
      <c r="H332" s="102" t="s">
        <v>14</v>
      </c>
      <c r="I332" s="103" t="s">
        <v>278</v>
      </c>
      <c r="J332" s="224"/>
      <c r="K332" s="224"/>
      <c r="L332" s="224">
        <f t="shared" si="18"/>
        <v>0</v>
      </c>
      <c r="M332" s="224"/>
      <c r="N332" s="224"/>
      <c r="O332" s="224">
        <f t="shared" si="17"/>
        <v>0</v>
      </c>
      <c r="P332" s="105" t="s">
        <v>122</v>
      </c>
      <c r="Q332" s="103" t="s">
        <v>251</v>
      </c>
      <c r="R332" s="103"/>
      <c r="S332" s="104" t="s">
        <v>138</v>
      </c>
      <c r="T332" s="104"/>
      <c r="U332" s="110">
        <f>+(14*190000+450000+10*10000+1350000)*1.23</f>
        <v>5608800</v>
      </c>
      <c r="V332" s="109"/>
      <c r="W332" s="110">
        <v>0</v>
      </c>
      <c r="X332" s="259">
        <v>0</v>
      </c>
      <c r="Y332" s="259">
        <v>0</v>
      </c>
      <c r="Z332" s="259">
        <v>0</v>
      </c>
      <c r="AA332" s="226">
        <f>+U332*0.235*0.3</f>
        <v>395420.39999999997</v>
      </c>
      <c r="AB332" s="219"/>
      <c r="AC332" s="219"/>
      <c r="AD332" s="219"/>
      <c r="AE332" s="219"/>
      <c r="AF332" s="219"/>
      <c r="AG332" s="100"/>
      <c r="AH332" s="230"/>
    </row>
    <row r="333" spans="1:34" s="229" customFormat="1" ht="38.25" hidden="1">
      <c r="A333" s="101">
        <f t="shared" si="16"/>
        <v>85</v>
      </c>
      <c r="B333" s="103" t="s">
        <v>674</v>
      </c>
      <c r="C333" s="104" t="s">
        <v>134</v>
      </c>
      <c r="D333" s="103" t="s">
        <v>734</v>
      </c>
      <c r="E333" s="104" t="s">
        <v>114</v>
      </c>
      <c r="F333" s="103" t="s">
        <v>84</v>
      </c>
      <c r="G333" s="106" t="s">
        <v>158</v>
      </c>
      <c r="H333" s="102" t="s">
        <v>14</v>
      </c>
      <c r="I333" s="103" t="s">
        <v>278</v>
      </c>
      <c r="J333" s="224"/>
      <c r="K333" s="224"/>
      <c r="L333" s="224">
        <f t="shared" si="18"/>
        <v>0</v>
      </c>
      <c r="M333" s="224"/>
      <c r="N333" s="224"/>
      <c r="O333" s="224">
        <f t="shared" si="17"/>
        <v>0</v>
      </c>
      <c r="P333" s="105" t="s">
        <v>122</v>
      </c>
      <c r="Q333" s="103" t="s">
        <v>251</v>
      </c>
      <c r="R333" s="103"/>
      <c r="S333" s="104" t="s">
        <v>138</v>
      </c>
      <c r="T333" s="104"/>
      <c r="U333" s="110">
        <f>+(10*190000+6*10000)*1.23</f>
        <v>2410800</v>
      </c>
      <c r="V333" s="109"/>
      <c r="W333" s="110">
        <v>0</v>
      </c>
      <c r="X333" s="259">
        <v>0</v>
      </c>
      <c r="Y333" s="260">
        <f>+U333</f>
        <v>2410800</v>
      </c>
      <c r="Z333" s="259">
        <v>0</v>
      </c>
      <c r="AA333" s="226">
        <v>0</v>
      </c>
      <c r="AB333" s="219"/>
      <c r="AC333" s="219"/>
      <c r="AD333" s="219"/>
      <c r="AE333" s="219"/>
      <c r="AF333" s="219"/>
      <c r="AG333" s="100"/>
      <c r="AH333" s="230"/>
    </row>
    <row r="334" spans="1:34" s="229" customFormat="1" ht="38.25" hidden="1">
      <c r="A334" s="101">
        <f t="shared" si="16"/>
        <v>86</v>
      </c>
      <c r="B334" s="103" t="s">
        <v>735</v>
      </c>
      <c r="C334" s="104" t="s">
        <v>134</v>
      </c>
      <c r="D334" s="103" t="s">
        <v>736</v>
      </c>
      <c r="E334" s="104" t="s">
        <v>114</v>
      </c>
      <c r="F334" s="103" t="s">
        <v>84</v>
      </c>
      <c r="G334" s="106" t="s">
        <v>245</v>
      </c>
      <c r="H334" s="102" t="s">
        <v>96</v>
      </c>
      <c r="I334" s="103" t="s">
        <v>278</v>
      </c>
      <c r="J334" s="224"/>
      <c r="K334" s="224"/>
      <c r="L334" s="224">
        <f t="shared" si="18"/>
        <v>0</v>
      </c>
      <c r="M334" s="224"/>
      <c r="N334" s="224"/>
      <c r="O334" s="224">
        <f t="shared" si="17"/>
        <v>0</v>
      </c>
      <c r="P334" s="105" t="s">
        <v>122</v>
      </c>
      <c r="Q334" s="103" t="s">
        <v>251</v>
      </c>
      <c r="R334" s="103"/>
      <c r="S334" s="104" t="s">
        <v>138</v>
      </c>
      <c r="T334" s="104"/>
      <c r="U334" s="110">
        <f>+(16*190000+450000+12*10000+140000)*1.23</f>
        <v>4612500</v>
      </c>
      <c r="V334" s="109"/>
      <c r="W334" s="110">
        <v>0</v>
      </c>
      <c r="X334" s="259">
        <v>0</v>
      </c>
      <c r="Y334" s="259">
        <v>0</v>
      </c>
      <c r="Z334" s="259">
        <f>+U334*0.235*0.3</f>
        <v>325181.25</v>
      </c>
      <c r="AA334" s="226">
        <f>+U334-Z334-AB334</f>
        <v>4287318.75</v>
      </c>
      <c r="AB334" s="219"/>
      <c r="AC334" s="219"/>
      <c r="AD334" s="219"/>
      <c r="AE334" s="219"/>
      <c r="AF334" s="219"/>
      <c r="AG334" s="100"/>
      <c r="AH334" s="230"/>
    </row>
    <row r="335" spans="1:34" s="229" customFormat="1" ht="38.25" hidden="1">
      <c r="A335" s="101">
        <f t="shared" si="16"/>
        <v>87</v>
      </c>
      <c r="B335" s="103" t="s">
        <v>737</v>
      </c>
      <c r="C335" s="104" t="s">
        <v>134</v>
      </c>
      <c r="D335" s="103" t="s">
        <v>738</v>
      </c>
      <c r="E335" s="104" t="s">
        <v>114</v>
      </c>
      <c r="F335" s="103" t="s">
        <v>84</v>
      </c>
      <c r="G335" s="106" t="s">
        <v>608</v>
      </c>
      <c r="H335" s="102" t="s">
        <v>96</v>
      </c>
      <c r="I335" s="103" t="s">
        <v>278</v>
      </c>
      <c r="J335" s="224"/>
      <c r="K335" s="224"/>
      <c r="L335" s="224">
        <f t="shared" si="18"/>
        <v>0</v>
      </c>
      <c r="M335" s="224"/>
      <c r="N335" s="224"/>
      <c r="O335" s="224">
        <f t="shared" si="17"/>
        <v>0</v>
      </c>
      <c r="P335" s="105" t="s">
        <v>122</v>
      </c>
      <c r="Q335" s="103" t="s">
        <v>251</v>
      </c>
      <c r="R335" s="103"/>
      <c r="S335" s="104" t="s">
        <v>138</v>
      </c>
      <c r="T335" s="104"/>
      <c r="U335" s="110">
        <f>+(17*190000+450000)*1.23</f>
        <v>4526400</v>
      </c>
      <c r="V335" s="109"/>
      <c r="W335" s="110">
        <v>0</v>
      </c>
      <c r="X335" s="259">
        <v>0</v>
      </c>
      <c r="Y335" s="259">
        <v>0</v>
      </c>
      <c r="Z335" s="259">
        <v>0</v>
      </c>
      <c r="AA335" s="226">
        <f>+U335*0.235*0.3</f>
        <v>319111.2</v>
      </c>
      <c r="AB335" s="219"/>
      <c r="AC335" s="219"/>
      <c r="AD335" s="219"/>
      <c r="AE335" s="219"/>
      <c r="AF335" s="219"/>
      <c r="AG335" s="100"/>
      <c r="AH335" s="230"/>
    </row>
    <row r="336" spans="1:34" s="229" customFormat="1" ht="38.25" hidden="1">
      <c r="A336" s="101">
        <f t="shared" si="16"/>
        <v>88</v>
      </c>
      <c r="B336" s="103" t="s">
        <v>739</v>
      </c>
      <c r="C336" s="104" t="s">
        <v>140</v>
      </c>
      <c r="D336" s="103" t="s">
        <v>740</v>
      </c>
      <c r="E336" s="104" t="s">
        <v>114</v>
      </c>
      <c r="F336" s="103" t="s">
        <v>84</v>
      </c>
      <c r="G336" s="106" t="s">
        <v>608</v>
      </c>
      <c r="H336" s="102" t="s">
        <v>96</v>
      </c>
      <c r="I336" s="103" t="s">
        <v>278</v>
      </c>
      <c r="J336" s="224"/>
      <c r="K336" s="224"/>
      <c r="L336" s="224">
        <f t="shared" si="18"/>
        <v>0</v>
      </c>
      <c r="M336" s="224"/>
      <c r="N336" s="224"/>
      <c r="O336" s="224">
        <f t="shared" si="17"/>
        <v>0</v>
      </c>
      <c r="P336" s="105" t="s">
        <v>122</v>
      </c>
      <c r="Q336" s="103" t="s">
        <v>251</v>
      </c>
      <c r="R336" s="103"/>
      <c r="S336" s="104" t="s">
        <v>138</v>
      </c>
      <c r="T336" s="104"/>
      <c r="U336" s="110">
        <f>+(270000)*1.23</f>
        <v>332100</v>
      </c>
      <c r="V336" s="109"/>
      <c r="W336" s="110">
        <v>0</v>
      </c>
      <c r="X336" s="259">
        <v>0</v>
      </c>
      <c r="Y336" s="259">
        <v>0</v>
      </c>
      <c r="Z336" s="259">
        <v>0</v>
      </c>
      <c r="AA336" s="226">
        <v>0</v>
      </c>
      <c r="AB336" s="219"/>
      <c r="AC336" s="219"/>
      <c r="AD336" s="219"/>
      <c r="AE336" s="219"/>
      <c r="AF336" s="219"/>
      <c r="AG336" s="100"/>
      <c r="AH336" s="230"/>
    </row>
    <row r="337" spans="1:34" s="229" customFormat="1" ht="76.5" hidden="1">
      <c r="A337" s="101">
        <f t="shared" si="16"/>
        <v>89</v>
      </c>
      <c r="B337" s="103" t="s">
        <v>741</v>
      </c>
      <c r="C337" s="104" t="s">
        <v>140</v>
      </c>
      <c r="D337" s="103" t="s">
        <v>743</v>
      </c>
      <c r="E337" s="104" t="s">
        <v>114</v>
      </c>
      <c r="F337" s="103" t="s">
        <v>88</v>
      </c>
      <c r="G337" s="106" t="s">
        <v>742</v>
      </c>
      <c r="H337" s="102" t="s">
        <v>21</v>
      </c>
      <c r="I337" s="103" t="s">
        <v>173</v>
      </c>
      <c r="J337" s="224">
        <v>43191</v>
      </c>
      <c r="K337" s="224"/>
      <c r="L337" s="224">
        <f t="shared" si="18"/>
        <v>43191</v>
      </c>
      <c r="M337" s="224">
        <v>43554</v>
      </c>
      <c r="N337" s="224"/>
      <c r="O337" s="224">
        <f t="shared" si="17"/>
        <v>43554</v>
      </c>
      <c r="P337" s="105" t="s">
        <v>122</v>
      </c>
      <c r="Q337" s="103" t="s">
        <v>123</v>
      </c>
      <c r="R337" s="103"/>
      <c r="S337" s="104" t="s">
        <v>138</v>
      </c>
      <c r="T337" s="104"/>
      <c r="U337" s="110">
        <f>+(9*((1141850+1714473+2097122)/9)+1247367+1293526+1350713+4298671+300000+929210+18*1022001/14+1350000+1050000+150000)*1.23*1.07</f>
        <v>24001627.89732857</v>
      </c>
      <c r="V337" s="109"/>
      <c r="W337" s="110">
        <v>0</v>
      </c>
      <c r="X337" s="259">
        <v>0</v>
      </c>
      <c r="Y337" s="259">
        <v>0</v>
      </c>
      <c r="Z337" s="259">
        <f>+U337*0.235*0.3</f>
        <v>1692114.7667616641</v>
      </c>
      <c r="AA337" s="226">
        <f>+U337-Z337-AB337</f>
        <v>22309513.130566906</v>
      </c>
      <c r="AB337" s="219"/>
      <c r="AC337" s="219"/>
      <c r="AD337" s="219"/>
      <c r="AE337" s="219"/>
      <c r="AF337" s="219"/>
      <c r="AG337" s="100"/>
      <c r="AH337" s="230"/>
    </row>
    <row r="338" spans="1:34" s="229" customFormat="1" ht="76.5" hidden="1">
      <c r="A338" s="101">
        <f t="shared" si="16"/>
        <v>90</v>
      </c>
      <c r="B338" s="103" t="s">
        <v>233</v>
      </c>
      <c r="C338" s="104" t="s">
        <v>138</v>
      </c>
      <c r="D338" s="103" t="s">
        <v>744</v>
      </c>
      <c r="E338" s="104" t="s">
        <v>114</v>
      </c>
      <c r="F338" s="103" t="s">
        <v>88</v>
      </c>
      <c r="G338" s="106" t="s">
        <v>185</v>
      </c>
      <c r="H338" s="102" t="s">
        <v>97</v>
      </c>
      <c r="I338" s="103" t="s">
        <v>173</v>
      </c>
      <c r="J338" s="224"/>
      <c r="K338" s="224"/>
      <c r="L338" s="224">
        <f t="shared" si="18"/>
        <v>0</v>
      </c>
      <c r="M338" s="224"/>
      <c r="N338" s="224"/>
      <c r="O338" s="224">
        <f t="shared" si="17"/>
        <v>0</v>
      </c>
      <c r="P338" s="105" t="s">
        <v>122</v>
      </c>
      <c r="Q338" s="103" t="s">
        <v>123</v>
      </c>
      <c r="R338" s="103"/>
      <c r="S338" s="104" t="s">
        <v>138</v>
      </c>
      <c r="T338" s="104"/>
      <c r="U338" s="110">
        <f>+(1823640+8*((1141850+1714473+2097122)/9)+3658606+1247367+1293526+4298671+929210+10*1022001/14+1350000+300000+1050000)*1.23*1.07</f>
        <v>27748761.552738097</v>
      </c>
      <c r="V338" s="109"/>
      <c r="W338" s="110">
        <v>0</v>
      </c>
      <c r="X338" s="259">
        <v>0</v>
      </c>
      <c r="Y338" s="259">
        <v>0</v>
      </c>
      <c r="Z338" s="259">
        <f>+U338*0.235*0.3</f>
        <v>1956287.6894680355</v>
      </c>
      <c r="AA338" s="226">
        <f>+U338-Z338-AB338</f>
        <v>25792473.863270059</v>
      </c>
      <c r="AB338" s="219"/>
      <c r="AC338" s="219"/>
      <c r="AD338" s="219"/>
      <c r="AE338" s="219"/>
      <c r="AF338" s="219"/>
      <c r="AG338" s="100"/>
      <c r="AH338" s="230"/>
    </row>
    <row r="339" spans="1:34" s="229" customFormat="1" ht="63.75" hidden="1">
      <c r="A339" s="101">
        <f t="shared" si="16"/>
        <v>91</v>
      </c>
      <c r="B339" s="103" t="s">
        <v>745</v>
      </c>
      <c r="C339" s="104" t="s">
        <v>140</v>
      </c>
      <c r="D339" s="103" t="s">
        <v>746</v>
      </c>
      <c r="E339" s="104" t="s">
        <v>114</v>
      </c>
      <c r="F339" s="103" t="s">
        <v>88</v>
      </c>
      <c r="G339" s="106" t="s">
        <v>328</v>
      </c>
      <c r="H339" s="102" t="s">
        <v>25</v>
      </c>
      <c r="I339" s="103" t="s">
        <v>173</v>
      </c>
      <c r="J339" s="224"/>
      <c r="K339" s="224"/>
      <c r="L339" s="224">
        <f t="shared" si="18"/>
        <v>0</v>
      </c>
      <c r="M339" s="224"/>
      <c r="N339" s="224"/>
      <c r="O339" s="224">
        <f t="shared" si="17"/>
        <v>0</v>
      </c>
      <c r="P339" s="105" t="s">
        <v>122</v>
      </c>
      <c r="Q339" s="103" t="s">
        <v>123</v>
      </c>
      <c r="R339" s="103"/>
      <c r="S339" s="104" t="s">
        <v>138</v>
      </c>
      <c r="T339" s="104"/>
      <c r="U339" s="110">
        <f>+(1247367+1293526+4298671+1350713+929210+10*1022001/14+300000+350000+1050000)*1.23*1.07</f>
        <v>15200280.780771429</v>
      </c>
      <c r="V339" s="109"/>
      <c r="W339" s="110">
        <v>0</v>
      </c>
      <c r="X339" s="259">
        <v>0</v>
      </c>
      <c r="Y339" s="259">
        <v>0</v>
      </c>
      <c r="Z339" s="259">
        <v>0</v>
      </c>
      <c r="AA339" s="226">
        <f>+U339*0.235*0.3</f>
        <v>1071619.7950443856</v>
      </c>
      <c r="AB339" s="219"/>
      <c r="AC339" s="219"/>
      <c r="AD339" s="219"/>
      <c r="AE339" s="219"/>
      <c r="AF339" s="219"/>
      <c r="AG339" s="100"/>
      <c r="AH339" s="230"/>
    </row>
    <row r="340" spans="1:34" s="229" customFormat="1" ht="76.5" hidden="1">
      <c r="A340" s="101">
        <f t="shared" si="16"/>
        <v>92</v>
      </c>
      <c r="B340" s="103" t="s">
        <v>747</v>
      </c>
      <c r="C340" s="104" t="s">
        <v>134</v>
      </c>
      <c r="D340" s="103" t="s">
        <v>748</v>
      </c>
      <c r="E340" s="104" t="s">
        <v>114</v>
      </c>
      <c r="F340" s="103" t="s">
        <v>88</v>
      </c>
      <c r="G340" s="106" t="s">
        <v>308</v>
      </c>
      <c r="H340" s="102" t="s">
        <v>309</v>
      </c>
      <c r="I340" s="103" t="s">
        <v>173</v>
      </c>
      <c r="J340" s="224"/>
      <c r="K340" s="224"/>
      <c r="L340" s="224">
        <f t="shared" si="18"/>
        <v>0</v>
      </c>
      <c r="M340" s="224"/>
      <c r="N340" s="224"/>
      <c r="O340" s="224">
        <f t="shared" si="17"/>
        <v>0</v>
      </c>
      <c r="P340" s="105" t="s">
        <v>122</v>
      </c>
      <c r="Q340" s="103" t="s">
        <v>123</v>
      </c>
      <c r="R340" s="103"/>
      <c r="S340" s="104" t="s">
        <v>138</v>
      </c>
      <c r="T340" s="104"/>
      <c r="U340" s="110">
        <f>+(1823640+6*((1141850+1714473+2097122)/9)+3658606+1293526+1350713+929210+6*1022001/14+1350000+300000+750000+150000)*1.23*1.07</f>
        <v>20196860.196542859</v>
      </c>
      <c r="V340" s="109"/>
      <c r="W340" s="110">
        <v>0</v>
      </c>
      <c r="X340" s="259">
        <v>0</v>
      </c>
      <c r="Y340" s="259">
        <v>0</v>
      </c>
      <c r="Z340" s="259">
        <v>0</v>
      </c>
      <c r="AA340" s="226">
        <v>0</v>
      </c>
      <c r="AB340" s="219"/>
      <c r="AC340" s="219"/>
      <c r="AD340" s="219"/>
      <c r="AE340" s="219"/>
      <c r="AF340" s="219"/>
      <c r="AG340" s="100"/>
      <c r="AH340" s="230"/>
    </row>
    <row r="341" spans="1:34" s="229" customFormat="1" ht="76.5" hidden="1">
      <c r="A341" s="101">
        <f t="shared" si="16"/>
        <v>93</v>
      </c>
      <c r="B341" s="103" t="s">
        <v>749</v>
      </c>
      <c r="C341" s="104" t="s">
        <v>134</v>
      </c>
      <c r="D341" s="103" t="s">
        <v>750</v>
      </c>
      <c r="E341" s="104" t="s">
        <v>114</v>
      </c>
      <c r="F341" s="103" t="s">
        <v>88</v>
      </c>
      <c r="G341" s="106" t="s">
        <v>129</v>
      </c>
      <c r="H341" s="102" t="s">
        <v>97</v>
      </c>
      <c r="I341" s="103" t="s">
        <v>173</v>
      </c>
      <c r="J341" s="224"/>
      <c r="K341" s="224"/>
      <c r="L341" s="224">
        <f t="shared" si="18"/>
        <v>0</v>
      </c>
      <c r="M341" s="224"/>
      <c r="N341" s="224"/>
      <c r="O341" s="224">
        <f t="shared" si="17"/>
        <v>0</v>
      </c>
      <c r="P341" s="105" t="s">
        <v>122</v>
      </c>
      <c r="Q341" s="103" t="s">
        <v>123</v>
      </c>
      <c r="R341" s="103"/>
      <c r="S341" s="104" t="s">
        <v>138</v>
      </c>
      <c r="T341" s="104"/>
      <c r="U341" s="110">
        <f>+(1823640+5*((1141850+1714473+2097122)/9)+3658606+1293526+1350713+929210+10*1022001/14+1350000+300000+1050000+150000)*1.23*1.07</f>
        <v>20251632.998738095</v>
      </c>
      <c r="V341" s="109"/>
      <c r="W341" s="110">
        <v>0</v>
      </c>
      <c r="X341" s="259">
        <v>0</v>
      </c>
      <c r="Y341" s="259">
        <v>0</v>
      </c>
      <c r="Z341" s="259">
        <v>0</v>
      </c>
      <c r="AA341" s="226">
        <v>0</v>
      </c>
      <c r="AB341" s="219"/>
      <c r="AC341" s="219"/>
      <c r="AD341" s="219"/>
      <c r="AE341" s="219"/>
      <c r="AF341" s="219"/>
      <c r="AG341" s="100"/>
      <c r="AH341" s="230"/>
    </row>
    <row r="342" spans="1:34" s="229" customFormat="1" ht="89.25" hidden="1">
      <c r="A342" s="101">
        <f t="shared" si="16"/>
        <v>94</v>
      </c>
      <c r="B342" s="103" t="s">
        <v>751</v>
      </c>
      <c r="C342" s="104" t="s">
        <v>134</v>
      </c>
      <c r="D342" s="103" t="s">
        <v>753</v>
      </c>
      <c r="E342" s="104" t="s">
        <v>114</v>
      </c>
      <c r="F342" s="103" t="s">
        <v>88</v>
      </c>
      <c r="G342" s="106" t="s">
        <v>752</v>
      </c>
      <c r="H342" s="102" t="s">
        <v>23</v>
      </c>
      <c r="I342" s="103" t="s">
        <v>173</v>
      </c>
      <c r="J342" s="224"/>
      <c r="K342" s="224"/>
      <c r="L342" s="224">
        <f t="shared" si="18"/>
        <v>0</v>
      </c>
      <c r="M342" s="224"/>
      <c r="N342" s="224"/>
      <c r="O342" s="224">
        <f t="shared" si="17"/>
        <v>0</v>
      </c>
      <c r="P342" s="105" t="s">
        <v>122</v>
      </c>
      <c r="Q342" s="103" t="s">
        <v>123</v>
      </c>
      <c r="R342" s="103"/>
      <c r="S342" s="104" t="s">
        <v>138</v>
      </c>
      <c r="T342" s="104"/>
      <c r="U342" s="110">
        <f>+(1823640+4*((1141850+1714473+2097122)/9)+3658606+1293526+1247367+1350713+929210+12*1022001/14+1350000+300000+1050000+150000)*1.23*1.07</f>
        <v>21361084.721619047</v>
      </c>
      <c r="V342" s="109"/>
      <c r="W342" s="110">
        <v>0</v>
      </c>
      <c r="X342" s="259">
        <v>0</v>
      </c>
      <c r="Y342" s="259">
        <v>0</v>
      </c>
      <c r="Z342" s="259">
        <v>0</v>
      </c>
      <c r="AA342" s="226">
        <v>0</v>
      </c>
      <c r="AB342" s="219"/>
      <c r="AC342" s="219"/>
      <c r="AD342" s="219"/>
      <c r="AE342" s="219"/>
      <c r="AF342" s="219"/>
      <c r="AG342" s="100"/>
      <c r="AH342" s="230">
        <f>+U342*0.06</f>
        <v>1281665.0832971428</v>
      </c>
    </row>
    <row r="343" spans="1:34" s="229" customFormat="1" ht="63.75" hidden="1">
      <c r="A343" s="101">
        <f t="shared" si="16"/>
        <v>95</v>
      </c>
      <c r="B343" s="103" t="s">
        <v>754</v>
      </c>
      <c r="C343" s="104" t="s">
        <v>134</v>
      </c>
      <c r="D343" s="103" t="s">
        <v>755</v>
      </c>
      <c r="E343" s="104" t="s">
        <v>114</v>
      </c>
      <c r="F343" s="103" t="s">
        <v>88</v>
      </c>
      <c r="G343" s="106" t="s">
        <v>185</v>
      </c>
      <c r="H343" s="102" t="s">
        <v>97</v>
      </c>
      <c r="I343" s="103" t="s">
        <v>173</v>
      </c>
      <c r="J343" s="224"/>
      <c r="K343" s="224"/>
      <c r="L343" s="224">
        <f t="shared" si="18"/>
        <v>0</v>
      </c>
      <c r="M343" s="224"/>
      <c r="N343" s="224"/>
      <c r="O343" s="224">
        <f t="shared" si="17"/>
        <v>0</v>
      </c>
      <c r="P343" s="105" t="s">
        <v>122</v>
      </c>
      <c r="Q343" s="103" t="s">
        <v>123</v>
      </c>
      <c r="R343" s="103"/>
      <c r="S343" s="104" t="s">
        <v>138</v>
      </c>
      <c r="T343" s="104"/>
      <c r="U343" s="110">
        <f>+(1823640+3*((1141850+1714473+2097122)/9)+1293526+1350713+929210+4*1022001/14+1350000+450000+150000)*1.23*1.07</f>
        <v>12226881.730428573</v>
      </c>
      <c r="V343" s="109"/>
      <c r="W343" s="110">
        <v>0</v>
      </c>
      <c r="X343" s="259">
        <v>0</v>
      </c>
      <c r="Y343" s="259">
        <v>0</v>
      </c>
      <c r="Z343" s="259">
        <v>0</v>
      </c>
      <c r="AA343" s="226">
        <f>+U343*0.235*0.3</f>
        <v>861995.16199521429</v>
      </c>
      <c r="AB343" s="219"/>
      <c r="AC343" s="219"/>
      <c r="AD343" s="219"/>
      <c r="AE343" s="219"/>
      <c r="AF343" s="219"/>
      <c r="AG343" s="100"/>
      <c r="AH343" s="230"/>
    </row>
    <row r="344" spans="1:34" s="229" customFormat="1" ht="38.25" hidden="1">
      <c r="A344" s="101">
        <f t="shared" si="16"/>
        <v>96</v>
      </c>
      <c r="B344" s="103" t="s">
        <v>756</v>
      </c>
      <c r="C344" s="104" t="s">
        <v>134</v>
      </c>
      <c r="D344" s="103" t="s">
        <v>728</v>
      </c>
      <c r="E344" s="104" t="s">
        <v>114</v>
      </c>
      <c r="F344" s="103" t="s">
        <v>88</v>
      </c>
      <c r="G344" s="106" t="s">
        <v>241</v>
      </c>
      <c r="H344" s="102" t="s">
        <v>97</v>
      </c>
      <c r="I344" s="103" t="s">
        <v>162</v>
      </c>
      <c r="J344" s="224"/>
      <c r="K344" s="224"/>
      <c r="L344" s="224">
        <f t="shared" si="18"/>
        <v>0</v>
      </c>
      <c r="M344" s="224"/>
      <c r="N344" s="224"/>
      <c r="O344" s="224">
        <f t="shared" si="17"/>
        <v>0</v>
      </c>
      <c r="P344" s="105" t="s">
        <v>122</v>
      </c>
      <c r="Q344" s="103" t="s">
        <v>115</v>
      </c>
      <c r="R344" s="103"/>
      <c r="S344" s="104" t="s">
        <v>138</v>
      </c>
      <c r="T344" s="104"/>
      <c r="U344" s="110">
        <f>+(12*((1141850+1714473+2097122)/9)+12*1022001/14+12*50000)*1.23*1.07</f>
        <v>10634870.014085714</v>
      </c>
      <c r="V344" s="109"/>
      <c r="W344" s="110">
        <v>0</v>
      </c>
      <c r="X344" s="259">
        <v>0</v>
      </c>
      <c r="Y344" s="259">
        <v>0</v>
      </c>
      <c r="Z344" s="259">
        <v>0</v>
      </c>
      <c r="AA344" s="226">
        <f>+U344*0.235*0.3</f>
        <v>749758.3359930428</v>
      </c>
      <c r="AB344" s="219"/>
      <c r="AC344" s="219"/>
      <c r="AD344" s="219"/>
      <c r="AE344" s="219"/>
      <c r="AF344" s="219"/>
      <c r="AG344" s="100"/>
      <c r="AH344" s="230"/>
    </row>
    <row r="345" spans="1:34" s="229" customFormat="1" ht="38.25" hidden="1">
      <c r="A345" s="101">
        <f t="shared" si="16"/>
        <v>97</v>
      </c>
      <c r="B345" s="103" t="s">
        <v>757</v>
      </c>
      <c r="C345" s="104" t="s">
        <v>134</v>
      </c>
      <c r="D345" s="103" t="s">
        <v>644</v>
      </c>
      <c r="E345" s="104" t="s">
        <v>114</v>
      </c>
      <c r="F345" s="103" t="s">
        <v>88</v>
      </c>
      <c r="G345" s="106" t="s">
        <v>758</v>
      </c>
      <c r="H345" s="102" t="s">
        <v>23</v>
      </c>
      <c r="I345" s="103" t="s">
        <v>162</v>
      </c>
      <c r="J345" s="224"/>
      <c r="K345" s="224"/>
      <c r="L345" s="224">
        <f t="shared" si="18"/>
        <v>0</v>
      </c>
      <c r="M345" s="224"/>
      <c r="N345" s="224"/>
      <c r="O345" s="224">
        <f t="shared" si="17"/>
        <v>0</v>
      </c>
      <c r="P345" s="105" t="s">
        <v>122</v>
      </c>
      <c r="Q345" s="103" t="s">
        <v>115</v>
      </c>
      <c r="R345" s="103"/>
      <c r="S345" s="104" t="s">
        <v>138</v>
      </c>
      <c r="T345" s="104"/>
      <c r="U345" s="110">
        <f>+(12*((1141850+1714473+2097122)/9)+12*50000)*1.23*1.07</f>
        <v>9481965.2859999985</v>
      </c>
      <c r="V345" s="109"/>
      <c r="W345" s="110">
        <v>0</v>
      </c>
      <c r="X345" s="259">
        <v>0</v>
      </c>
      <c r="Y345" s="259">
        <v>0</v>
      </c>
      <c r="Z345" s="259">
        <v>0</v>
      </c>
      <c r="AA345" s="226">
        <f>+U345*0.235*0.3</f>
        <v>668478.55266299983</v>
      </c>
      <c r="AB345" s="219"/>
      <c r="AC345" s="219"/>
      <c r="AD345" s="219"/>
      <c r="AE345" s="219"/>
      <c r="AF345" s="219"/>
      <c r="AG345" s="100"/>
      <c r="AH345" s="230"/>
    </row>
    <row r="346" spans="1:34" s="229" customFormat="1" ht="38.25" hidden="1">
      <c r="A346" s="101">
        <f t="shared" si="16"/>
        <v>98</v>
      </c>
      <c r="B346" s="103" t="s">
        <v>759</v>
      </c>
      <c r="C346" s="104" t="s">
        <v>140</v>
      </c>
      <c r="D346" s="103" t="s">
        <v>760</v>
      </c>
      <c r="E346" s="104" t="s">
        <v>114</v>
      </c>
      <c r="F346" s="103" t="s">
        <v>88</v>
      </c>
      <c r="G346" s="106" t="s">
        <v>241</v>
      </c>
      <c r="H346" s="102" t="s">
        <v>97</v>
      </c>
      <c r="I346" s="103" t="s">
        <v>162</v>
      </c>
      <c r="J346" s="224"/>
      <c r="K346" s="224"/>
      <c r="L346" s="224">
        <f t="shared" si="18"/>
        <v>0</v>
      </c>
      <c r="M346" s="224"/>
      <c r="N346" s="224"/>
      <c r="O346" s="224">
        <f t="shared" si="17"/>
        <v>0</v>
      </c>
      <c r="P346" s="105" t="s">
        <v>122</v>
      </c>
      <c r="Q346" s="103" t="s">
        <v>115</v>
      </c>
      <c r="R346" s="103"/>
      <c r="S346" s="104" t="s">
        <v>138</v>
      </c>
      <c r="T346" s="104"/>
      <c r="U346" s="110">
        <f>+(10*((1141850+1714473+2097122)/9+50000))*1.23*1.07</f>
        <v>7901637.7383333342</v>
      </c>
      <c r="V346" s="109"/>
      <c r="W346" s="110">
        <v>0</v>
      </c>
      <c r="X346" s="259">
        <v>0</v>
      </c>
      <c r="Y346" s="259">
        <v>0</v>
      </c>
      <c r="Z346" s="259">
        <v>0</v>
      </c>
      <c r="AA346" s="226">
        <v>0</v>
      </c>
      <c r="AB346" s="219"/>
      <c r="AC346" s="219"/>
      <c r="AD346" s="219"/>
      <c r="AE346" s="219"/>
      <c r="AF346" s="219"/>
      <c r="AG346" s="100"/>
      <c r="AH346" s="230"/>
    </row>
    <row r="347" spans="1:34" s="229" customFormat="1" ht="38.25" hidden="1">
      <c r="A347" s="101">
        <f t="shared" si="16"/>
        <v>99</v>
      </c>
      <c r="B347" s="103" t="s">
        <v>761</v>
      </c>
      <c r="C347" s="104" t="s">
        <v>134</v>
      </c>
      <c r="D347" s="103" t="s">
        <v>762</v>
      </c>
      <c r="E347" s="104" t="s">
        <v>114</v>
      </c>
      <c r="F347" s="103" t="s">
        <v>88</v>
      </c>
      <c r="G347" s="106" t="s">
        <v>129</v>
      </c>
      <c r="H347" s="102" t="s">
        <v>97</v>
      </c>
      <c r="I347" s="103" t="s">
        <v>162</v>
      </c>
      <c r="J347" s="224"/>
      <c r="K347" s="224"/>
      <c r="L347" s="224">
        <f t="shared" si="18"/>
        <v>0</v>
      </c>
      <c r="M347" s="224"/>
      <c r="N347" s="224"/>
      <c r="O347" s="224">
        <f t="shared" si="17"/>
        <v>0</v>
      </c>
      <c r="P347" s="105" t="s">
        <v>122</v>
      </c>
      <c r="Q347" s="103" t="s">
        <v>115</v>
      </c>
      <c r="R347" s="103"/>
      <c r="S347" s="104" t="s">
        <v>138</v>
      </c>
      <c r="T347" s="104"/>
      <c r="U347" s="110">
        <f>+(9*((1141850+1714473+2097122)/9+50000))*1.23*1.07</f>
        <v>7111473.9644999998</v>
      </c>
      <c r="V347" s="109"/>
      <c r="W347" s="110">
        <v>0</v>
      </c>
      <c r="X347" s="259">
        <v>0</v>
      </c>
      <c r="Y347" s="259">
        <v>0</v>
      </c>
      <c r="Z347" s="259">
        <v>0</v>
      </c>
      <c r="AA347" s="226">
        <f>+U347*0.235*0.3</f>
        <v>501358.91449724993</v>
      </c>
      <c r="AB347" s="219"/>
      <c r="AC347" s="219"/>
      <c r="AD347" s="219"/>
      <c r="AE347" s="219"/>
      <c r="AF347" s="219"/>
      <c r="AG347" s="100"/>
      <c r="AH347" s="230"/>
    </row>
    <row r="348" spans="1:34" s="229" customFormat="1" ht="38.25" hidden="1">
      <c r="A348" s="101">
        <f t="shared" si="16"/>
        <v>100</v>
      </c>
      <c r="B348" s="103" t="s">
        <v>763</v>
      </c>
      <c r="C348" s="104" t="s">
        <v>134</v>
      </c>
      <c r="D348" s="103" t="s">
        <v>762</v>
      </c>
      <c r="E348" s="104" t="s">
        <v>114</v>
      </c>
      <c r="F348" s="103" t="s">
        <v>88</v>
      </c>
      <c r="G348" s="106" t="s">
        <v>241</v>
      </c>
      <c r="H348" s="102" t="s">
        <v>97</v>
      </c>
      <c r="I348" s="103" t="s">
        <v>162</v>
      </c>
      <c r="J348" s="224"/>
      <c r="K348" s="224"/>
      <c r="L348" s="224">
        <f t="shared" si="18"/>
        <v>0</v>
      </c>
      <c r="M348" s="224"/>
      <c r="N348" s="224"/>
      <c r="O348" s="224">
        <f t="shared" si="17"/>
        <v>0</v>
      </c>
      <c r="P348" s="105" t="s">
        <v>122</v>
      </c>
      <c r="Q348" s="103" t="s">
        <v>115</v>
      </c>
      <c r="R348" s="103"/>
      <c r="S348" s="104" t="s">
        <v>138</v>
      </c>
      <c r="T348" s="104"/>
      <c r="U348" s="110">
        <f>+(9*((1141850+1714473+2097122)/9+50000))*1.23*1.07</f>
        <v>7111473.9644999998</v>
      </c>
      <c r="V348" s="109"/>
      <c r="W348" s="110">
        <v>0</v>
      </c>
      <c r="X348" s="259">
        <v>0</v>
      </c>
      <c r="Y348" s="259">
        <v>0</v>
      </c>
      <c r="Z348" s="259">
        <v>0</v>
      </c>
      <c r="AA348" s="226">
        <f>+U348*0.235*0.3</f>
        <v>501358.91449724993</v>
      </c>
      <c r="AB348" s="219"/>
      <c r="AC348" s="219"/>
      <c r="AD348" s="219"/>
      <c r="AE348" s="219"/>
      <c r="AF348" s="219"/>
      <c r="AG348" s="100"/>
      <c r="AH348" s="230"/>
    </row>
    <row r="349" spans="1:34" s="229" customFormat="1" ht="38.25" hidden="1">
      <c r="A349" s="101">
        <f t="shared" si="16"/>
        <v>101</v>
      </c>
      <c r="B349" s="103" t="s">
        <v>764</v>
      </c>
      <c r="C349" s="104" t="s">
        <v>134</v>
      </c>
      <c r="D349" s="103" t="s">
        <v>765</v>
      </c>
      <c r="E349" s="104" t="s">
        <v>114</v>
      </c>
      <c r="F349" s="103" t="s">
        <v>88</v>
      </c>
      <c r="G349" s="106" t="s">
        <v>172</v>
      </c>
      <c r="H349" s="102" t="s">
        <v>95</v>
      </c>
      <c r="I349" s="103" t="s">
        <v>162</v>
      </c>
      <c r="J349" s="224"/>
      <c r="K349" s="224"/>
      <c r="L349" s="224">
        <f t="shared" si="18"/>
        <v>0</v>
      </c>
      <c r="M349" s="224"/>
      <c r="N349" s="224"/>
      <c r="O349" s="224">
        <f t="shared" si="17"/>
        <v>0</v>
      </c>
      <c r="P349" s="105" t="s">
        <v>122</v>
      </c>
      <c r="Q349" s="103" t="s">
        <v>115</v>
      </c>
      <c r="R349" s="103"/>
      <c r="S349" s="104" t="s">
        <v>138</v>
      </c>
      <c r="T349" s="104"/>
      <c r="U349" s="110">
        <f>+(8*((1141850+1714473+2097122)/9+50000)+1350000)*1.23*1.07</f>
        <v>8098045.1906666672</v>
      </c>
      <c r="V349" s="109"/>
      <c r="W349" s="110">
        <v>0</v>
      </c>
      <c r="X349" s="259">
        <v>0</v>
      </c>
      <c r="Y349" s="259">
        <v>0</v>
      </c>
      <c r="Z349" s="259">
        <v>0</v>
      </c>
      <c r="AA349" s="226">
        <f>+U349*0.235*0.3</f>
        <v>570912.18594200001</v>
      </c>
      <c r="AB349" s="219"/>
      <c r="AC349" s="219"/>
      <c r="AD349" s="219"/>
      <c r="AE349" s="219"/>
      <c r="AF349" s="219"/>
      <c r="AG349" s="100"/>
      <c r="AH349" s="230"/>
    </row>
    <row r="350" spans="1:34" s="229" customFormat="1" ht="38.25" hidden="1">
      <c r="A350" s="101">
        <f t="shared" si="16"/>
        <v>102</v>
      </c>
      <c r="B350" s="103" t="s">
        <v>766</v>
      </c>
      <c r="C350" s="104" t="s">
        <v>138</v>
      </c>
      <c r="D350" s="103" t="s">
        <v>768</v>
      </c>
      <c r="E350" s="104" t="s">
        <v>114</v>
      </c>
      <c r="F350" s="103" t="s">
        <v>88</v>
      </c>
      <c r="G350" s="106" t="s">
        <v>767</v>
      </c>
      <c r="H350" s="102" t="s">
        <v>21</v>
      </c>
      <c r="I350" s="103" t="s">
        <v>162</v>
      </c>
      <c r="J350" s="224"/>
      <c r="K350" s="224"/>
      <c r="L350" s="224">
        <f t="shared" si="18"/>
        <v>0</v>
      </c>
      <c r="M350" s="224"/>
      <c r="N350" s="224"/>
      <c r="O350" s="224">
        <f t="shared" ref="O350:O401" si="19">M350+(N350*22)</f>
        <v>0</v>
      </c>
      <c r="P350" s="105" t="s">
        <v>122</v>
      </c>
      <c r="Q350" s="103" t="s">
        <v>115</v>
      </c>
      <c r="R350" s="103"/>
      <c r="S350" s="104" t="s">
        <v>138</v>
      </c>
      <c r="T350" s="104"/>
      <c r="U350" s="110">
        <f>+(8*((1141850+1714473+2097122)/9+50000))*1.23*1.07</f>
        <v>6321310.1906666672</v>
      </c>
      <c r="V350" s="109"/>
      <c r="W350" s="110">
        <v>0</v>
      </c>
      <c r="X350" s="259">
        <v>0</v>
      </c>
      <c r="Y350" s="259">
        <v>0</v>
      </c>
      <c r="Z350" s="259">
        <v>0</v>
      </c>
      <c r="AA350" s="226">
        <v>0</v>
      </c>
      <c r="AB350" s="219"/>
      <c r="AC350" s="219"/>
      <c r="AD350" s="219"/>
      <c r="AE350" s="219"/>
      <c r="AF350" s="219"/>
      <c r="AG350" s="100"/>
      <c r="AH350" s="230"/>
    </row>
    <row r="351" spans="1:34" s="229" customFormat="1" ht="38.25" hidden="1">
      <c r="A351" s="101">
        <f t="shared" si="16"/>
        <v>103</v>
      </c>
      <c r="B351" s="103" t="s">
        <v>769</v>
      </c>
      <c r="C351" s="104" t="s">
        <v>134</v>
      </c>
      <c r="D351" s="103" t="s">
        <v>653</v>
      </c>
      <c r="E351" s="104" t="s">
        <v>114</v>
      </c>
      <c r="F351" s="103" t="s">
        <v>88</v>
      </c>
      <c r="G351" s="106" t="s">
        <v>770</v>
      </c>
      <c r="H351" s="102" t="s">
        <v>95</v>
      </c>
      <c r="I351" s="103" t="s">
        <v>162</v>
      </c>
      <c r="J351" s="224"/>
      <c r="K351" s="224"/>
      <c r="L351" s="224">
        <f t="shared" si="18"/>
        <v>0</v>
      </c>
      <c r="M351" s="224"/>
      <c r="N351" s="224"/>
      <c r="O351" s="224">
        <f t="shared" si="19"/>
        <v>0</v>
      </c>
      <c r="P351" s="105" t="s">
        <v>122</v>
      </c>
      <c r="Q351" s="103" t="s">
        <v>115</v>
      </c>
      <c r="R351" s="103"/>
      <c r="S351" s="104" t="s">
        <v>138</v>
      </c>
      <c r="T351" s="104"/>
      <c r="U351" s="110">
        <f>+(5*((1141850+1714473+2097122)/9+50000))*1.23*1.07</f>
        <v>3950818.8691666671</v>
      </c>
      <c r="V351" s="109"/>
      <c r="W351" s="110">
        <v>0</v>
      </c>
      <c r="X351" s="259">
        <v>0</v>
      </c>
      <c r="Y351" s="259">
        <v>0</v>
      </c>
      <c r="Z351" s="259">
        <v>0</v>
      </c>
      <c r="AA351" s="226">
        <f>+U351*0.235*0.3</f>
        <v>278532.73027624999</v>
      </c>
      <c r="AB351" s="219"/>
      <c r="AC351" s="219"/>
      <c r="AD351" s="219"/>
      <c r="AE351" s="219"/>
      <c r="AF351" s="219"/>
      <c r="AG351" s="100"/>
      <c r="AH351" s="230"/>
    </row>
    <row r="352" spans="1:34" s="229" customFormat="1" ht="38.25" hidden="1">
      <c r="A352" s="101">
        <f t="shared" ref="A352:A401" si="20">+A351+1</f>
        <v>104</v>
      </c>
      <c r="B352" s="103" t="s">
        <v>613</v>
      </c>
      <c r="C352" s="104" t="s">
        <v>134</v>
      </c>
      <c r="D352" s="103" t="s">
        <v>771</v>
      </c>
      <c r="E352" s="104" t="s">
        <v>114</v>
      </c>
      <c r="F352" s="103" t="s">
        <v>88</v>
      </c>
      <c r="G352" s="106" t="s">
        <v>383</v>
      </c>
      <c r="H352" s="102" t="s">
        <v>25</v>
      </c>
      <c r="I352" s="103" t="s">
        <v>162</v>
      </c>
      <c r="J352" s="224"/>
      <c r="K352" s="224"/>
      <c r="L352" s="224">
        <f t="shared" si="18"/>
        <v>0</v>
      </c>
      <c r="M352" s="224"/>
      <c r="N352" s="224"/>
      <c r="O352" s="224">
        <f t="shared" si="19"/>
        <v>0</v>
      </c>
      <c r="P352" s="105" t="s">
        <v>122</v>
      </c>
      <c r="Q352" s="103" t="s">
        <v>115</v>
      </c>
      <c r="R352" s="103"/>
      <c r="S352" s="104" t="s">
        <v>138</v>
      </c>
      <c r="T352" s="104"/>
      <c r="U352" s="110">
        <f>+(2*((1141850+1714473+2097122)/9+50000))*1.23*1.07</f>
        <v>1580327.5476666668</v>
      </c>
      <c r="V352" s="109"/>
      <c r="W352" s="110">
        <v>0</v>
      </c>
      <c r="X352" s="259">
        <v>0</v>
      </c>
      <c r="Y352" s="259">
        <v>0</v>
      </c>
      <c r="Z352" s="259">
        <f>+U352*0.235*0.3</f>
        <v>111413.0921105</v>
      </c>
      <c r="AA352" s="226">
        <f>+U352</f>
        <v>1580327.5476666668</v>
      </c>
      <c r="AB352" s="219"/>
      <c r="AC352" s="219"/>
      <c r="AD352" s="219"/>
      <c r="AE352" s="219"/>
      <c r="AF352" s="219"/>
      <c r="AG352" s="100"/>
      <c r="AH352" s="230"/>
    </row>
    <row r="353" spans="1:34" s="229" customFormat="1" ht="38.25" hidden="1">
      <c r="A353" s="101">
        <v>83</v>
      </c>
      <c r="B353" s="103" t="s">
        <v>772</v>
      </c>
      <c r="C353" s="104" t="s">
        <v>134</v>
      </c>
      <c r="D353" s="103" t="s">
        <v>773</v>
      </c>
      <c r="E353" s="104" t="s">
        <v>114</v>
      </c>
      <c r="F353" s="103" t="s">
        <v>88</v>
      </c>
      <c r="G353" s="106" t="s">
        <v>195</v>
      </c>
      <c r="H353" s="102" t="s">
        <v>21</v>
      </c>
      <c r="I353" s="103" t="s">
        <v>124</v>
      </c>
      <c r="J353" s="224">
        <v>42278</v>
      </c>
      <c r="K353" s="224"/>
      <c r="L353" s="224">
        <f t="shared" si="18"/>
        <v>42278</v>
      </c>
      <c r="M353" s="224">
        <v>42428</v>
      </c>
      <c r="N353" s="224"/>
      <c r="O353" s="224">
        <f t="shared" si="19"/>
        <v>42428</v>
      </c>
      <c r="P353" s="105" t="s">
        <v>122</v>
      </c>
      <c r="Q353" s="103" t="s">
        <v>123</v>
      </c>
      <c r="R353" s="103"/>
      <c r="S353" s="104" t="s">
        <v>334</v>
      </c>
      <c r="T353" s="104"/>
      <c r="U353" s="110">
        <f>+(24*(1022001/14)+350000)*1.23*1.07</f>
        <v>2766444.4561714288</v>
      </c>
      <c r="V353" s="109"/>
      <c r="W353" s="110">
        <v>0</v>
      </c>
      <c r="X353" s="259">
        <v>0</v>
      </c>
      <c r="Y353" s="259">
        <v>0</v>
      </c>
      <c r="Z353" s="259">
        <v>0</v>
      </c>
      <c r="AA353" s="226">
        <v>0</v>
      </c>
      <c r="AB353" s="219"/>
      <c r="AC353" s="219"/>
      <c r="AD353" s="219"/>
      <c r="AE353" s="219"/>
      <c r="AF353" s="219"/>
      <c r="AG353" s="100"/>
      <c r="AH353" s="230"/>
    </row>
    <row r="354" spans="1:34" s="229" customFormat="1" ht="38.25" hidden="1">
      <c r="A354" s="101">
        <f t="shared" si="20"/>
        <v>84</v>
      </c>
      <c r="B354" s="103" t="s">
        <v>756</v>
      </c>
      <c r="C354" s="104" t="s">
        <v>134</v>
      </c>
      <c r="D354" s="103" t="s">
        <v>774</v>
      </c>
      <c r="E354" s="104" t="s">
        <v>114</v>
      </c>
      <c r="F354" s="103" t="s">
        <v>88</v>
      </c>
      <c r="G354" s="106" t="s">
        <v>241</v>
      </c>
      <c r="H354" s="102" t="s">
        <v>97</v>
      </c>
      <c r="I354" s="103" t="s">
        <v>124</v>
      </c>
      <c r="J354" s="224">
        <v>42278</v>
      </c>
      <c r="K354" s="224"/>
      <c r="L354" s="224">
        <f t="shared" si="18"/>
        <v>42278</v>
      </c>
      <c r="M354" s="224">
        <v>42428</v>
      </c>
      <c r="N354" s="224"/>
      <c r="O354" s="224">
        <f t="shared" si="19"/>
        <v>42428</v>
      </c>
      <c r="P354" s="105" t="s">
        <v>122</v>
      </c>
      <c r="Q354" s="103" t="s">
        <v>123</v>
      </c>
      <c r="R354" s="103"/>
      <c r="S354" s="104" t="s">
        <v>334</v>
      </c>
      <c r="T354" s="104"/>
      <c r="U354" s="110">
        <f>+(20*(1022001/14)+350000)*1.23*1.07</f>
        <v>2382142.8801428573</v>
      </c>
      <c r="V354" s="109"/>
      <c r="W354" s="110">
        <v>0</v>
      </c>
      <c r="X354" s="259">
        <v>0</v>
      </c>
      <c r="Y354" s="259">
        <v>0</v>
      </c>
      <c r="Z354" s="259">
        <v>0</v>
      </c>
      <c r="AA354" s="226">
        <v>0</v>
      </c>
      <c r="AB354" s="219"/>
      <c r="AC354" s="219"/>
      <c r="AD354" s="219"/>
      <c r="AE354" s="219"/>
      <c r="AF354" s="219"/>
      <c r="AG354" s="100"/>
      <c r="AH354" s="230"/>
    </row>
    <row r="355" spans="1:34" s="229" customFormat="1" ht="38.25" hidden="1">
      <c r="A355" s="101">
        <f t="shared" si="20"/>
        <v>85</v>
      </c>
      <c r="B355" s="103" t="s">
        <v>775</v>
      </c>
      <c r="C355" s="104" t="s">
        <v>140</v>
      </c>
      <c r="D355" s="103" t="s">
        <v>777</v>
      </c>
      <c r="E355" s="104" t="s">
        <v>114</v>
      </c>
      <c r="F355" s="103" t="s">
        <v>88</v>
      </c>
      <c r="G355" s="106" t="s">
        <v>776</v>
      </c>
      <c r="H355" s="102" t="s">
        <v>25</v>
      </c>
      <c r="I355" s="103" t="s">
        <v>124</v>
      </c>
      <c r="J355" s="224">
        <v>42278</v>
      </c>
      <c r="K355" s="224"/>
      <c r="L355" s="224">
        <f t="shared" si="18"/>
        <v>42278</v>
      </c>
      <c r="M355" s="224">
        <v>42428</v>
      </c>
      <c r="N355" s="224"/>
      <c r="O355" s="224">
        <f t="shared" si="19"/>
        <v>42428</v>
      </c>
      <c r="P355" s="105" t="s">
        <v>122</v>
      </c>
      <c r="Q355" s="103" t="s">
        <v>123</v>
      </c>
      <c r="R355" s="103"/>
      <c r="S355" s="104" t="s">
        <v>334</v>
      </c>
      <c r="T355" s="104"/>
      <c r="U355" s="110">
        <f>20*(1022001/14)*1.23*1.07</f>
        <v>1921507.8801428573</v>
      </c>
      <c r="V355" s="109"/>
      <c r="W355" s="110">
        <v>0</v>
      </c>
      <c r="X355" s="259">
        <v>0</v>
      </c>
      <c r="Y355" s="259">
        <v>0</v>
      </c>
      <c r="Z355" s="259">
        <v>0</v>
      </c>
      <c r="AA355" s="226">
        <v>0</v>
      </c>
      <c r="AB355" s="219"/>
      <c r="AC355" s="219"/>
      <c r="AD355" s="219"/>
      <c r="AE355" s="219"/>
      <c r="AF355" s="219"/>
      <c r="AG355" s="100"/>
      <c r="AH355" s="230"/>
    </row>
    <row r="356" spans="1:34" s="229" customFormat="1" ht="38.25" hidden="1">
      <c r="A356" s="101">
        <f t="shared" si="20"/>
        <v>86</v>
      </c>
      <c r="B356" s="103" t="s">
        <v>778</v>
      </c>
      <c r="C356" s="104" t="s">
        <v>134</v>
      </c>
      <c r="D356" s="103" t="s">
        <v>777</v>
      </c>
      <c r="E356" s="104" t="s">
        <v>114</v>
      </c>
      <c r="F356" s="103" t="s">
        <v>88</v>
      </c>
      <c r="G356" s="106" t="s">
        <v>320</v>
      </c>
      <c r="H356" s="102" t="s">
        <v>23</v>
      </c>
      <c r="I356" s="103" t="s">
        <v>124</v>
      </c>
      <c r="J356" s="224">
        <v>42278</v>
      </c>
      <c r="K356" s="224"/>
      <c r="L356" s="224">
        <f t="shared" si="18"/>
        <v>42278</v>
      </c>
      <c r="M356" s="224">
        <v>42428</v>
      </c>
      <c r="N356" s="224"/>
      <c r="O356" s="224">
        <f t="shared" si="19"/>
        <v>42428</v>
      </c>
      <c r="P356" s="105" t="s">
        <v>122</v>
      </c>
      <c r="Q356" s="103" t="s">
        <v>123</v>
      </c>
      <c r="R356" s="103"/>
      <c r="S356" s="104" t="s">
        <v>334</v>
      </c>
      <c r="T356" s="104"/>
      <c r="U356" s="110">
        <f>20*(1022001/14)*1.23*1.07</f>
        <v>1921507.8801428573</v>
      </c>
      <c r="V356" s="109"/>
      <c r="W356" s="110">
        <v>0</v>
      </c>
      <c r="X356" s="259">
        <v>0</v>
      </c>
      <c r="Y356" s="259">
        <v>0</v>
      </c>
      <c r="Z356" s="259">
        <v>0</v>
      </c>
      <c r="AA356" s="226">
        <v>0</v>
      </c>
      <c r="AB356" s="219"/>
      <c r="AC356" s="219"/>
      <c r="AD356" s="219"/>
      <c r="AE356" s="219"/>
      <c r="AF356" s="219"/>
      <c r="AG356" s="100"/>
      <c r="AH356" s="230"/>
    </row>
    <row r="357" spans="1:34" s="229" customFormat="1" ht="38.25" hidden="1">
      <c r="A357" s="101">
        <f t="shared" si="20"/>
        <v>87</v>
      </c>
      <c r="B357" s="103" t="s">
        <v>779</v>
      </c>
      <c r="C357" s="104" t="s">
        <v>140</v>
      </c>
      <c r="D357" s="103" t="s">
        <v>780</v>
      </c>
      <c r="E357" s="104" t="s">
        <v>114</v>
      </c>
      <c r="F357" s="103" t="s">
        <v>88</v>
      </c>
      <c r="G357" s="106" t="s">
        <v>617</v>
      </c>
      <c r="H357" s="102" t="s">
        <v>25</v>
      </c>
      <c r="I357" s="103" t="s">
        <v>124</v>
      </c>
      <c r="J357" s="224">
        <v>42156</v>
      </c>
      <c r="K357" s="224"/>
      <c r="L357" s="224">
        <f t="shared" si="18"/>
        <v>42156</v>
      </c>
      <c r="M357" s="224">
        <v>42369</v>
      </c>
      <c r="N357" s="224"/>
      <c r="O357" s="224">
        <f t="shared" si="19"/>
        <v>42369</v>
      </c>
      <c r="P357" s="105" t="s">
        <v>122</v>
      </c>
      <c r="Q357" s="103" t="s">
        <v>123</v>
      </c>
      <c r="R357" s="103"/>
      <c r="S357" s="104" t="s">
        <v>334</v>
      </c>
      <c r="T357" s="104"/>
      <c r="U357" s="110">
        <f>16*(1022001/14)*1.23*1.07</f>
        <v>1537206.3041142859</v>
      </c>
      <c r="V357" s="109"/>
      <c r="W357" s="110">
        <v>0</v>
      </c>
      <c r="X357" s="259">
        <v>0</v>
      </c>
      <c r="Y357" s="259">
        <v>0</v>
      </c>
      <c r="Z357" s="259">
        <v>0</v>
      </c>
      <c r="AA357" s="226">
        <v>0</v>
      </c>
      <c r="AB357" s="219"/>
      <c r="AC357" s="219"/>
      <c r="AD357" s="219"/>
      <c r="AE357" s="219"/>
      <c r="AF357" s="219"/>
      <c r="AG357" s="100"/>
      <c r="AH357" s="230"/>
    </row>
    <row r="358" spans="1:34" s="229" customFormat="1" ht="38.25" hidden="1">
      <c r="A358" s="101">
        <f t="shared" si="20"/>
        <v>88</v>
      </c>
      <c r="B358" s="103" t="s">
        <v>781</v>
      </c>
      <c r="C358" s="104" t="s">
        <v>140</v>
      </c>
      <c r="D358" s="103" t="s">
        <v>777</v>
      </c>
      <c r="E358" s="104" t="s">
        <v>114</v>
      </c>
      <c r="F358" s="103" t="s">
        <v>88</v>
      </c>
      <c r="G358" s="106" t="s">
        <v>195</v>
      </c>
      <c r="H358" s="102" t="s">
        <v>21</v>
      </c>
      <c r="I358" s="103" t="s">
        <v>124</v>
      </c>
      <c r="J358" s="224">
        <v>42278</v>
      </c>
      <c r="K358" s="224"/>
      <c r="L358" s="224">
        <f t="shared" si="18"/>
        <v>42278</v>
      </c>
      <c r="M358" s="224">
        <v>42428</v>
      </c>
      <c r="N358" s="224"/>
      <c r="O358" s="224">
        <f t="shared" si="19"/>
        <v>42428</v>
      </c>
      <c r="P358" s="105" t="s">
        <v>122</v>
      </c>
      <c r="Q358" s="103" t="s">
        <v>123</v>
      </c>
      <c r="R358" s="103"/>
      <c r="S358" s="104" t="s">
        <v>334</v>
      </c>
      <c r="T358" s="104"/>
      <c r="U358" s="110">
        <f>20*(1022001/14)*1.23*1.07</f>
        <v>1921507.8801428573</v>
      </c>
      <c r="V358" s="109"/>
      <c r="W358" s="110">
        <v>0</v>
      </c>
      <c r="X358" s="259">
        <v>0</v>
      </c>
      <c r="Y358" s="259">
        <v>0</v>
      </c>
      <c r="Z358" s="259">
        <v>0</v>
      </c>
      <c r="AA358" s="226">
        <v>0</v>
      </c>
      <c r="AB358" s="219"/>
      <c r="AC358" s="219"/>
      <c r="AD358" s="219"/>
      <c r="AE358" s="219"/>
      <c r="AF358" s="219"/>
      <c r="AG358" s="100"/>
      <c r="AH358" s="230"/>
    </row>
    <row r="359" spans="1:34" s="229" customFormat="1" ht="38.25" hidden="1">
      <c r="A359" s="101">
        <f t="shared" si="20"/>
        <v>89</v>
      </c>
      <c r="B359" s="103" t="s">
        <v>782</v>
      </c>
      <c r="C359" s="104" t="s">
        <v>134</v>
      </c>
      <c r="D359" s="103" t="s">
        <v>730</v>
      </c>
      <c r="E359" s="104" t="s">
        <v>114</v>
      </c>
      <c r="F359" s="103" t="s">
        <v>88</v>
      </c>
      <c r="G359" s="106" t="s">
        <v>185</v>
      </c>
      <c r="H359" s="102" t="s">
        <v>97</v>
      </c>
      <c r="I359" s="103" t="s">
        <v>124</v>
      </c>
      <c r="J359" s="224">
        <v>42156</v>
      </c>
      <c r="K359" s="224"/>
      <c r="L359" s="224">
        <f t="shared" si="18"/>
        <v>42156</v>
      </c>
      <c r="M359" s="224">
        <v>42369</v>
      </c>
      <c r="N359" s="224"/>
      <c r="O359" s="224">
        <f t="shared" si="19"/>
        <v>42369</v>
      </c>
      <c r="P359" s="105" t="s">
        <v>122</v>
      </c>
      <c r="Q359" s="103" t="s">
        <v>123</v>
      </c>
      <c r="R359" s="103"/>
      <c r="S359" s="104" t="s">
        <v>334</v>
      </c>
      <c r="T359" s="104"/>
      <c r="U359" s="110">
        <f>10*(1022001/14)*1.23*1.07</f>
        <v>960753.94007142866</v>
      </c>
      <c r="V359" s="109"/>
      <c r="W359" s="110">
        <v>0</v>
      </c>
      <c r="X359" s="259">
        <v>0</v>
      </c>
      <c r="Y359" s="259">
        <v>0</v>
      </c>
      <c r="Z359" s="259">
        <v>0</v>
      </c>
      <c r="AA359" s="226">
        <v>0</v>
      </c>
      <c r="AB359" s="219"/>
      <c r="AC359" s="219"/>
      <c r="AD359" s="219"/>
      <c r="AE359" s="219"/>
      <c r="AF359" s="219"/>
      <c r="AG359" s="100"/>
      <c r="AH359" s="230"/>
    </row>
    <row r="360" spans="1:34" s="229" customFormat="1" ht="38.25" hidden="1">
      <c r="A360" s="101">
        <f t="shared" si="20"/>
        <v>90</v>
      </c>
      <c r="B360" s="103" t="s">
        <v>783</v>
      </c>
      <c r="C360" s="104" t="s">
        <v>134</v>
      </c>
      <c r="D360" s="103" t="s">
        <v>784</v>
      </c>
      <c r="E360" s="104" t="s">
        <v>114</v>
      </c>
      <c r="F360" s="103" t="s">
        <v>88</v>
      </c>
      <c r="G360" s="106" t="s">
        <v>328</v>
      </c>
      <c r="H360" s="102" t="s">
        <v>25</v>
      </c>
      <c r="I360" s="103" t="s">
        <v>124</v>
      </c>
      <c r="J360" s="224">
        <v>42278</v>
      </c>
      <c r="K360" s="224"/>
      <c r="L360" s="224">
        <f t="shared" si="18"/>
        <v>42278</v>
      </c>
      <c r="M360" s="224">
        <v>42428</v>
      </c>
      <c r="N360" s="224"/>
      <c r="O360" s="224">
        <f t="shared" si="19"/>
        <v>42428</v>
      </c>
      <c r="P360" s="105" t="s">
        <v>122</v>
      </c>
      <c r="Q360" s="103" t="s">
        <v>123</v>
      </c>
      <c r="R360" s="103"/>
      <c r="S360" s="104" t="s">
        <v>334</v>
      </c>
      <c r="T360" s="104"/>
      <c r="U360" s="110">
        <f>+(10*(1022001/14)+350000)*1.23*1.07</f>
        <v>1421388.9400714287</v>
      </c>
      <c r="V360" s="109"/>
      <c r="W360" s="110">
        <v>0</v>
      </c>
      <c r="X360" s="259">
        <v>0</v>
      </c>
      <c r="Y360" s="259">
        <v>0</v>
      </c>
      <c r="Z360" s="259">
        <v>0</v>
      </c>
      <c r="AA360" s="226">
        <v>0</v>
      </c>
      <c r="AB360" s="219"/>
      <c r="AC360" s="219"/>
      <c r="AD360" s="219"/>
      <c r="AE360" s="219"/>
      <c r="AF360" s="219"/>
      <c r="AG360" s="100"/>
      <c r="AH360" s="230"/>
    </row>
    <row r="361" spans="1:34" s="229" customFormat="1" ht="38.25" hidden="1">
      <c r="A361" s="101">
        <f t="shared" si="20"/>
        <v>91</v>
      </c>
      <c r="B361" s="103" t="s">
        <v>785</v>
      </c>
      <c r="C361" s="104" t="s">
        <v>138</v>
      </c>
      <c r="D361" s="103" t="s">
        <v>786</v>
      </c>
      <c r="E361" s="104" t="s">
        <v>114</v>
      </c>
      <c r="F361" s="103" t="s">
        <v>88</v>
      </c>
      <c r="G361" s="106" t="s">
        <v>185</v>
      </c>
      <c r="H361" s="102" t="s">
        <v>97</v>
      </c>
      <c r="I361" s="103" t="s">
        <v>124</v>
      </c>
      <c r="J361" s="224">
        <v>42278</v>
      </c>
      <c r="K361" s="224"/>
      <c r="L361" s="224">
        <f t="shared" si="18"/>
        <v>42278</v>
      </c>
      <c r="M361" s="224">
        <v>42428</v>
      </c>
      <c r="N361" s="224"/>
      <c r="O361" s="224">
        <f t="shared" si="19"/>
        <v>42428</v>
      </c>
      <c r="P361" s="105" t="s">
        <v>122</v>
      </c>
      <c r="Q361" s="103" t="s">
        <v>123</v>
      </c>
      <c r="R361" s="103"/>
      <c r="S361" s="104" t="s">
        <v>334</v>
      </c>
      <c r="T361" s="104"/>
      <c r="U361" s="110">
        <f>10*(1022001/14)*1.23*1.07</f>
        <v>960753.94007142866</v>
      </c>
      <c r="V361" s="109"/>
      <c r="W361" s="110">
        <v>0</v>
      </c>
      <c r="X361" s="259">
        <v>0</v>
      </c>
      <c r="Y361" s="259">
        <v>0</v>
      </c>
      <c r="Z361" s="259">
        <v>0</v>
      </c>
      <c r="AA361" s="226">
        <v>0</v>
      </c>
      <c r="AB361" s="219"/>
      <c r="AC361" s="219"/>
      <c r="AD361" s="219"/>
      <c r="AE361" s="219"/>
      <c r="AF361" s="219"/>
      <c r="AG361" s="100"/>
      <c r="AH361" s="230"/>
    </row>
    <row r="362" spans="1:34" s="229" customFormat="1" ht="38.25" hidden="1">
      <c r="A362" s="101">
        <f t="shared" si="20"/>
        <v>92</v>
      </c>
      <c r="B362" s="103" t="s">
        <v>787</v>
      </c>
      <c r="C362" s="104" t="s">
        <v>134</v>
      </c>
      <c r="D362" s="103" t="s">
        <v>788</v>
      </c>
      <c r="E362" s="104" t="s">
        <v>114</v>
      </c>
      <c r="F362" s="103" t="s">
        <v>88</v>
      </c>
      <c r="G362" s="106" t="s">
        <v>129</v>
      </c>
      <c r="H362" s="103" t="s">
        <v>240</v>
      </c>
      <c r="I362" s="103" t="s">
        <v>124</v>
      </c>
      <c r="J362" s="224">
        <v>42278</v>
      </c>
      <c r="K362" s="224"/>
      <c r="L362" s="224">
        <f t="shared" si="18"/>
        <v>42278</v>
      </c>
      <c r="M362" s="224">
        <v>42428</v>
      </c>
      <c r="N362" s="224"/>
      <c r="O362" s="224">
        <f t="shared" si="19"/>
        <v>42428</v>
      </c>
      <c r="P362" s="105" t="s">
        <v>122</v>
      </c>
      <c r="Q362" s="103" t="s">
        <v>123</v>
      </c>
      <c r="R362" s="103"/>
      <c r="S362" s="104" t="s">
        <v>334</v>
      </c>
      <c r="T362" s="104"/>
      <c r="U362" s="110">
        <f>8*(1022001/14)*1.23*1.07</f>
        <v>768603.15205714293</v>
      </c>
      <c r="V362" s="109"/>
      <c r="W362" s="110">
        <v>0</v>
      </c>
      <c r="X362" s="259">
        <v>0</v>
      </c>
      <c r="Y362" s="259">
        <v>0</v>
      </c>
      <c r="Z362" s="259">
        <v>0</v>
      </c>
      <c r="AA362" s="226">
        <v>0</v>
      </c>
      <c r="AB362" s="219"/>
      <c r="AC362" s="219"/>
      <c r="AD362" s="219"/>
      <c r="AE362" s="219"/>
      <c r="AF362" s="219"/>
      <c r="AG362" s="100"/>
      <c r="AH362" s="230"/>
    </row>
    <row r="363" spans="1:34" s="229" customFormat="1" ht="38.25" hidden="1">
      <c r="A363" s="101">
        <f t="shared" si="20"/>
        <v>93</v>
      </c>
      <c r="B363" s="103" t="s">
        <v>789</v>
      </c>
      <c r="C363" s="104" t="s">
        <v>134</v>
      </c>
      <c r="D363" s="103" t="s">
        <v>790</v>
      </c>
      <c r="E363" s="104" t="s">
        <v>114</v>
      </c>
      <c r="F363" s="103" t="s">
        <v>88</v>
      </c>
      <c r="G363" s="106" t="s">
        <v>328</v>
      </c>
      <c r="H363" s="102" t="s">
        <v>25</v>
      </c>
      <c r="I363" s="103" t="s">
        <v>124</v>
      </c>
      <c r="J363" s="224">
        <v>42278</v>
      </c>
      <c r="K363" s="224"/>
      <c r="L363" s="224">
        <f t="shared" si="18"/>
        <v>42278</v>
      </c>
      <c r="M363" s="224">
        <v>42428</v>
      </c>
      <c r="N363" s="224"/>
      <c r="O363" s="224">
        <f t="shared" si="19"/>
        <v>42428</v>
      </c>
      <c r="P363" s="105" t="s">
        <v>122</v>
      </c>
      <c r="Q363" s="103" t="s">
        <v>123</v>
      </c>
      <c r="R363" s="103"/>
      <c r="S363" s="104" t="s">
        <v>334</v>
      </c>
      <c r="T363" s="104"/>
      <c r="U363" s="110">
        <f>+(6*(1022001/14)+350000)*1.23*1.07</f>
        <v>1037087.3640428573</v>
      </c>
      <c r="V363" s="109"/>
      <c r="W363" s="110">
        <v>0</v>
      </c>
      <c r="X363" s="259">
        <v>0</v>
      </c>
      <c r="Y363" s="259">
        <v>0</v>
      </c>
      <c r="Z363" s="259">
        <v>0</v>
      </c>
      <c r="AA363" s="226">
        <v>0</v>
      </c>
      <c r="AB363" s="219"/>
      <c r="AC363" s="219"/>
      <c r="AD363" s="219"/>
      <c r="AE363" s="219"/>
      <c r="AF363" s="219"/>
      <c r="AG363" s="100"/>
      <c r="AH363" s="230"/>
    </row>
    <row r="364" spans="1:34" s="229" customFormat="1" ht="38.25" hidden="1">
      <c r="A364" s="101">
        <f t="shared" si="20"/>
        <v>94</v>
      </c>
      <c r="B364" s="103" t="s">
        <v>791</v>
      </c>
      <c r="C364" s="104" t="s">
        <v>134</v>
      </c>
      <c r="D364" s="103" t="s">
        <v>792</v>
      </c>
      <c r="E364" s="104" t="s">
        <v>114</v>
      </c>
      <c r="F364" s="103" t="s">
        <v>88</v>
      </c>
      <c r="G364" s="106" t="s">
        <v>328</v>
      </c>
      <c r="H364" s="102" t="s">
        <v>25</v>
      </c>
      <c r="I364" s="103" t="s">
        <v>234</v>
      </c>
      <c r="J364" s="224">
        <v>42248</v>
      </c>
      <c r="K364" s="224"/>
      <c r="L364" s="224">
        <f t="shared" si="18"/>
        <v>42248</v>
      </c>
      <c r="M364" s="224">
        <v>42428</v>
      </c>
      <c r="N364" s="224"/>
      <c r="O364" s="224">
        <f t="shared" si="19"/>
        <v>42428</v>
      </c>
      <c r="P364" s="105" t="s">
        <v>122</v>
      </c>
      <c r="Q364" s="103" t="s">
        <v>123</v>
      </c>
      <c r="R364" s="103"/>
      <c r="S364" s="104" t="s">
        <v>143</v>
      </c>
      <c r="T364" s="104"/>
      <c r="U364" s="110">
        <f>+(1*1823640)*1.23*1.07</f>
        <v>2400092.6040000003</v>
      </c>
      <c r="V364" s="109"/>
      <c r="W364" s="110">
        <f>+U364</f>
        <v>2400092.6040000003</v>
      </c>
      <c r="X364" s="259">
        <f>+U364</f>
        <v>2400092.6040000003</v>
      </c>
      <c r="Y364" s="259">
        <v>0</v>
      </c>
      <c r="Z364" s="259">
        <v>0</v>
      </c>
      <c r="AA364" s="226">
        <v>0</v>
      </c>
      <c r="AB364" s="219"/>
      <c r="AC364" s="219"/>
      <c r="AD364" s="219"/>
      <c r="AE364" s="219"/>
      <c r="AF364" s="219"/>
      <c r="AG364" s="100"/>
      <c r="AH364" s="230"/>
    </row>
    <row r="365" spans="1:34" s="229" customFormat="1" ht="38.25" hidden="1">
      <c r="A365" s="101">
        <f t="shared" si="20"/>
        <v>95</v>
      </c>
      <c r="B365" s="103" t="s">
        <v>793</v>
      </c>
      <c r="C365" s="104" t="s">
        <v>134</v>
      </c>
      <c r="D365" s="103" t="s">
        <v>794</v>
      </c>
      <c r="E365" s="104" t="s">
        <v>114</v>
      </c>
      <c r="F365" s="103" t="s">
        <v>88</v>
      </c>
      <c r="G365" s="106" t="s">
        <v>742</v>
      </c>
      <c r="H365" s="102" t="s">
        <v>21</v>
      </c>
      <c r="I365" s="103" t="s">
        <v>234</v>
      </c>
      <c r="J365" s="224"/>
      <c r="K365" s="224"/>
      <c r="L365" s="224">
        <f t="shared" si="18"/>
        <v>0</v>
      </c>
      <c r="M365" s="224"/>
      <c r="N365" s="224"/>
      <c r="O365" s="224">
        <f t="shared" si="19"/>
        <v>0</v>
      </c>
      <c r="P365" s="105" t="s">
        <v>122</v>
      </c>
      <c r="Q365" s="103" t="s">
        <v>123</v>
      </c>
      <c r="R365" s="103"/>
      <c r="S365" s="104" t="s">
        <v>138</v>
      </c>
      <c r="T365" s="104"/>
      <c r="U365" s="110">
        <f>+(2*1823640)*1.23*1.07</f>
        <v>4800185.2080000006</v>
      </c>
      <c r="V365" s="109"/>
      <c r="W365" s="110">
        <v>0</v>
      </c>
      <c r="X365" s="259">
        <v>0</v>
      </c>
      <c r="Y365" s="259">
        <v>0</v>
      </c>
      <c r="Z365" s="259">
        <v>0</v>
      </c>
      <c r="AA365" s="226">
        <f>+U365*0.235*0.3</f>
        <v>338413.057164</v>
      </c>
      <c r="AB365" s="219"/>
      <c r="AC365" s="219"/>
      <c r="AD365" s="219"/>
      <c r="AE365" s="219"/>
      <c r="AF365" s="219"/>
      <c r="AG365" s="100"/>
      <c r="AH365" s="230"/>
    </row>
    <row r="366" spans="1:34" s="229" customFormat="1" ht="38.25" hidden="1">
      <c r="A366" s="101">
        <f t="shared" si="20"/>
        <v>96</v>
      </c>
      <c r="B366" s="103" t="s">
        <v>795</v>
      </c>
      <c r="C366" s="104" t="s">
        <v>134</v>
      </c>
      <c r="D366" s="103" t="s">
        <v>792</v>
      </c>
      <c r="E366" s="104" t="s">
        <v>114</v>
      </c>
      <c r="F366" s="103" t="s">
        <v>88</v>
      </c>
      <c r="G366" s="106" t="s">
        <v>796</v>
      </c>
      <c r="H366" s="102" t="s">
        <v>21</v>
      </c>
      <c r="I366" s="103" t="s">
        <v>234</v>
      </c>
      <c r="J366" s="224"/>
      <c r="K366" s="224"/>
      <c r="L366" s="224">
        <f t="shared" si="18"/>
        <v>0</v>
      </c>
      <c r="M366" s="224"/>
      <c r="N366" s="224"/>
      <c r="O366" s="224">
        <f t="shared" si="19"/>
        <v>0</v>
      </c>
      <c r="P366" s="105" t="s">
        <v>122</v>
      </c>
      <c r="Q366" s="103" t="s">
        <v>123</v>
      </c>
      <c r="R366" s="103"/>
      <c r="S366" s="104" t="s">
        <v>138</v>
      </c>
      <c r="T366" s="104"/>
      <c r="U366" s="110">
        <f t="shared" ref="U366:U373" si="21">+(1*1823640)*1.23*1.07</f>
        <v>2400092.6040000003</v>
      </c>
      <c r="V366" s="109"/>
      <c r="W366" s="110">
        <v>0</v>
      </c>
      <c r="X366" s="259">
        <v>0</v>
      </c>
      <c r="Y366" s="259">
        <v>0</v>
      </c>
      <c r="Z366" s="259">
        <f>+U366*0.235*0.3</f>
        <v>169206.528582</v>
      </c>
      <c r="AA366" s="226">
        <f>+U366-Z366</f>
        <v>2230886.0754180001</v>
      </c>
      <c r="AB366" s="219"/>
      <c r="AC366" s="219"/>
      <c r="AD366" s="219"/>
      <c r="AE366" s="219"/>
      <c r="AF366" s="219"/>
      <c r="AG366" s="100"/>
      <c r="AH366" s="230"/>
    </row>
    <row r="367" spans="1:34" s="229" customFormat="1" ht="38.25" hidden="1">
      <c r="A367" s="101">
        <f t="shared" si="20"/>
        <v>97</v>
      </c>
      <c r="B367" s="103" t="s">
        <v>797</v>
      </c>
      <c r="C367" s="104" t="s">
        <v>134</v>
      </c>
      <c r="D367" s="103" t="s">
        <v>792</v>
      </c>
      <c r="E367" s="104" t="s">
        <v>114</v>
      </c>
      <c r="F367" s="103" t="s">
        <v>88</v>
      </c>
      <c r="G367" s="106" t="s">
        <v>798</v>
      </c>
      <c r="H367" s="102" t="s">
        <v>799</v>
      </c>
      <c r="I367" s="103" t="s">
        <v>234</v>
      </c>
      <c r="J367" s="224"/>
      <c r="K367" s="224"/>
      <c r="L367" s="224">
        <f t="shared" si="18"/>
        <v>0</v>
      </c>
      <c r="M367" s="224"/>
      <c r="N367" s="224"/>
      <c r="O367" s="224">
        <f t="shared" si="19"/>
        <v>0</v>
      </c>
      <c r="P367" s="105" t="s">
        <v>122</v>
      </c>
      <c r="Q367" s="103" t="s">
        <v>123</v>
      </c>
      <c r="R367" s="103"/>
      <c r="S367" s="104" t="s">
        <v>138</v>
      </c>
      <c r="T367" s="104"/>
      <c r="U367" s="110">
        <f t="shared" si="21"/>
        <v>2400092.6040000003</v>
      </c>
      <c r="V367" s="109"/>
      <c r="W367" s="110">
        <v>0</v>
      </c>
      <c r="X367" s="259">
        <v>0</v>
      </c>
      <c r="Y367" s="259">
        <v>0</v>
      </c>
      <c r="Z367" s="259">
        <v>0</v>
      </c>
      <c r="AA367" s="226">
        <f>+U367*0.235*0.3</f>
        <v>169206.528582</v>
      </c>
      <c r="AB367" s="219"/>
      <c r="AC367" s="219"/>
      <c r="AD367" s="219"/>
      <c r="AE367" s="219"/>
      <c r="AF367" s="219"/>
      <c r="AG367" s="100"/>
      <c r="AH367" s="230"/>
    </row>
    <row r="368" spans="1:34" s="229" customFormat="1" ht="38.25" hidden="1">
      <c r="A368" s="101">
        <f t="shared" si="20"/>
        <v>98</v>
      </c>
      <c r="B368" s="103" t="s">
        <v>800</v>
      </c>
      <c r="C368" s="104" t="s">
        <v>134</v>
      </c>
      <c r="D368" s="103" t="s">
        <v>794</v>
      </c>
      <c r="E368" s="104" t="s">
        <v>114</v>
      </c>
      <c r="F368" s="103" t="s">
        <v>88</v>
      </c>
      <c r="G368" s="106" t="s">
        <v>195</v>
      </c>
      <c r="H368" s="102" t="s">
        <v>21</v>
      </c>
      <c r="I368" s="103" t="s">
        <v>234</v>
      </c>
      <c r="J368" s="224"/>
      <c r="K368" s="224"/>
      <c r="L368" s="224">
        <f t="shared" si="18"/>
        <v>0</v>
      </c>
      <c r="M368" s="224"/>
      <c r="N368" s="224"/>
      <c r="O368" s="224">
        <f t="shared" si="19"/>
        <v>0</v>
      </c>
      <c r="P368" s="105" t="s">
        <v>122</v>
      </c>
      <c r="Q368" s="103" t="s">
        <v>123</v>
      </c>
      <c r="R368" s="103"/>
      <c r="S368" s="104" t="s">
        <v>138</v>
      </c>
      <c r="T368" s="104"/>
      <c r="U368" s="110">
        <f>+(2*1823640)*1.23*1.07</f>
        <v>4800185.2080000006</v>
      </c>
      <c r="V368" s="109"/>
      <c r="W368" s="110">
        <v>0</v>
      </c>
      <c r="X368" s="259">
        <v>0</v>
      </c>
      <c r="Y368" s="259">
        <v>0</v>
      </c>
      <c r="Z368" s="259">
        <v>0</v>
      </c>
      <c r="AA368" s="226">
        <f>+U368*0.235*0.3</f>
        <v>338413.057164</v>
      </c>
      <c r="AB368" s="219"/>
      <c r="AC368" s="219"/>
      <c r="AD368" s="219"/>
      <c r="AE368" s="219"/>
      <c r="AF368" s="219"/>
      <c r="AG368" s="100"/>
      <c r="AH368" s="230"/>
    </row>
    <row r="369" spans="1:34" s="229" customFormat="1" ht="38.25" hidden="1">
      <c r="A369" s="101">
        <f t="shared" si="20"/>
        <v>99</v>
      </c>
      <c r="B369" s="103" t="s">
        <v>801</v>
      </c>
      <c r="C369" s="104" t="s">
        <v>134</v>
      </c>
      <c r="D369" s="103" t="s">
        <v>792</v>
      </c>
      <c r="E369" s="104" t="s">
        <v>114</v>
      </c>
      <c r="F369" s="103" t="s">
        <v>88</v>
      </c>
      <c r="G369" s="106" t="s">
        <v>129</v>
      </c>
      <c r="H369" s="102" t="s">
        <v>97</v>
      </c>
      <c r="I369" s="103" t="s">
        <v>234</v>
      </c>
      <c r="J369" s="224"/>
      <c r="K369" s="224"/>
      <c r="L369" s="224">
        <f t="shared" si="18"/>
        <v>0</v>
      </c>
      <c r="M369" s="224"/>
      <c r="N369" s="224"/>
      <c r="O369" s="224">
        <f t="shared" si="19"/>
        <v>0</v>
      </c>
      <c r="P369" s="105" t="s">
        <v>122</v>
      </c>
      <c r="Q369" s="103" t="s">
        <v>123</v>
      </c>
      <c r="R369" s="103"/>
      <c r="S369" s="104" t="s">
        <v>138</v>
      </c>
      <c r="T369" s="104"/>
      <c r="U369" s="110">
        <f>+(1*1823640)*1.23*1.07</f>
        <v>2400092.6040000003</v>
      </c>
      <c r="V369" s="109"/>
      <c r="W369" s="110">
        <v>0</v>
      </c>
      <c r="X369" s="259">
        <v>0</v>
      </c>
      <c r="Y369" s="259">
        <v>0</v>
      </c>
      <c r="Z369" s="259">
        <v>0</v>
      </c>
      <c r="AA369" s="226">
        <v>0</v>
      </c>
      <c r="AB369" s="219"/>
      <c r="AC369" s="219"/>
      <c r="AD369" s="219"/>
      <c r="AE369" s="219"/>
      <c r="AF369" s="219"/>
      <c r="AG369" s="100"/>
      <c r="AH369" s="230"/>
    </row>
    <row r="370" spans="1:34" s="229" customFormat="1" ht="38.25" hidden="1">
      <c r="A370" s="101">
        <f t="shared" si="20"/>
        <v>100</v>
      </c>
      <c r="B370" s="103" t="s">
        <v>802</v>
      </c>
      <c r="C370" s="104" t="s">
        <v>134</v>
      </c>
      <c r="D370" s="103" t="s">
        <v>792</v>
      </c>
      <c r="E370" s="104" t="s">
        <v>114</v>
      </c>
      <c r="F370" s="103" t="s">
        <v>88</v>
      </c>
      <c r="G370" s="106" t="s">
        <v>172</v>
      </c>
      <c r="H370" s="102" t="s">
        <v>95</v>
      </c>
      <c r="I370" s="103" t="s">
        <v>234</v>
      </c>
      <c r="J370" s="224"/>
      <c r="K370" s="224"/>
      <c r="L370" s="224">
        <f t="shared" si="18"/>
        <v>0</v>
      </c>
      <c r="M370" s="224"/>
      <c r="N370" s="224"/>
      <c r="O370" s="224">
        <f t="shared" si="19"/>
        <v>0</v>
      </c>
      <c r="P370" s="105" t="s">
        <v>122</v>
      </c>
      <c r="Q370" s="103" t="s">
        <v>123</v>
      </c>
      <c r="R370" s="103"/>
      <c r="S370" s="104" t="s">
        <v>138</v>
      </c>
      <c r="T370" s="104"/>
      <c r="U370" s="110">
        <f t="shared" si="21"/>
        <v>2400092.6040000003</v>
      </c>
      <c r="V370" s="109"/>
      <c r="W370" s="110">
        <v>0</v>
      </c>
      <c r="X370" s="259">
        <v>0</v>
      </c>
      <c r="Y370" s="259">
        <v>0</v>
      </c>
      <c r="Z370" s="259">
        <v>0</v>
      </c>
      <c r="AA370" s="226">
        <f>+U370*0.235*0.3</f>
        <v>169206.528582</v>
      </c>
      <c r="AB370" s="219"/>
      <c r="AC370" s="219"/>
      <c r="AD370" s="219"/>
      <c r="AE370" s="219"/>
      <c r="AF370" s="219"/>
      <c r="AG370" s="100"/>
      <c r="AH370" s="230"/>
    </row>
    <row r="371" spans="1:34" s="229" customFormat="1" ht="90" hidden="1" customHeight="1">
      <c r="A371" s="101">
        <f t="shared" si="20"/>
        <v>101</v>
      </c>
      <c r="B371" s="103" t="s">
        <v>803</v>
      </c>
      <c r="C371" s="104" t="s">
        <v>134</v>
      </c>
      <c r="D371" s="103" t="s">
        <v>792</v>
      </c>
      <c r="E371" s="104" t="s">
        <v>114</v>
      </c>
      <c r="F371" s="103" t="s">
        <v>88</v>
      </c>
      <c r="G371" s="106" t="s">
        <v>320</v>
      </c>
      <c r="H371" s="102" t="s">
        <v>799</v>
      </c>
      <c r="I371" s="103" t="s">
        <v>234</v>
      </c>
      <c r="J371" s="224"/>
      <c r="K371" s="224"/>
      <c r="L371" s="224">
        <f t="shared" si="18"/>
        <v>0</v>
      </c>
      <c r="M371" s="224"/>
      <c r="N371" s="224"/>
      <c r="O371" s="224">
        <f t="shared" si="19"/>
        <v>0</v>
      </c>
      <c r="P371" s="105" t="s">
        <v>122</v>
      </c>
      <c r="Q371" s="103" t="s">
        <v>123</v>
      </c>
      <c r="R371" s="103"/>
      <c r="S371" s="104" t="s">
        <v>138</v>
      </c>
      <c r="T371" s="104"/>
      <c r="U371" s="110">
        <f t="shared" si="21"/>
        <v>2400092.6040000003</v>
      </c>
      <c r="V371" s="109"/>
      <c r="W371" s="110">
        <v>0</v>
      </c>
      <c r="X371" s="259">
        <v>0</v>
      </c>
      <c r="Y371" s="259">
        <v>0</v>
      </c>
      <c r="Z371" s="259">
        <f>+U371*0.235*0.3</f>
        <v>169206.528582</v>
      </c>
      <c r="AA371" s="226">
        <f>+U371-Z371</f>
        <v>2230886.0754180001</v>
      </c>
      <c r="AB371" s="219"/>
      <c r="AC371" s="219"/>
      <c r="AD371" s="219"/>
      <c r="AE371" s="219"/>
      <c r="AF371" s="219"/>
      <c r="AG371" s="100"/>
      <c r="AH371" s="230"/>
    </row>
    <row r="372" spans="1:34" s="229" customFormat="1" ht="90" hidden="1" customHeight="1">
      <c r="A372" s="101">
        <f t="shared" si="20"/>
        <v>102</v>
      </c>
      <c r="B372" s="103" t="s">
        <v>804</v>
      </c>
      <c r="C372" s="104" t="s">
        <v>134</v>
      </c>
      <c r="D372" s="103" t="s">
        <v>792</v>
      </c>
      <c r="E372" s="104" t="s">
        <v>114</v>
      </c>
      <c r="F372" s="103" t="s">
        <v>88</v>
      </c>
      <c r="G372" s="106" t="s">
        <v>776</v>
      </c>
      <c r="H372" s="102" t="s">
        <v>25</v>
      </c>
      <c r="I372" s="103" t="s">
        <v>234</v>
      </c>
      <c r="J372" s="224"/>
      <c r="K372" s="224"/>
      <c r="L372" s="224">
        <f t="shared" si="18"/>
        <v>0</v>
      </c>
      <c r="M372" s="224"/>
      <c r="N372" s="224"/>
      <c r="O372" s="224">
        <f t="shared" si="19"/>
        <v>0</v>
      </c>
      <c r="P372" s="105" t="s">
        <v>122</v>
      </c>
      <c r="Q372" s="103" t="s">
        <v>123</v>
      </c>
      <c r="R372" s="103"/>
      <c r="S372" s="104" t="s">
        <v>138</v>
      </c>
      <c r="T372" s="104"/>
      <c r="U372" s="110">
        <f t="shared" si="21"/>
        <v>2400092.6040000003</v>
      </c>
      <c r="V372" s="109"/>
      <c r="W372" s="110">
        <v>0</v>
      </c>
      <c r="X372" s="259">
        <v>0</v>
      </c>
      <c r="Y372" s="259">
        <v>0</v>
      </c>
      <c r="Z372" s="259">
        <v>0</v>
      </c>
      <c r="AA372" s="226">
        <f>+U372*0.235*0.3</f>
        <v>169206.528582</v>
      </c>
      <c r="AB372" s="219"/>
      <c r="AC372" s="219"/>
      <c r="AD372" s="219"/>
      <c r="AE372" s="219"/>
      <c r="AF372" s="219"/>
      <c r="AG372" s="100"/>
      <c r="AH372" s="230"/>
    </row>
    <row r="373" spans="1:34" s="229" customFormat="1" ht="90" hidden="1" customHeight="1">
      <c r="A373" s="101">
        <f t="shared" si="20"/>
        <v>103</v>
      </c>
      <c r="B373" s="103" t="s">
        <v>805</v>
      </c>
      <c r="C373" s="104" t="s">
        <v>134</v>
      </c>
      <c r="D373" s="103" t="s">
        <v>792</v>
      </c>
      <c r="E373" s="104" t="s">
        <v>114</v>
      </c>
      <c r="F373" s="103" t="s">
        <v>88</v>
      </c>
      <c r="G373" s="106" t="s">
        <v>806</v>
      </c>
      <c r="H373" s="102" t="s">
        <v>799</v>
      </c>
      <c r="I373" s="103" t="s">
        <v>234</v>
      </c>
      <c r="J373" s="224"/>
      <c r="K373" s="224"/>
      <c r="L373" s="224">
        <f t="shared" si="18"/>
        <v>0</v>
      </c>
      <c r="M373" s="224"/>
      <c r="N373" s="224"/>
      <c r="O373" s="224">
        <f t="shared" si="19"/>
        <v>0</v>
      </c>
      <c r="P373" s="105" t="s">
        <v>122</v>
      </c>
      <c r="Q373" s="103" t="s">
        <v>123</v>
      </c>
      <c r="R373" s="103"/>
      <c r="S373" s="104" t="s">
        <v>138</v>
      </c>
      <c r="T373" s="104"/>
      <c r="U373" s="110">
        <f t="shared" si="21"/>
        <v>2400092.6040000003</v>
      </c>
      <c r="V373" s="109"/>
      <c r="W373" s="110">
        <v>0</v>
      </c>
      <c r="X373" s="259">
        <v>0</v>
      </c>
      <c r="Y373" s="259">
        <v>0</v>
      </c>
      <c r="Z373" s="259">
        <v>0</v>
      </c>
      <c r="AA373" s="226">
        <v>0</v>
      </c>
      <c r="AB373" s="219"/>
      <c r="AC373" s="219"/>
      <c r="AD373" s="219"/>
      <c r="AE373" s="219"/>
      <c r="AF373" s="219"/>
      <c r="AG373" s="100"/>
      <c r="AH373" s="230"/>
    </row>
    <row r="374" spans="1:34" s="229" customFormat="1" ht="90" hidden="1" customHeight="1">
      <c r="A374" s="101">
        <f t="shared" si="20"/>
        <v>104</v>
      </c>
      <c r="B374" s="103" t="s">
        <v>807</v>
      </c>
      <c r="C374" s="104" t="s">
        <v>138</v>
      </c>
      <c r="D374" s="103" t="s">
        <v>809</v>
      </c>
      <c r="E374" s="104" t="s">
        <v>114</v>
      </c>
      <c r="F374" s="103" t="s">
        <v>88</v>
      </c>
      <c r="G374" s="106" t="s">
        <v>172</v>
      </c>
      <c r="H374" s="102" t="s">
        <v>95</v>
      </c>
      <c r="I374" s="103" t="s">
        <v>808</v>
      </c>
      <c r="J374" s="224"/>
      <c r="K374" s="224"/>
      <c r="L374" s="224">
        <f t="shared" si="18"/>
        <v>0</v>
      </c>
      <c r="M374" s="224"/>
      <c r="N374" s="224"/>
      <c r="O374" s="224">
        <f t="shared" si="19"/>
        <v>0</v>
      </c>
      <c r="P374" s="105" t="s">
        <v>122</v>
      </c>
      <c r="Q374" s="103" t="s">
        <v>251</v>
      </c>
      <c r="R374" s="103"/>
      <c r="S374" s="104" t="s">
        <v>143</v>
      </c>
      <c r="T374" s="104"/>
      <c r="U374" s="110">
        <f>+(24*190000+32*10000+1350000)*1.23</f>
        <v>7662900</v>
      </c>
      <c r="V374" s="109"/>
      <c r="W374" s="110">
        <v>0</v>
      </c>
      <c r="X374" s="259">
        <f>+U374*0.235*0.3</f>
        <v>540234.44999999995</v>
      </c>
      <c r="Y374" s="259">
        <f>+U374-X374</f>
        <v>7122665.5499999998</v>
      </c>
      <c r="Z374" s="259">
        <v>0</v>
      </c>
      <c r="AA374" s="226">
        <f>+U374*0.01</f>
        <v>76629</v>
      </c>
      <c r="AB374" s="219"/>
      <c r="AC374" s="219"/>
      <c r="AD374" s="219"/>
      <c r="AE374" s="219"/>
      <c r="AF374" s="219"/>
      <c r="AG374" s="100"/>
      <c r="AH374" s="230"/>
    </row>
    <row r="375" spans="1:34" s="229" customFormat="1" ht="90" hidden="1" customHeight="1">
      <c r="A375" s="101">
        <f t="shared" si="20"/>
        <v>105</v>
      </c>
      <c r="B375" s="103" t="s">
        <v>810</v>
      </c>
      <c r="C375" s="104" t="s">
        <v>134</v>
      </c>
      <c r="D375" s="103" t="s">
        <v>811</v>
      </c>
      <c r="E375" s="104" t="s">
        <v>114</v>
      </c>
      <c r="F375" s="103" t="s">
        <v>88</v>
      </c>
      <c r="G375" s="106" t="s">
        <v>308</v>
      </c>
      <c r="H375" s="102" t="s">
        <v>309</v>
      </c>
      <c r="I375" s="103" t="s">
        <v>808</v>
      </c>
      <c r="J375" s="224"/>
      <c r="K375" s="224"/>
      <c r="L375" s="224">
        <f t="shared" si="18"/>
        <v>0</v>
      </c>
      <c r="M375" s="224"/>
      <c r="N375" s="224"/>
      <c r="O375" s="224">
        <f t="shared" si="19"/>
        <v>0</v>
      </c>
      <c r="P375" s="105" t="s">
        <v>122</v>
      </c>
      <c r="Q375" s="103" t="s">
        <v>251</v>
      </c>
      <c r="R375" s="103"/>
      <c r="S375" s="104" t="s">
        <v>143</v>
      </c>
      <c r="T375" s="104"/>
      <c r="U375" s="110">
        <f>+(16*190000+24*10000)*1.23</f>
        <v>4034400</v>
      </c>
      <c r="V375" s="109"/>
      <c r="W375" s="110">
        <v>0</v>
      </c>
      <c r="X375" s="259">
        <f>+U375*0.235*0.3</f>
        <v>284425.2</v>
      </c>
      <c r="Y375" s="259">
        <f>+U375-X375</f>
        <v>3749974.8</v>
      </c>
      <c r="Z375" s="259">
        <v>0</v>
      </c>
      <c r="AA375" s="226">
        <v>0</v>
      </c>
      <c r="AB375" s="219"/>
      <c r="AC375" s="219"/>
      <c r="AD375" s="219"/>
      <c r="AE375" s="219"/>
      <c r="AF375" s="219"/>
      <c r="AG375" s="100"/>
      <c r="AH375" s="230"/>
    </row>
    <row r="376" spans="1:34" s="229" customFormat="1" ht="90" hidden="1" customHeight="1">
      <c r="A376" s="101">
        <v>95</v>
      </c>
      <c r="B376" s="103" t="s">
        <v>812</v>
      </c>
      <c r="C376" s="104" t="s">
        <v>134</v>
      </c>
      <c r="D376" s="103" t="s">
        <v>813</v>
      </c>
      <c r="E376" s="104" t="s">
        <v>114</v>
      </c>
      <c r="F376" s="103" t="s">
        <v>88</v>
      </c>
      <c r="G376" s="106" t="s">
        <v>176</v>
      </c>
      <c r="H376" s="102" t="s">
        <v>799</v>
      </c>
      <c r="I376" s="103" t="s">
        <v>808</v>
      </c>
      <c r="J376" s="224">
        <v>42278</v>
      </c>
      <c r="K376" s="224"/>
      <c r="L376" s="224">
        <f t="shared" si="18"/>
        <v>42278</v>
      </c>
      <c r="M376" s="224">
        <v>42428</v>
      </c>
      <c r="N376" s="224"/>
      <c r="O376" s="224">
        <f t="shared" si="19"/>
        <v>42428</v>
      </c>
      <c r="P376" s="105" t="s">
        <v>122</v>
      </c>
      <c r="Q376" s="103" t="s">
        <v>251</v>
      </c>
      <c r="R376" s="103"/>
      <c r="S376" s="104" t="s">
        <v>334</v>
      </c>
      <c r="T376" s="104"/>
      <c r="U376" s="110">
        <f>+(24*10000)*1.23</f>
        <v>295200</v>
      </c>
      <c r="V376" s="109"/>
      <c r="W376" s="110">
        <v>0</v>
      </c>
      <c r="X376" s="259">
        <v>0</v>
      </c>
      <c r="Y376" s="259">
        <v>0</v>
      </c>
      <c r="Z376" s="259">
        <v>0</v>
      </c>
      <c r="AA376" s="226">
        <v>0</v>
      </c>
      <c r="AB376" s="219"/>
      <c r="AC376" s="219"/>
      <c r="AD376" s="219"/>
      <c r="AE376" s="219"/>
      <c r="AF376" s="219"/>
      <c r="AG376" s="100"/>
      <c r="AH376" s="230"/>
    </row>
    <row r="377" spans="1:34" s="229" customFormat="1" ht="90" hidden="1" customHeight="1">
      <c r="A377" s="101">
        <f t="shared" si="20"/>
        <v>96</v>
      </c>
      <c r="B377" s="103" t="s">
        <v>814</v>
      </c>
      <c r="C377" s="104" t="s">
        <v>140</v>
      </c>
      <c r="D377" s="103" t="s">
        <v>815</v>
      </c>
      <c r="E377" s="104" t="s">
        <v>114</v>
      </c>
      <c r="F377" s="103" t="s">
        <v>88</v>
      </c>
      <c r="G377" s="106" t="s">
        <v>255</v>
      </c>
      <c r="H377" s="102" t="s">
        <v>240</v>
      </c>
      <c r="I377" s="103" t="s">
        <v>808</v>
      </c>
      <c r="J377" s="224">
        <v>42278</v>
      </c>
      <c r="K377" s="224"/>
      <c r="L377" s="224">
        <f t="shared" si="18"/>
        <v>42278</v>
      </c>
      <c r="M377" s="224">
        <v>42428</v>
      </c>
      <c r="N377" s="224"/>
      <c r="O377" s="224">
        <f t="shared" si="19"/>
        <v>42428</v>
      </c>
      <c r="P377" s="105" t="s">
        <v>122</v>
      </c>
      <c r="Q377" s="103" t="s">
        <v>251</v>
      </c>
      <c r="R377" s="103"/>
      <c r="S377" s="104" t="s">
        <v>334</v>
      </c>
      <c r="T377" s="104"/>
      <c r="U377" s="110">
        <f>+(22*10000)*1.23</f>
        <v>270600</v>
      </c>
      <c r="V377" s="109"/>
      <c r="W377" s="110">
        <v>0</v>
      </c>
      <c r="X377" s="259">
        <v>0</v>
      </c>
      <c r="Y377" s="259">
        <v>0</v>
      </c>
      <c r="Z377" s="259">
        <v>0</v>
      </c>
      <c r="AA377" s="226">
        <v>0</v>
      </c>
      <c r="AB377" s="219"/>
      <c r="AC377" s="219"/>
      <c r="AD377" s="219"/>
      <c r="AE377" s="219"/>
      <c r="AF377" s="219"/>
      <c r="AG377" s="100"/>
      <c r="AH377" s="230"/>
    </row>
    <row r="378" spans="1:34" s="229" customFormat="1" ht="90" hidden="1" customHeight="1">
      <c r="A378" s="101">
        <f t="shared" si="20"/>
        <v>97</v>
      </c>
      <c r="B378" s="103" t="s">
        <v>816</v>
      </c>
      <c r="C378" s="104" t="s">
        <v>140</v>
      </c>
      <c r="D378" s="103" t="s">
        <v>817</v>
      </c>
      <c r="E378" s="104" t="s">
        <v>114</v>
      </c>
      <c r="F378" s="103" t="s">
        <v>88</v>
      </c>
      <c r="G378" s="106" t="s">
        <v>383</v>
      </c>
      <c r="H378" s="102" t="s">
        <v>25</v>
      </c>
      <c r="I378" s="103" t="s">
        <v>808</v>
      </c>
      <c r="J378" s="224">
        <v>42278</v>
      </c>
      <c r="K378" s="224"/>
      <c r="L378" s="224">
        <f t="shared" si="18"/>
        <v>42278</v>
      </c>
      <c r="M378" s="224">
        <v>42428</v>
      </c>
      <c r="N378" s="224"/>
      <c r="O378" s="224">
        <f t="shared" si="19"/>
        <v>42428</v>
      </c>
      <c r="P378" s="105" t="s">
        <v>122</v>
      </c>
      <c r="Q378" s="103" t="s">
        <v>251</v>
      </c>
      <c r="R378" s="103"/>
      <c r="S378" s="104" t="s">
        <v>334</v>
      </c>
      <c r="T378" s="104"/>
      <c r="U378" s="110">
        <f>+(16*10000)*1.23</f>
        <v>196800</v>
      </c>
      <c r="V378" s="109"/>
      <c r="W378" s="110">
        <v>0</v>
      </c>
      <c r="X378" s="259">
        <v>0</v>
      </c>
      <c r="Y378" s="259">
        <v>0</v>
      </c>
      <c r="Z378" s="259">
        <v>0</v>
      </c>
      <c r="AA378" s="226">
        <v>0</v>
      </c>
      <c r="AB378" s="219"/>
      <c r="AC378" s="219"/>
      <c r="AD378" s="219"/>
      <c r="AE378" s="219"/>
      <c r="AF378" s="219"/>
      <c r="AG378" s="100"/>
      <c r="AH378" s="230"/>
    </row>
    <row r="379" spans="1:34" s="229" customFormat="1" ht="90" hidden="1" customHeight="1">
      <c r="A379" s="101">
        <f t="shared" si="20"/>
        <v>98</v>
      </c>
      <c r="B379" s="103" t="s">
        <v>818</v>
      </c>
      <c r="C379" s="104" t="s">
        <v>134</v>
      </c>
      <c r="D379" s="103" t="s">
        <v>819</v>
      </c>
      <c r="E379" s="104" t="s">
        <v>114</v>
      </c>
      <c r="F379" s="103" t="s">
        <v>88</v>
      </c>
      <c r="G379" s="106" t="s">
        <v>383</v>
      </c>
      <c r="H379" s="102" t="s">
        <v>25</v>
      </c>
      <c r="I379" s="103" t="s">
        <v>808</v>
      </c>
      <c r="J379" s="224">
        <v>42278</v>
      </c>
      <c r="K379" s="224"/>
      <c r="L379" s="224">
        <f t="shared" si="18"/>
        <v>42278</v>
      </c>
      <c r="M379" s="224">
        <v>42428</v>
      </c>
      <c r="N379" s="224"/>
      <c r="O379" s="224">
        <f t="shared" si="19"/>
        <v>42428</v>
      </c>
      <c r="P379" s="105" t="s">
        <v>122</v>
      </c>
      <c r="Q379" s="103" t="s">
        <v>251</v>
      </c>
      <c r="R379" s="103"/>
      <c r="S379" s="104" t="s">
        <v>138</v>
      </c>
      <c r="T379" s="104"/>
      <c r="U379" s="110">
        <f>+(5*190000+15*10000)*1.23</f>
        <v>1353000</v>
      </c>
      <c r="V379" s="109"/>
      <c r="W379" s="110">
        <v>0</v>
      </c>
      <c r="X379" s="259">
        <v>0</v>
      </c>
      <c r="Y379" s="259">
        <v>0</v>
      </c>
      <c r="Z379" s="259">
        <v>0</v>
      </c>
      <c r="AA379" s="226">
        <v>0</v>
      </c>
      <c r="AB379" s="219"/>
      <c r="AC379" s="219"/>
      <c r="AD379" s="219"/>
      <c r="AE379" s="219"/>
      <c r="AF379" s="219"/>
      <c r="AG379" s="100"/>
      <c r="AH379" s="230"/>
    </row>
    <row r="380" spans="1:34" s="229" customFormat="1" ht="90" hidden="1" customHeight="1">
      <c r="A380" s="101">
        <f t="shared" si="20"/>
        <v>99</v>
      </c>
      <c r="B380" s="103" t="s">
        <v>820</v>
      </c>
      <c r="C380" s="104" t="s">
        <v>134</v>
      </c>
      <c r="D380" s="103" t="s">
        <v>822</v>
      </c>
      <c r="E380" s="104" t="s">
        <v>114</v>
      </c>
      <c r="F380" s="103" t="s">
        <v>88</v>
      </c>
      <c r="G380" s="106" t="s">
        <v>821</v>
      </c>
      <c r="H380" s="102" t="s">
        <v>21</v>
      </c>
      <c r="I380" s="103" t="s">
        <v>808</v>
      </c>
      <c r="J380" s="224">
        <v>42278</v>
      </c>
      <c r="K380" s="224"/>
      <c r="L380" s="224">
        <f t="shared" si="18"/>
        <v>42278</v>
      </c>
      <c r="M380" s="224">
        <v>42428</v>
      </c>
      <c r="N380" s="224"/>
      <c r="O380" s="224">
        <f t="shared" si="19"/>
        <v>42428</v>
      </c>
      <c r="P380" s="105" t="s">
        <v>122</v>
      </c>
      <c r="Q380" s="103" t="s">
        <v>251</v>
      </c>
      <c r="R380" s="103"/>
      <c r="S380" s="104" t="s">
        <v>138</v>
      </c>
      <c r="T380" s="104"/>
      <c r="U380" s="110">
        <f>+(2*190000+15*10000)*1.23</f>
        <v>651900</v>
      </c>
      <c r="V380" s="109"/>
      <c r="W380" s="110">
        <v>0</v>
      </c>
      <c r="X380" s="259">
        <v>0</v>
      </c>
      <c r="Y380" s="259">
        <v>0</v>
      </c>
      <c r="Z380" s="259">
        <v>0</v>
      </c>
      <c r="AA380" s="226">
        <v>0</v>
      </c>
      <c r="AB380" s="219"/>
      <c r="AC380" s="219"/>
      <c r="AD380" s="219"/>
      <c r="AE380" s="219"/>
      <c r="AF380" s="219"/>
      <c r="AG380" s="100"/>
      <c r="AH380" s="230"/>
    </row>
    <row r="381" spans="1:34" s="229" customFormat="1" ht="90" hidden="1" customHeight="1">
      <c r="A381" s="101">
        <f t="shared" si="20"/>
        <v>100</v>
      </c>
      <c r="B381" s="103" t="s">
        <v>823</v>
      </c>
      <c r="C381" s="104" t="s">
        <v>140</v>
      </c>
      <c r="D381" s="103" t="s">
        <v>825</v>
      </c>
      <c r="E381" s="104" t="s">
        <v>114</v>
      </c>
      <c r="F381" s="103" t="s">
        <v>88</v>
      </c>
      <c r="G381" s="106" t="s">
        <v>824</v>
      </c>
      <c r="H381" s="102" t="s">
        <v>25</v>
      </c>
      <c r="I381" s="103" t="s">
        <v>808</v>
      </c>
      <c r="J381" s="224">
        <v>42278</v>
      </c>
      <c r="K381" s="224"/>
      <c r="L381" s="224">
        <f t="shared" si="18"/>
        <v>42278</v>
      </c>
      <c r="M381" s="224">
        <v>42428</v>
      </c>
      <c r="N381" s="224"/>
      <c r="O381" s="224">
        <f t="shared" si="19"/>
        <v>42428</v>
      </c>
      <c r="P381" s="105" t="s">
        <v>122</v>
      </c>
      <c r="Q381" s="103" t="s">
        <v>251</v>
      </c>
      <c r="R381" s="103"/>
      <c r="S381" s="104" t="s">
        <v>138</v>
      </c>
      <c r="T381" s="104"/>
      <c r="U381" s="110">
        <f>+(12*190000+10*10000)*1.23</f>
        <v>2927400</v>
      </c>
      <c r="V381" s="109"/>
      <c r="W381" s="110">
        <v>0</v>
      </c>
      <c r="X381" s="259">
        <v>0</v>
      </c>
      <c r="Y381" s="259">
        <v>0</v>
      </c>
      <c r="Z381" s="259">
        <v>0</v>
      </c>
      <c r="AA381" s="226">
        <v>0</v>
      </c>
      <c r="AB381" s="219"/>
      <c r="AC381" s="219"/>
      <c r="AD381" s="219"/>
      <c r="AE381" s="219"/>
      <c r="AF381" s="219"/>
      <c r="AG381" s="100"/>
      <c r="AH381" s="230"/>
    </row>
    <row r="382" spans="1:34" s="229" customFormat="1" ht="90" hidden="1" customHeight="1">
      <c r="A382" s="101">
        <f t="shared" si="20"/>
        <v>101</v>
      </c>
      <c r="B382" s="103" t="s">
        <v>826</v>
      </c>
      <c r="C382" s="104" t="s">
        <v>140</v>
      </c>
      <c r="D382" s="103" t="s">
        <v>827</v>
      </c>
      <c r="E382" s="104" t="s">
        <v>114</v>
      </c>
      <c r="F382" s="103" t="s">
        <v>88</v>
      </c>
      <c r="G382" s="106" t="s">
        <v>381</v>
      </c>
      <c r="H382" s="102" t="s">
        <v>25</v>
      </c>
      <c r="I382" s="103" t="s">
        <v>808</v>
      </c>
      <c r="J382" s="224">
        <v>42278</v>
      </c>
      <c r="K382" s="224"/>
      <c r="L382" s="224">
        <f t="shared" si="18"/>
        <v>42278</v>
      </c>
      <c r="M382" s="224">
        <v>42428</v>
      </c>
      <c r="N382" s="224"/>
      <c r="O382" s="224">
        <f t="shared" si="19"/>
        <v>42428</v>
      </c>
      <c r="P382" s="105" t="s">
        <v>122</v>
      </c>
      <c r="Q382" s="103" t="s">
        <v>251</v>
      </c>
      <c r="R382" s="103"/>
      <c r="S382" s="104" t="s">
        <v>138</v>
      </c>
      <c r="T382" s="104"/>
      <c r="U382" s="110">
        <f>+(3*190000+10*10000)*1.23</f>
        <v>824100</v>
      </c>
      <c r="V382" s="109"/>
      <c r="W382" s="110">
        <v>0</v>
      </c>
      <c r="X382" s="259">
        <v>0</v>
      </c>
      <c r="Y382" s="259">
        <v>0</v>
      </c>
      <c r="Z382" s="259">
        <v>0</v>
      </c>
      <c r="AA382" s="226">
        <v>0</v>
      </c>
      <c r="AB382" s="219"/>
      <c r="AC382" s="219"/>
      <c r="AD382" s="219"/>
      <c r="AE382" s="219"/>
      <c r="AF382" s="219"/>
      <c r="AG382" s="100"/>
      <c r="AH382" s="230"/>
    </row>
    <row r="383" spans="1:34" s="229" customFormat="1" ht="90" hidden="1" customHeight="1">
      <c r="A383" s="101">
        <f t="shared" si="20"/>
        <v>102</v>
      </c>
      <c r="B383" s="103" t="s">
        <v>828</v>
      </c>
      <c r="C383" s="104" t="s">
        <v>134</v>
      </c>
      <c r="D383" s="103" t="s">
        <v>829</v>
      </c>
      <c r="E383" s="104" t="s">
        <v>114</v>
      </c>
      <c r="F383" s="103" t="s">
        <v>88</v>
      </c>
      <c r="G383" s="106" t="s">
        <v>383</v>
      </c>
      <c r="H383" s="102" t="s">
        <v>25</v>
      </c>
      <c r="I383" s="103" t="s">
        <v>808</v>
      </c>
      <c r="J383" s="224">
        <v>42278</v>
      </c>
      <c r="K383" s="224"/>
      <c r="L383" s="224">
        <f t="shared" si="18"/>
        <v>42278</v>
      </c>
      <c r="M383" s="224">
        <v>42428</v>
      </c>
      <c r="N383" s="224"/>
      <c r="O383" s="224">
        <f t="shared" si="19"/>
        <v>42428</v>
      </c>
      <c r="P383" s="105" t="s">
        <v>122</v>
      </c>
      <c r="Q383" s="103" t="s">
        <v>251</v>
      </c>
      <c r="R383" s="103"/>
      <c r="S383" s="104" t="s">
        <v>334</v>
      </c>
      <c r="T383" s="104"/>
      <c r="U383" s="110">
        <f>+(10*10000)*1.23</f>
        <v>123000</v>
      </c>
      <c r="V383" s="109"/>
      <c r="W383" s="110">
        <v>0</v>
      </c>
      <c r="X383" s="259">
        <v>0</v>
      </c>
      <c r="Y383" s="259">
        <v>0</v>
      </c>
      <c r="Z383" s="259">
        <v>0</v>
      </c>
      <c r="AA383" s="226">
        <v>0</v>
      </c>
      <c r="AB383" s="219"/>
      <c r="AC383" s="219"/>
      <c r="AD383" s="219"/>
      <c r="AE383" s="219"/>
      <c r="AF383" s="219"/>
      <c r="AG383" s="100"/>
      <c r="AH383" s="230"/>
    </row>
    <row r="384" spans="1:34" s="229" customFormat="1" ht="90" hidden="1" customHeight="1">
      <c r="A384" s="101">
        <f t="shared" si="20"/>
        <v>103</v>
      </c>
      <c r="B384" s="103" t="s">
        <v>830</v>
      </c>
      <c r="C384" s="104" t="s">
        <v>134</v>
      </c>
      <c r="D384" s="103" t="s">
        <v>831</v>
      </c>
      <c r="E384" s="104" t="s">
        <v>114</v>
      </c>
      <c r="F384" s="103" t="s">
        <v>88</v>
      </c>
      <c r="G384" s="106" t="s">
        <v>824</v>
      </c>
      <c r="H384" s="102" t="s">
        <v>25</v>
      </c>
      <c r="I384" s="103" t="s">
        <v>808</v>
      </c>
      <c r="J384" s="224">
        <v>42278</v>
      </c>
      <c r="K384" s="224"/>
      <c r="L384" s="224">
        <f t="shared" ref="L384:L401" si="22">J384+(K384*31)</f>
        <v>42278</v>
      </c>
      <c r="M384" s="224">
        <v>42428</v>
      </c>
      <c r="N384" s="224"/>
      <c r="O384" s="224">
        <f t="shared" si="19"/>
        <v>42428</v>
      </c>
      <c r="P384" s="105" t="s">
        <v>122</v>
      </c>
      <c r="Q384" s="103" t="s">
        <v>251</v>
      </c>
      <c r="R384" s="103"/>
      <c r="S384" s="104" t="s">
        <v>334</v>
      </c>
      <c r="T384" s="104"/>
      <c r="U384" s="110">
        <f>+(8*10000)*1.23</f>
        <v>98400</v>
      </c>
      <c r="V384" s="109"/>
      <c r="W384" s="110">
        <v>0</v>
      </c>
      <c r="X384" s="259">
        <v>0</v>
      </c>
      <c r="Y384" s="259">
        <v>0</v>
      </c>
      <c r="Z384" s="259">
        <v>0</v>
      </c>
      <c r="AA384" s="226">
        <v>0</v>
      </c>
      <c r="AB384" s="219"/>
      <c r="AC384" s="219"/>
      <c r="AD384" s="219"/>
      <c r="AE384" s="219"/>
      <c r="AF384" s="219"/>
      <c r="AG384" s="100"/>
      <c r="AH384" s="230"/>
    </row>
    <row r="385" spans="1:256" s="229" customFormat="1" ht="90" hidden="1" customHeight="1">
      <c r="A385" s="101">
        <f t="shared" si="20"/>
        <v>104</v>
      </c>
      <c r="B385" s="103" t="s">
        <v>832</v>
      </c>
      <c r="C385" s="104" t="s">
        <v>134</v>
      </c>
      <c r="D385" s="103" t="s">
        <v>831</v>
      </c>
      <c r="E385" s="104" t="s">
        <v>114</v>
      </c>
      <c r="F385" s="103" t="s">
        <v>88</v>
      </c>
      <c r="G385" s="106" t="s">
        <v>617</v>
      </c>
      <c r="H385" s="102" t="s">
        <v>25</v>
      </c>
      <c r="I385" s="103" t="s">
        <v>808</v>
      </c>
      <c r="J385" s="224">
        <v>42125</v>
      </c>
      <c r="K385" s="224"/>
      <c r="L385" s="224">
        <f t="shared" si="22"/>
        <v>42125</v>
      </c>
      <c r="M385" s="224">
        <v>42247</v>
      </c>
      <c r="N385" s="224"/>
      <c r="O385" s="224">
        <f t="shared" si="19"/>
        <v>42247</v>
      </c>
      <c r="P385" s="105" t="s">
        <v>122</v>
      </c>
      <c r="Q385" s="103" t="s">
        <v>251</v>
      </c>
      <c r="R385" s="103"/>
      <c r="S385" s="104" t="s">
        <v>334</v>
      </c>
      <c r="T385" s="104"/>
      <c r="U385" s="110">
        <f>+(8*10000)*1.23</f>
        <v>98400</v>
      </c>
      <c r="V385" s="109"/>
      <c r="W385" s="110">
        <v>0</v>
      </c>
      <c r="X385" s="259">
        <v>0</v>
      </c>
      <c r="Y385" s="259">
        <v>0</v>
      </c>
      <c r="Z385" s="259">
        <v>0</v>
      </c>
      <c r="AA385" s="226">
        <v>0</v>
      </c>
      <c r="AB385" s="219"/>
      <c r="AC385" s="219"/>
      <c r="AD385" s="219"/>
      <c r="AE385" s="219"/>
      <c r="AF385" s="219"/>
      <c r="AG385" s="100"/>
      <c r="AH385" s="231"/>
      <c r="AI385" s="232"/>
      <c r="AJ385" s="232"/>
      <c r="AK385" s="232"/>
      <c r="AL385" s="232"/>
      <c r="AM385" s="232"/>
      <c r="AN385" s="232"/>
      <c r="AO385" s="232"/>
      <c r="AP385" s="232"/>
      <c r="AQ385" s="232"/>
      <c r="AR385" s="232"/>
      <c r="AS385" s="232"/>
      <c r="AT385" s="232"/>
      <c r="AU385" s="232"/>
      <c r="AV385" s="232"/>
      <c r="AW385" s="232"/>
      <c r="AX385" s="232"/>
      <c r="AY385" s="232"/>
      <c r="AZ385" s="232"/>
      <c r="BA385" s="232"/>
      <c r="BB385" s="232"/>
      <c r="BC385" s="232"/>
      <c r="BD385" s="232"/>
      <c r="BE385" s="232"/>
      <c r="BF385" s="232"/>
      <c r="BG385" s="232"/>
      <c r="BH385" s="232"/>
      <c r="BI385" s="232"/>
      <c r="BJ385" s="232"/>
      <c r="BK385" s="232"/>
      <c r="BL385" s="232"/>
      <c r="BM385" s="232"/>
      <c r="BN385" s="232"/>
      <c r="BO385" s="232"/>
      <c r="BP385" s="232"/>
      <c r="BQ385" s="232"/>
      <c r="BR385" s="232"/>
      <c r="BS385" s="232"/>
      <c r="BT385" s="232"/>
      <c r="BU385" s="232"/>
      <c r="BV385" s="232"/>
      <c r="BW385" s="232"/>
      <c r="BX385" s="232"/>
      <c r="BY385" s="232"/>
      <c r="BZ385" s="232"/>
      <c r="CA385" s="232"/>
      <c r="CB385" s="232"/>
      <c r="CC385" s="232"/>
      <c r="CD385" s="232"/>
      <c r="CE385" s="232"/>
      <c r="CF385" s="232"/>
      <c r="CG385" s="232"/>
      <c r="CH385" s="232"/>
      <c r="CI385" s="232"/>
      <c r="CJ385" s="232"/>
      <c r="CK385" s="232"/>
      <c r="CL385" s="232"/>
      <c r="CM385" s="232"/>
      <c r="CN385" s="232"/>
      <c r="CO385" s="232"/>
      <c r="CP385" s="232"/>
      <c r="CQ385" s="232"/>
      <c r="CR385" s="232"/>
      <c r="CS385" s="232"/>
      <c r="CT385" s="232"/>
      <c r="CU385" s="232"/>
      <c r="CV385" s="232"/>
      <c r="CW385" s="232"/>
      <c r="CX385" s="232"/>
      <c r="CY385" s="232"/>
      <c r="CZ385" s="232"/>
      <c r="DA385" s="232"/>
      <c r="DB385" s="232"/>
      <c r="DC385" s="232"/>
      <c r="DD385" s="232"/>
      <c r="DE385" s="232"/>
      <c r="DF385" s="232"/>
      <c r="DG385" s="232"/>
      <c r="DH385" s="232"/>
      <c r="DI385" s="232"/>
      <c r="DJ385" s="232"/>
      <c r="DK385" s="232"/>
      <c r="DL385" s="232"/>
      <c r="DM385" s="232"/>
      <c r="DN385" s="232"/>
      <c r="DO385" s="232"/>
      <c r="DP385" s="232"/>
      <c r="DQ385" s="232"/>
      <c r="DR385" s="232"/>
      <c r="DS385" s="232"/>
      <c r="DT385" s="232"/>
      <c r="DU385" s="232"/>
      <c r="DV385" s="232"/>
      <c r="DW385" s="232"/>
      <c r="DX385" s="232"/>
      <c r="DY385" s="232"/>
      <c r="DZ385" s="232"/>
      <c r="EA385" s="232"/>
      <c r="EB385" s="232"/>
      <c r="EC385" s="232"/>
      <c r="ED385" s="232"/>
      <c r="EE385" s="232"/>
      <c r="EF385" s="232"/>
      <c r="EG385" s="232"/>
      <c r="EH385" s="232"/>
      <c r="EI385" s="232"/>
      <c r="EJ385" s="232"/>
      <c r="EK385" s="232"/>
      <c r="EL385" s="232"/>
      <c r="EM385" s="232"/>
      <c r="EN385" s="232"/>
      <c r="EO385" s="232"/>
      <c r="EP385" s="232"/>
      <c r="EQ385" s="232"/>
      <c r="ER385" s="232"/>
      <c r="ES385" s="232"/>
      <c r="ET385" s="232"/>
      <c r="EU385" s="232"/>
      <c r="EV385" s="232"/>
      <c r="EW385" s="232"/>
      <c r="EX385" s="232"/>
      <c r="EY385" s="232"/>
      <c r="EZ385" s="232"/>
      <c r="FA385" s="232"/>
      <c r="FB385" s="232"/>
      <c r="FC385" s="232"/>
      <c r="FD385" s="232"/>
      <c r="FE385" s="232"/>
      <c r="FF385" s="232"/>
      <c r="FG385" s="232"/>
      <c r="FH385" s="232"/>
      <c r="FI385" s="232"/>
      <c r="FJ385" s="232"/>
      <c r="FK385" s="232"/>
      <c r="FL385" s="232"/>
      <c r="FM385" s="232"/>
      <c r="FN385" s="232"/>
      <c r="FO385" s="232"/>
      <c r="FP385" s="232"/>
      <c r="FQ385" s="232"/>
      <c r="FR385" s="232"/>
      <c r="FS385" s="232"/>
      <c r="FT385" s="232"/>
      <c r="FU385" s="232"/>
      <c r="FV385" s="232"/>
      <c r="FW385" s="232"/>
      <c r="FX385" s="232"/>
      <c r="FY385" s="232"/>
      <c r="FZ385" s="232"/>
      <c r="GA385" s="232"/>
      <c r="GB385" s="232"/>
      <c r="GC385" s="232"/>
      <c r="GD385" s="232"/>
      <c r="GE385" s="232"/>
      <c r="GF385" s="232"/>
      <c r="GG385" s="232"/>
      <c r="GH385" s="232"/>
      <c r="GI385" s="232"/>
      <c r="GJ385" s="232"/>
      <c r="GK385" s="232"/>
      <c r="GL385" s="232"/>
      <c r="GM385" s="232"/>
      <c r="GN385" s="232"/>
      <c r="GO385" s="232"/>
      <c r="GP385" s="232"/>
      <c r="GQ385" s="232"/>
      <c r="GR385" s="232"/>
      <c r="GS385" s="232"/>
      <c r="GT385" s="232"/>
      <c r="GU385" s="232"/>
      <c r="GV385" s="232"/>
      <c r="GW385" s="232"/>
      <c r="GX385" s="232"/>
      <c r="GY385" s="232"/>
      <c r="GZ385" s="232"/>
      <c r="HA385" s="232"/>
      <c r="HB385" s="232"/>
      <c r="HC385" s="232"/>
      <c r="HD385" s="232"/>
      <c r="HE385" s="232"/>
      <c r="HF385" s="232"/>
      <c r="HG385" s="232"/>
      <c r="HH385" s="232"/>
      <c r="HI385" s="232"/>
      <c r="HJ385" s="232"/>
      <c r="HK385" s="232"/>
      <c r="HL385" s="232"/>
      <c r="HM385" s="232"/>
      <c r="HN385" s="232"/>
      <c r="HO385" s="232"/>
      <c r="HP385" s="232"/>
      <c r="HQ385" s="232"/>
      <c r="HR385" s="232"/>
      <c r="HS385" s="232"/>
      <c r="HT385" s="232"/>
      <c r="HU385" s="232"/>
      <c r="HV385" s="232"/>
      <c r="HW385" s="232"/>
      <c r="HX385" s="232"/>
      <c r="HY385" s="232"/>
      <c r="HZ385" s="232"/>
      <c r="IA385" s="232"/>
      <c r="IB385" s="232"/>
      <c r="IC385" s="232"/>
      <c r="ID385" s="232"/>
      <c r="IE385" s="232"/>
      <c r="IF385" s="232"/>
      <c r="IG385" s="232"/>
      <c r="IH385" s="232"/>
      <c r="II385" s="232"/>
      <c r="IJ385" s="232"/>
      <c r="IK385" s="232"/>
      <c r="IL385" s="232"/>
      <c r="IM385" s="232"/>
      <c r="IN385" s="232"/>
      <c r="IO385" s="232"/>
      <c r="IP385" s="232"/>
      <c r="IQ385" s="232"/>
      <c r="IR385" s="232"/>
      <c r="IS385" s="232"/>
      <c r="IT385" s="232"/>
      <c r="IU385" s="232"/>
      <c r="IV385" s="232"/>
    </row>
    <row r="386" spans="1:256" s="182" customFormat="1" ht="33.75">
      <c r="A386" s="346">
        <v>41</v>
      </c>
      <c r="B386" s="347" t="s">
        <v>1329</v>
      </c>
      <c r="C386" s="348" t="s">
        <v>134</v>
      </c>
      <c r="D386" s="347" t="s">
        <v>831</v>
      </c>
      <c r="E386" s="104" t="s">
        <v>114</v>
      </c>
      <c r="F386" s="353" t="s">
        <v>88</v>
      </c>
      <c r="G386" s="353" t="s">
        <v>328</v>
      </c>
      <c r="H386" s="348" t="s">
        <v>25</v>
      </c>
      <c r="I386" s="353" t="s">
        <v>124</v>
      </c>
      <c r="J386" s="351" t="s">
        <v>83</v>
      </c>
      <c r="K386" s="352" t="s">
        <v>83</v>
      </c>
      <c r="L386" s="351" t="s">
        <v>83</v>
      </c>
      <c r="M386" s="351">
        <v>42023</v>
      </c>
      <c r="N386" s="352">
        <v>4</v>
      </c>
      <c r="O386" s="351">
        <v>42139</v>
      </c>
      <c r="P386" s="353" t="s">
        <v>122</v>
      </c>
      <c r="Q386" s="353" t="s">
        <v>251</v>
      </c>
      <c r="R386" s="353" t="s">
        <v>65</v>
      </c>
      <c r="S386" s="348" t="s">
        <v>118</v>
      </c>
      <c r="T386" s="348" t="s">
        <v>119</v>
      </c>
      <c r="U386" s="354">
        <v>1271442</v>
      </c>
      <c r="V386" s="109"/>
      <c r="W386" s="110">
        <v>0</v>
      </c>
      <c r="X386" s="355">
        <f>+U386*0.8</f>
        <v>1017153.6000000001</v>
      </c>
      <c r="Y386" s="355">
        <v>0</v>
      </c>
      <c r="Z386" s="355">
        <v>0</v>
      </c>
      <c r="AA386" s="356" t="s">
        <v>132</v>
      </c>
      <c r="AB386" s="357"/>
      <c r="AC386" s="357"/>
      <c r="AD386" s="357"/>
      <c r="AE386" s="357"/>
      <c r="AF386" s="357"/>
      <c r="AG386" s="147"/>
    </row>
    <row r="387" spans="1:256" s="229" customFormat="1" ht="90" hidden="1" customHeight="1">
      <c r="A387" s="101">
        <f t="shared" si="20"/>
        <v>42</v>
      </c>
      <c r="B387" s="103" t="s">
        <v>833</v>
      </c>
      <c r="C387" s="104" t="s">
        <v>134</v>
      </c>
      <c r="D387" s="103" t="s">
        <v>835</v>
      </c>
      <c r="E387" s="104" t="s">
        <v>114</v>
      </c>
      <c r="F387" s="103" t="s">
        <v>88</v>
      </c>
      <c r="G387" s="106" t="s">
        <v>834</v>
      </c>
      <c r="H387" s="102" t="s">
        <v>95</v>
      </c>
      <c r="I387" s="103" t="s">
        <v>808</v>
      </c>
      <c r="J387" s="224">
        <v>42278</v>
      </c>
      <c r="K387" s="224"/>
      <c r="L387" s="224">
        <f t="shared" si="22"/>
        <v>42278</v>
      </c>
      <c r="M387" s="224">
        <v>42428</v>
      </c>
      <c r="N387" s="224"/>
      <c r="O387" s="224">
        <f t="shared" si="19"/>
        <v>42428</v>
      </c>
      <c r="P387" s="105" t="s">
        <v>122</v>
      </c>
      <c r="Q387" s="103" t="s">
        <v>251</v>
      </c>
      <c r="R387" s="103"/>
      <c r="S387" s="104" t="s">
        <v>334</v>
      </c>
      <c r="T387" s="104"/>
      <c r="U387" s="110">
        <f>+(6*10000)*1.23</f>
        <v>73800</v>
      </c>
      <c r="V387" s="109"/>
      <c r="W387" s="110">
        <v>0</v>
      </c>
      <c r="X387" s="259">
        <v>0</v>
      </c>
      <c r="Y387" s="259">
        <v>0</v>
      </c>
      <c r="Z387" s="259">
        <v>0</v>
      </c>
      <c r="AA387" s="226">
        <v>0</v>
      </c>
      <c r="AB387" s="219"/>
      <c r="AC387" s="219"/>
      <c r="AD387" s="219"/>
      <c r="AE387" s="219"/>
      <c r="AF387" s="219"/>
      <c r="AG387" s="100"/>
      <c r="AH387" s="227"/>
      <c r="AI387" s="228"/>
      <c r="AJ387" s="228"/>
      <c r="AK387" s="228"/>
      <c r="AL387" s="228"/>
      <c r="AM387" s="228"/>
      <c r="AN387" s="228"/>
      <c r="AO387" s="228"/>
      <c r="AP387" s="228"/>
      <c r="AQ387" s="228"/>
      <c r="AR387" s="228"/>
      <c r="AS387" s="228"/>
      <c r="AT387" s="228"/>
      <c r="AU387" s="228"/>
      <c r="AV387" s="228"/>
      <c r="AW387" s="228"/>
      <c r="AX387" s="228"/>
      <c r="AY387" s="228"/>
      <c r="AZ387" s="228"/>
      <c r="BA387" s="228"/>
      <c r="BB387" s="228"/>
      <c r="BC387" s="228"/>
      <c r="BD387" s="228"/>
      <c r="BE387" s="228"/>
      <c r="BF387" s="228"/>
      <c r="BG387" s="228"/>
      <c r="BH387" s="228"/>
      <c r="BI387" s="228"/>
      <c r="BJ387" s="228"/>
      <c r="BK387" s="228"/>
      <c r="BL387" s="228"/>
      <c r="BM387" s="228"/>
      <c r="BN387" s="228"/>
      <c r="BO387" s="228"/>
      <c r="BP387" s="228"/>
      <c r="BQ387" s="228"/>
      <c r="BR387" s="228"/>
      <c r="BS387" s="228"/>
      <c r="BT387" s="228"/>
      <c r="BU387" s="228"/>
      <c r="BV387" s="228"/>
      <c r="BW387" s="228"/>
      <c r="BX387" s="228"/>
      <c r="BY387" s="228"/>
      <c r="BZ387" s="228"/>
      <c r="CA387" s="228"/>
      <c r="CB387" s="228"/>
      <c r="CC387" s="228"/>
      <c r="CD387" s="228"/>
      <c r="CE387" s="228"/>
      <c r="CF387" s="228"/>
      <c r="CG387" s="228"/>
      <c r="CH387" s="228"/>
      <c r="CI387" s="228"/>
      <c r="CJ387" s="228"/>
      <c r="CK387" s="228"/>
      <c r="CL387" s="228"/>
      <c r="CM387" s="228"/>
      <c r="CN387" s="228"/>
      <c r="CO387" s="228"/>
      <c r="CP387" s="228"/>
      <c r="CQ387" s="228"/>
      <c r="CR387" s="228"/>
      <c r="CS387" s="228"/>
      <c r="CT387" s="228"/>
      <c r="CU387" s="228"/>
      <c r="CV387" s="228"/>
      <c r="CW387" s="228"/>
      <c r="CX387" s="228"/>
      <c r="CY387" s="228"/>
      <c r="CZ387" s="228"/>
      <c r="DA387" s="228"/>
      <c r="DB387" s="228"/>
      <c r="DC387" s="228"/>
      <c r="DD387" s="228"/>
      <c r="DE387" s="228"/>
      <c r="DF387" s="228"/>
      <c r="DG387" s="228"/>
      <c r="DH387" s="228"/>
      <c r="DI387" s="228"/>
      <c r="DJ387" s="228"/>
      <c r="DK387" s="228"/>
      <c r="DL387" s="228"/>
      <c r="DM387" s="228"/>
      <c r="DN387" s="228"/>
      <c r="DO387" s="228"/>
      <c r="DP387" s="228"/>
      <c r="DQ387" s="228"/>
      <c r="DR387" s="228"/>
      <c r="DS387" s="228"/>
      <c r="DT387" s="228"/>
      <c r="DU387" s="228"/>
      <c r="DV387" s="228"/>
      <c r="DW387" s="228"/>
      <c r="DX387" s="228"/>
      <c r="DY387" s="228"/>
      <c r="DZ387" s="228"/>
      <c r="EA387" s="228"/>
      <c r="EB387" s="228"/>
      <c r="EC387" s="228"/>
      <c r="ED387" s="228"/>
      <c r="EE387" s="228"/>
      <c r="EF387" s="228"/>
      <c r="EG387" s="228"/>
      <c r="EH387" s="228"/>
      <c r="EI387" s="228"/>
      <c r="EJ387" s="228"/>
      <c r="EK387" s="228"/>
      <c r="EL387" s="228"/>
      <c r="EM387" s="228"/>
      <c r="EN387" s="228"/>
      <c r="EO387" s="228"/>
      <c r="EP387" s="228"/>
      <c r="EQ387" s="228"/>
      <c r="ER387" s="228"/>
      <c r="ES387" s="228"/>
      <c r="ET387" s="228"/>
      <c r="EU387" s="228"/>
      <c r="EV387" s="228"/>
      <c r="EW387" s="228"/>
      <c r="EX387" s="228"/>
      <c r="EY387" s="228"/>
      <c r="EZ387" s="228"/>
      <c r="FA387" s="228"/>
      <c r="FB387" s="228"/>
      <c r="FC387" s="228"/>
      <c r="FD387" s="228"/>
      <c r="FE387" s="228"/>
      <c r="FF387" s="228"/>
      <c r="FG387" s="228"/>
      <c r="FH387" s="228"/>
      <c r="FI387" s="228"/>
      <c r="FJ387" s="228"/>
      <c r="FK387" s="228"/>
      <c r="FL387" s="228"/>
      <c r="FM387" s="228"/>
      <c r="FN387" s="228"/>
      <c r="FO387" s="228"/>
      <c r="FP387" s="228"/>
      <c r="FQ387" s="228"/>
      <c r="FR387" s="228"/>
      <c r="FS387" s="228"/>
      <c r="FT387" s="228"/>
      <c r="FU387" s="228"/>
      <c r="FV387" s="228"/>
      <c r="FW387" s="228"/>
      <c r="FX387" s="228"/>
      <c r="FY387" s="228"/>
      <c r="FZ387" s="228"/>
      <c r="GA387" s="228"/>
      <c r="GB387" s="228"/>
      <c r="GC387" s="228"/>
      <c r="GD387" s="228"/>
      <c r="GE387" s="228"/>
      <c r="GF387" s="228"/>
      <c r="GG387" s="228"/>
      <c r="GH387" s="228"/>
      <c r="GI387" s="228"/>
      <c r="GJ387" s="228"/>
      <c r="GK387" s="228"/>
      <c r="GL387" s="228"/>
      <c r="GM387" s="228"/>
      <c r="GN387" s="228"/>
      <c r="GO387" s="228"/>
      <c r="GP387" s="228"/>
      <c r="GQ387" s="228"/>
      <c r="GR387" s="228"/>
      <c r="GS387" s="228"/>
      <c r="GT387" s="228"/>
      <c r="GU387" s="228"/>
      <c r="GV387" s="228"/>
      <c r="GW387" s="228"/>
      <c r="GX387" s="228"/>
      <c r="GY387" s="228"/>
      <c r="GZ387" s="228"/>
      <c r="HA387" s="228"/>
      <c r="HB387" s="228"/>
      <c r="HC387" s="228"/>
      <c r="HD387" s="228"/>
      <c r="HE387" s="228"/>
      <c r="HF387" s="228"/>
      <c r="HG387" s="228"/>
      <c r="HH387" s="228"/>
      <c r="HI387" s="228"/>
      <c r="HJ387" s="228"/>
      <c r="HK387" s="228"/>
      <c r="HL387" s="228"/>
      <c r="HM387" s="228"/>
      <c r="HN387" s="228"/>
      <c r="HO387" s="228"/>
      <c r="HP387" s="228"/>
      <c r="HQ387" s="228"/>
      <c r="HR387" s="228"/>
      <c r="HS387" s="228"/>
      <c r="HT387" s="228"/>
      <c r="HU387" s="228"/>
      <c r="HV387" s="228"/>
      <c r="HW387" s="228"/>
      <c r="HX387" s="228"/>
      <c r="HY387" s="228"/>
      <c r="HZ387" s="228"/>
      <c r="IA387" s="228"/>
      <c r="IB387" s="228"/>
      <c r="IC387" s="228"/>
      <c r="ID387" s="228"/>
      <c r="IE387" s="228"/>
      <c r="IF387" s="228"/>
      <c r="IG387" s="228"/>
      <c r="IH387" s="228"/>
      <c r="II387" s="228"/>
      <c r="IJ387" s="228"/>
      <c r="IK387" s="228"/>
      <c r="IL387" s="228"/>
      <c r="IM387" s="228"/>
      <c r="IN387" s="228"/>
      <c r="IO387" s="228"/>
      <c r="IP387" s="228"/>
      <c r="IQ387" s="228"/>
      <c r="IR387" s="228"/>
      <c r="IS387" s="228"/>
      <c r="IT387" s="228"/>
      <c r="IU387" s="228"/>
      <c r="IV387" s="228"/>
    </row>
    <row r="388" spans="1:256" s="229" customFormat="1" ht="90" hidden="1" customHeight="1">
      <c r="A388" s="101">
        <f t="shared" si="20"/>
        <v>43</v>
      </c>
      <c r="B388" s="103" t="s">
        <v>836</v>
      </c>
      <c r="C388" s="104" t="s">
        <v>140</v>
      </c>
      <c r="D388" s="103" t="s">
        <v>837</v>
      </c>
      <c r="E388" s="104" t="s">
        <v>114</v>
      </c>
      <c r="F388" s="103" t="s">
        <v>88</v>
      </c>
      <c r="G388" s="106" t="s">
        <v>195</v>
      </c>
      <c r="H388" s="102" t="s">
        <v>21</v>
      </c>
      <c r="I388" s="103" t="s">
        <v>173</v>
      </c>
      <c r="J388" s="224"/>
      <c r="K388" s="224"/>
      <c r="L388" s="224">
        <f t="shared" si="22"/>
        <v>0</v>
      </c>
      <c r="M388" s="224"/>
      <c r="N388" s="224"/>
      <c r="O388" s="224">
        <f t="shared" si="19"/>
        <v>0</v>
      </c>
      <c r="P388" s="105" t="s">
        <v>122</v>
      </c>
      <c r="Q388" s="103" t="s">
        <v>123</v>
      </c>
      <c r="R388" s="103"/>
      <c r="S388" s="104" t="s">
        <v>138</v>
      </c>
      <c r="T388" s="104"/>
      <c r="U388" s="110">
        <f>+(1350000)*1.23</f>
        <v>1660500</v>
      </c>
      <c r="V388" s="109"/>
      <c r="W388" s="110">
        <v>0</v>
      </c>
      <c r="X388" s="259">
        <v>0</v>
      </c>
      <c r="Y388" s="260">
        <f>+U388</f>
        <v>1660500</v>
      </c>
      <c r="Z388" s="259">
        <v>0</v>
      </c>
      <c r="AA388" s="226">
        <v>0</v>
      </c>
      <c r="AB388" s="219"/>
      <c r="AC388" s="219"/>
      <c r="AD388" s="219"/>
      <c r="AE388" s="219"/>
      <c r="AF388" s="219"/>
      <c r="AG388" s="100"/>
      <c r="AH388" s="230"/>
    </row>
    <row r="389" spans="1:256" s="229" customFormat="1" ht="90" hidden="1" customHeight="1">
      <c r="A389" s="101">
        <f t="shared" si="20"/>
        <v>44</v>
      </c>
      <c r="B389" s="103" t="s">
        <v>838</v>
      </c>
      <c r="C389" s="104" t="s">
        <v>140</v>
      </c>
      <c r="D389" s="103" t="s">
        <v>837</v>
      </c>
      <c r="E389" s="104" t="s">
        <v>114</v>
      </c>
      <c r="F389" s="103" t="s">
        <v>88</v>
      </c>
      <c r="G389" s="106" t="s">
        <v>617</v>
      </c>
      <c r="H389" s="102" t="s">
        <v>25</v>
      </c>
      <c r="I389" s="103" t="s">
        <v>173</v>
      </c>
      <c r="J389" s="224"/>
      <c r="K389" s="224"/>
      <c r="L389" s="224">
        <f t="shared" si="22"/>
        <v>0</v>
      </c>
      <c r="M389" s="224"/>
      <c r="N389" s="224"/>
      <c r="O389" s="224">
        <f t="shared" si="19"/>
        <v>0</v>
      </c>
      <c r="P389" s="105" t="s">
        <v>122</v>
      </c>
      <c r="Q389" s="103" t="s">
        <v>123</v>
      </c>
      <c r="R389" s="103"/>
      <c r="S389" s="104" t="s">
        <v>138</v>
      </c>
      <c r="T389" s="104"/>
      <c r="U389" s="110">
        <f t="shared" ref="U389:U398" si="23">+(1350000)*1.23</f>
        <v>1660500</v>
      </c>
      <c r="V389" s="109"/>
      <c r="W389" s="110">
        <v>0</v>
      </c>
      <c r="X389" s="259">
        <v>0</v>
      </c>
      <c r="Y389" s="259">
        <v>0</v>
      </c>
      <c r="Z389" s="259">
        <f>+U389</f>
        <v>1660500</v>
      </c>
      <c r="AA389" s="226">
        <v>0</v>
      </c>
      <c r="AB389" s="219"/>
      <c r="AC389" s="219"/>
      <c r="AD389" s="219"/>
      <c r="AE389" s="219"/>
      <c r="AF389" s="219"/>
      <c r="AG389" s="100"/>
      <c r="AH389" s="230"/>
    </row>
    <row r="390" spans="1:256" s="229" customFormat="1" ht="90" hidden="1" customHeight="1">
      <c r="A390" s="101">
        <f t="shared" si="20"/>
        <v>45</v>
      </c>
      <c r="B390" s="103" t="s">
        <v>839</v>
      </c>
      <c r="C390" s="104" t="s">
        <v>134</v>
      </c>
      <c r="D390" s="103" t="s">
        <v>837</v>
      </c>
      <c r="E390" s="104" t="s">
        <v>114</v>
      </c>
      <c r="F390" s="103" t="s">
        <v>88</v>
      </c>
      <c r="G390" s="106" t="s">
        <v>255</v>
      </c>
      <c r="H390" s="102" t="s">
        <v>840</v>
      </c>
      <c r="I390" s="103" t="s">
        <v>173</v>
      </c>
      <c r="J390" s="224"/>
      <c r="K390" s="224"/>
      <c r="L390" s="224">
        <f t="shared" si="22"/>
        <v>0</v>
      </c>
      <c r="M390" s="224"/>
      <c r="N390" s="224"/>
      <c r="O390" s="224">
        <f t="shared" si="19"/>
        <v>0</v>
      </c>
      <c r="P390" s="105" t="s">
        <v>122</v>
      </c>
      <c r="Q390" s="103" t="s">
        <v>123</v>
      </c>
      <c r="R390" s="103"/>
      <c r="S390" s="104" t="s">
        <v>138</v>
      </c>
      <c r="T390" s="104"/>
      <c r="U390" s="110">
        <f t="shared" si="23"/>
        <v>1660500</v>
      </c>
      <c r="V390" s="109"/>
      <c r="W390" s="110">
        <v>0</v>
      </c>
      <c r="X390" s="259">
        <v>0</v>
      </c>
      <c r="Y390" s="260">
        <f>+U390</f>
        <v>1660500</v>
      </c>
      <c r="Z390" s="259">
        <v>0</v>
      </c>
      <c r="AA390" s="226">
        <v>0</v>
      </c>
      <c r="AB390" s="219"/>
      <c r="AC390" s="219"/>
      <c r="AD390" s="219"/>
      <c r="AE390" s="219"/>
      <c r="AF390" s="219"/>
      <c r="AG390" s="100"/>
      <c r="AH390" s="230"/>
    </row>
    <row r="391" spans="1:256" s="229" customFormat="1" ht="90" hidden="1" customHeight="1">
      <c r="A391" s="101">
        <f t="shared" si="20"/>
        <v>46</v>
      </c>
      <c r="B391" s="103" t="s">
        <v>841</v>
      </c>
      <c r="C391" s="104" t="s">
        <v>140</v>
      </c>
      <c r="D391" s="103" t="s">
        <v>837</v>
      </c>
      <c r="E391" s="104" t="s">
        <v>114</v>
      </c>
      <c r="F391" s="103" t="s">
        <v>88</v>
      </c>
      <c r="G391" s="106" t="s">
        <v>328</v>
      </c>
      <c r="H391" s="102" t="s">
        <v>25</v>
      </c>
      <c r="I391" s="103" t="s">
        <v>173</v>
      </c>
      <c r="J391" s="224"/>
      <c r="K391" s="224"/>
      <c r="L391" s="224">
        <f t="shared" si="22"/>
        <v>0</v>
      </c>
      <c r="M391" s="224"/>
      <c r="N391" s="224"/>
      <c r="O391" s="224">
        <f t="shared" si="19"/>
        <v>0</v>
      </c>
      <c r="P391" s="105" t="s">
        <v>122</v>
      </c>
      <c r="Q391" s="103" t="s">
        <v>123</v>
      </c>
      <c r="R391" s="103"/>
      <c r="S391" s="104" t="s">
        <v>138</v>
      </c>
      <c r="T391" s="104"/>
      <c r="U391" s="110">
        <f t="shared" si="23"/>
        <v>1660500</v>
      </c>
      <c r="V391" s="109"/>
      <c r="W391" s="110">
        <v>0</v>
      </c>
      <c r="X391" s="259">
        <v>0</v>
      </c>
      <c r="Y391" s="260">
        <f>+U391</f>
        <v>1660500</v>
      </c>
      <c r="Z391" s="259">
        <v>0</v>
      </c>
      <c r="AA391" s="226">
        <v>0</v>
      </c>
      <c r="AB391" s="219"/>
      <c r="AC391" s="219"/>
      <c r="AD391" s="219"/>
      <c r="AE391" s="219"/>
      <c r="AF391" s="219"/>
      <c r="AG391" s="100"/>
      <c r="AH391" s="230"/>
    </row>
    <row r="392" spans="1:256" s="229" customFormat="1" ht="90" hidden="1" customHeight="1">
      <c r="A392" s="101">
        <f t="shared" si="20"/>
        <v>47</v>
      </c>
      <c r="B392" s="103" t="s">
        <v>842</v>
      </c>
      <c r="C392" s="104" t="s">
        <v>134</v>
      </c>
      <c r="D392" s="103" t="s">
        <v>837</v>
      </c>
      <c r="E392" s="104" t="s">
        <v>114</v>
      </c>
      <c r="F392" s="103" t="s">
        <v>88</v>
      </c>
      <c r="G392" s="106" t="s">
        <v>767</v>
      </c>
      <c r="H392" s="102" t="s">
        <v>21</v>
      </c>
      <c r="I392" s="103" t="s">
        <v>173</v>
      </c>
      <c r="J392" s="224"/>
      <c r="K392" s="224"/>
      <c r="L392" s="224">
        <f t="shared" si="22"/>
        <v>0</v>
      </c>
      <c r="M392" s="224"/>
      <c r="N392" s="224"/>
      <c r="O392" s="224">
        <f t="shared" si="19"/>
        <v>0</v>
      </c>
      <c r="P392" s="105" t="s">
        <v>122</v>
      </c>
      <c r="Q392" s="103" t="s">
        <v>123</v>
      </c>
      <c r="R392" s="103"/>
      <c r="S392" s="104" t="s">
        <v>138</v>
      </c>
      <c r="T392" s="104"/>
      <c r="U392" s="110">
        <f t="shared" si="23"/>
        <v>1660500</v>
      </c>
      <c r="V392" s="109"/>
      <c r="W392" s="110">
        <v>0</v>
      </c>
      <c r="X392" s="259">
        <v>0</v>
      </c>
      <c r="Y392" s="259">
        <v>0</v>
      </c>
      <c r="Z392" s="259">
        <v>0</v>
      </c>
      <c r="AA392" s="226">
        <f>+U392</f>
        <v>1660500</v>
      </c>
      <c r="AB392" s="219"/>
      <c r="AC392" s="219"/>
      <c r="AD392" s="219"/>
      <c r="AE392" s="219"/>
      <c r="AF392" s="219"/>
      <c r="AG392" s="100"/>
      <c r="AH392" s="230"/>
    </row>
    <row r="393" spans="1:256" s="229" customFormat="1" ht="90" hidden="1" customHeight="1">
      <c r="A393" s="101">
        <f t="shared" si="20"/>
        <v>48</v>
      </c>
      <c r="B393" s="103" t="s">
        <v>843</v>
      </c>
      <c r="C393" s="104" t="s">
        <v>134</v>
      </c>
      <c r="D393" s="103" t="s">
        <v>837</v>
      </c>
      <c r="E393" s="104" t="s">
        <v>114</v>
      </c>
      <c r="F393" s="103" t="s">
        <v>88</v>
      </c>
      <c r="G393" s="106" t="s">
        <v>381</v>
      </c>
      <c r="H393" s="102" t="s">
        <v>25</v>
      </c>
      <c r="I393" s="103" t="s">
        <v>173</v>
      </c>
      <c r="J393" s="224"/>
      <c r="K393" s="224"/>
      <c r="L393" s="224">
        <f t="shared" si="22"/>
        <v>0</v>
      </c>
      <c r="M393" s="224"/>
      <c r="N393" s="224"/>
      <c r="O393" s="224">
        <f t="shared" si="19"/>
        <v>0</v>
      </c>
      <c r="P393" s="105" t="s">
        <v>122</v>
      </c>
      <c r="Q393" s="103" t="s">
        <v>123</v>
      </c>
      <c r="R393" s="103"/>
      <c r="S393" s="104" t="s">
        <v>138</v>
      </c>
      <c r="T393" s="104"/>
      <c r="U393" s="110">
        <f t="shared" si="23"/>
        <v>1660500</v>
      </c>
      <c r="V393" s="109"/>
      <c r="W393" s="110">
        <v>0</v>
      </c>
      <c r="X393" s="259">
        <v>0</v>
      </c>
      <c r="Y393" s="259">
        <v>0</v>
      </c>
      <c r="Z393" s="259">
        <v>0</v>
      </c>
      <c r="AA393" s="226">
        <f>+U393</f>
        <v>1660500</v>
      </c>
      <c r="AB393" s="219"/>
      <c r="AC393" s="219"/>
      <c r="AD393" s="219"/>
      <c r="AE393" s="219"/>
      <c r="AF393" s="219"/>
      <c r="AG393" s="100"/>
      <c r="AH393" s="230"/>
    </row>
    <row r="394" spans="1:256" s="229" customFormat="1" ht="90" hidden="1" customHeight="1">
      <c r="A394" s="101">
        <f t="shared" si="20"/>
        <v>49</v>
      </c>
      <c r="B394" s="103" t="s">
        <v>844</v>
      </c>
      <c r="C394" s="104" t="s">
        <v>138</v>
      </c>
      <c r="D394" s="103" t="s">
        <v>837</v>
      </c>
      <c r="E394" s="104" t="s">
        <v>114</v>
      </c>
      <c r="F394" s="103" t="s">
        <v>88</v>
      </c>
      <c r="G394" s="106" t="s">
        <v>381</v>
      </c>
      <c r="H394" s="102" t="s">
        <v>25</v>
      </c>
      <c r="I394" s="103" t="s">
        <v>173</v>
      </c>
      <c r="J394" s="224"/>
      <c r="K394" s="224"/>
      <c r="L394" s="224">
        <f t="shared" si="22"/>
        <v>0</v>
      </c>
      <c r="M394" s="224"/>
      <c r="N394" s="224"/>
      <c r="O394" s="224">
        <f t="shared" si="19"/>
        <v>0</v>
      </c>
      <c r="P394" s="105" t="s">
        <v>122</v>
      </c>
      <c r="Q394" s="103" t="s">
        <v>123</v>
      </c>
      <c r="R394" s="103"/>
      <c r="S394" s="104" t="s">
        <v>138</v>
      </c>
      <c r="T394" s="104"/>
      <c r="U394" s="110">
        <f t="shared" si="23"/>
        <v>1660500</v>
      </c>
      <c r="V394" s="109"/>
      <c r="W394" s="110">
        <v>0</v>
      </c>
      <c r="X394" s="259">
        <v>0</v>
      </c>
      <c r="Y394" s="260">
        <f>+U394</f>
        <v>1660500</v>
      </c>
      <c r="Z394" s="259">
        <v>0</v>
      </c>
      <c r="AA394" s="226">
        <v>0</v>
      </c>
      <c r="AB394" s="219"/>
      <c r="AC394" s="219"/>
      <c r="AD394" s="219"/>
      <c r="AE394" s="219"/>
      <c r="AF394" s="219"/>
      <c r="AG394" s="100"/>
      <c r="AH394" s="230"/>
    </row>
    <row r="395" spans="1:256" s="229" customFormat="1" ht="90" hidden="1" customHeight="1">
      <c r="A395" s="101">
        <f t="shared" si="20"/>
        <v>50</v>
      </c>
      <c r="B395" s="103" t="s">
        <v>845</v>
      </c>
      <c r="C395" s="104" t="s">
        <v>138</v>
      </c>
      <c r="D395" s="103" t="s">
        <v>837</v>
      </c>
      <c r="E395" s="104" t="s">
        <v>114</v>
      </c>
      <c r="F395" s="103" t="s">
        <v>88</v>
      </c>
      <c r="G395" s="106" t="s">
        <v>320</v>
      </c>
      <c r="H395" s="102" t="s">
        <v>23</v>
      </c>
      <c r="I395" s="103" t="s">
        <v>173</v>
      </c>
      <c r="J395" s="224"/>
      <c r="K395" s="224"/>
      <c r="L395" s="224">
        <f t="shared" si="22"/>
        <v>0</v>
      </c>
      <c r="M395" s="224"/>
      <c r="N395" s="224"/>
      <c r="O395" s="224">
        <f t="shared" si="19"/>
        <v>0</v>
      </c>
      <c r="P395" s="105" t="s">
        <v>122</v>
      </c>
      <c r="Q395" s="103" t="s">
        <v>123</v>
      </c>
      <c r="R395" s="103"/>
      <c r="S395" s="104" t="s">
        <v>138</v>
      </c>
      <c r="T395" s="104"/>
      <c r="U395" s="110">
        <f t="shared" si="23"/>
        <v>1660500</v>
      </c>
      <c r="V395" s="109"/>
      <c r="W395" s="110">
        <v>0</v>
      </c>
      <c r="X395" s="259">
        <v>0</v>
      </c>
      <c r="Y395" s="260">
        <v>0</v>
      </c>
      <c r="Z395" s="259">
        <f>+U395</f>
        <v>1660500</v>
      </c>
      <c r="AA395" s="226">
        <v>0</v>
      </c>
      <c r="AB395" s="219"/>
      <c r="AC395" s="219"/>
      <c r="AD395" s="219"/>
      <c r="AE395" s="219"/>
      <c r="AF395" s="219"/>
      <c r="AG395" s="100"/>
      <c r="AH395" s="230"/>
    </row>
    <row r="396" spans="1:256" s="229" customFormat="1" ht="90" hidden="1" customHeight="1">
      <c r="A396" s="101">
        <v>107</v>
      </c>
      <c r="B396" s="103" t="s">
        <v>846</v>
      </c>
      <c r="C396" s="104" t="s">
        <v>138</v>
      </c>
      <c r="D396" s="103" t="s">
        <v>847</v>
      </c>
      <c r="E396" s="104" t="s">
        <v>114</v>
      </c>
      <c r="F396" s="103" t="s">
        <v>88</v>
      </c>
      <c r="G396" s="106" t="s">
        <v>328</v>
      </c>
      <c r="H396" s="102" t="s">
        <v>25</v>
      </c>
      <c r="I396" s="103" t="s">
        <v>173</v>
      </c>
      <c r="J396" s="224">
        <v>42156</v>
      </c>
      <c r="K396" s="224"/>
      <c r="L396" s="224">
        <f t="shared" si="22"/>
        <v>42156</v>
      </c>
      <c r="M396" s="224">
        <v>42400</v>
      </c>
      <c r="N396" s="224"/>
      <c r="O396" s="224">
        <f t="shared" si="19"/>
        <v>42400</v>
      </c>
      <c r="P396" s="105" t="s">
        <v>122</v>
      </c>
      <c r="Q396" s="103" t="s">
        <v>123</v>
      </c>
      <c r="R396" s="103"/>
      <c r="S396" s="104" t="s">
        <v>334</v>
      </c>
      <c r="T396" s="104"/>
      <c r="U396" s="110">
        <f>+(650000)*1.23</f>
        <v>799500</v>
      </c>
      <c r="V396" s="109"/>
      <c r="W396" s="110">
        <v>0</v>
      </c>
      <c r="X396" s="259">
        <v>0</v>
      </c>
      <c r="Y396" s="259">
        <v>0</v>
      </c>
      <c r="Z396" s="259">
        <v>0</v>
      </c>
      <c r="AA396" s="226">
        <v>0</v>
      </c>
      <c r="AB396" s="219"/>
      <c r="AC396" s="219"/>
      <c r="AD396" s="219"/>
      <c r="AE396" s="219"/>
      <c r="AF396" s="219"/>
      <c r="AG396" s="100"/>
      <c r="AH396" s="230"/>
    </row>
    <row r="397" spans="1:256" s="229" customFormat="1" ht="90" hidden="1" customHeight="1">
      <c r="A397" s="101">
        <f t="shared" si="20"/>
        <v>108</v>
      </c>
      <c r="B397" s="103" t="s">
        <v>848</v>
      </c>
      <c r="C397" s="104" t="s">
        <v>134</v>
      </c>
      <c r="D397" s="103" t="s">
        <v>837</v>
      </c>
      <c r="E397" s="104" t="s">
        <v>114</v>
      </c>
      <c r="F397" s="103" t="s">
        <v>88</v>
      </c>
      <c r="G397" s="106" t="s">
        <v>617</v>
      </c>
      <c r="H397" s="102" t="s">
        <v>25</v>
      </c>
      <c r="I397" s="103" t="s">
        <v>173</v>
      </c>
      <c r="J397" s="224"/>
      <c r="K397" s="224"/>
      <c r="L397" s="224">
        <f t="shared" si="22"/>
        <v>0</v>
      </c>
      <c r="M397" s="224"/>
      <c r="N397" s="224"/>
      <c r="O397" s="224">
        <f t="shared" si="19"/>
        <v>0</v>
      </c>
      <c r="P397" s="105" t="s">
        <v>122</v>
      </c>
      <c r="Q397" s="103" t="s">
        <v>123</v>
      </c>
      <c r="R397" s="103"/>
      <c r="S397" s="104" t="s">
        <v>138</v>
      </c>
      <c r="T397" s="104"/>
      <c r="U397" s="110">
        <f t="shared" si="23"/>
        <v>1660500</v>
      </c>
      <c r="V397" s="109"/>
      <c r="W397" s="110">
        <v>0</v>
      </c>
      <c r="X397" s="259">
        <v>0</v>
      </c>
      <c r="Y397" s="259">
        <v>0</v>
      </c>
      <c r="Z397" s="259">
        <v>0</v>
      </c>
      <c r="AA397" s="226">
        <f>+U397</f>
        <v>1660500</v>
      </c>
      <c r="AB397" s="219"/>
      <c r="AC397" s="219"/>
      <c r="AD397" s="219"/>
      <c r="AE397" s="219"/>
      <c r="AF397" s="219"/>
      <c r="AG397" s="100"/>
      <c r="AH397" s="230"/>
    </row>
    <row r="398" spans="1:256" s="229" customFormat="1" ht="90" hidden="1" customHeight="1">
      <c r="A398" s="101">
        <f t="shared" si="20"/>
        <v>109</v>
      </c>
      <c r="B398" s="103" t="s">
        <v>849</v>
      </c>
      <c r="C398" s="104" t="s">
        <v>134</v>
      </c>
      <c r="D398" s="103" t="s">
        <v>837</v>
      </c>
      <c r="E398" s="104" t="s">
        <v>114</v>
      </c>
      <c r="F398" s="103" t="s">
        <v>88</v>
      </c>
      <c r="G398" s="106" t="s">
        <v>241</v>
      </c>
      <c r="H398" s="102" t="s">
        <v>97</v>
      </c>
      <c r="I398" s="103" t="s">
        <v>173</v>
      </c>
      <c r="J398" s="224"/>
      <c r="K398" s="224"/>
      <c r="L398" s="224">
        <f t="shared" si="22"/>
        <v>0</v>
      </c>
      <c r="M398" s="224"/>
      <c r="N398" s="224"/>
      <c r="O398" s="224">
        <f t="shared" si="19"/>
        <v>0</v>
      </c>
      <c r="P398" s="105" t="s">
        <v>122</v>
      </c>
      <c r="Q398" s="103" t="s">
        <v>123</v>
      </c>
      <c r="R398" s="103"/>
      <c r="S398" s="104" t="s">
        <v>138</v>
      </c>
      <c r="T398" s="104"/>
      <c r="U398" s="110">
        <f t="shared" si="23"/>
        <v>1660500</v>
      </c>
      <c r="V398" s="109"/>
      <c r="W398" s="110">
        <v>0</v>
      </c>
      <c r="X398" s="259">
        <v>0</v>
      </c>
      <c r="Y398" s="260">
        <f>+U398</f>
        <v>1660500</v>
      </c>
      <c r="Z398" s="259">
        <v>0</v>
      </c>
      <c r="AA398" s="226">
        <v>0</v>
      </c>
      <c r="AB398" s="219"/>
      <c r="AC398" s="219"/>
      <c r="AD398" s="219"/>
      <c r="AE398" s="219"/>
      <c r="AF398" s="219"/>
      <c r="AG398" s="100"/>
      <c r="AH398" s="230"/>
    </row>
    <row r="399" spans="1:256" s="229" customFormat="1" ht="90" hidden="1" customHeight="1">
      <c r="A399" s="101">
        <v>108</v>
      </c>
      <c r="B399" s="103" t="s">
        <v>850</v>
      </c>
      <c r="C399" s="104" t="s">
        <v>134</v>
      </c>
      <c r="D399" s="103" t="s">
        <v>847</v>
      </c>
      <c r="E399" s="104" t="s">
        <v>114</v>
      </c>
      <c r="F399" s="103" t="s">
        <v>88</v>
      </c>
      <c r="G399" s="106" t="s">
        <v>185</v>
      </c>
      <c r="H399" s="102" t="s">
        <v>97</v>
      </c>
      <c r="I399" s="103" t="s">
        <v>173</v>
      </c>
      <c r="J399" s="224">
        <v>42156</v>
      </c>
      <c r="K399" s="224"/>
      <c r="L399" s="224">
        <f t="shared" si="22"/>
        <v>42156</v>
      </c>
      <c r="M399" s="224">
        <v>42400</v>
      </c>
      <c r="N399" s="224"/>
      <c r="O399" s="224">
        <f t="shared" si="19"/>
        <v>42400</v>
      </c>
      <c r="P399" s="105" t="s">
        <v>122</v>
      </c>
      <c r="Q399" s="103" t="s">
        <v>123</v>
      </c>
      <c r="R399" s="103"/>
      <c r="S399" s="104" t="s">
        <v>334</v>
      </c>
      <c r="T399" s="104"/>
      <c r="U399" s="110">
        <f>+(650000)*1.23</f>
        <v>799500</v>
      </c>
      <c r="V399" s="109"/>
      <c r="W399" s="110">
        <v>0</v>
      </c>
      <c r="X399" s="259">
        <v>0</v>
      </c>
      <c r="Y399" s="259">
        <v>0</v>
      </c>
      <c r="Z399" s="259">
        <v>0</v>
      </c>
      <c r="AA399" s="226">
        <v>0</v>
      </c>
      <c r="AB399" s="219"/>
      <c r="AC399" s="219"/>
      <c r="AD399" s="219"/>
      <c r="AE399" s="219"/>
      <c r="AF399" s="219"/>
      <c r="AG399" s="100"/>
      <c r="AH399" s="230"/>
    </row>
    <row r="400" spans="1:256" s="229" customFormat="1" ht="90" hidden="1" customHeight="1">
      <c r="A400" s="101">
        <f t="shared" si="20"/>
        <v>109</v>
      </c>
      <c r="B400" s="103" t="s">
        <v>851</v>
      </c>
      <c r="C400" s="104" t="s">
        <v>134</v>
      </c>
      <c r="D400" s="103" t="s">
        <v>852</v>
      </c>
      <c r="E400" s="104" t="s">
        <v>114</v>
      </c>
      <c r="F400" s="103" t="s">
        <v>88</v>
      </c>
      <c r="G400" s="106" t="s">
        <v>834</v>
      </c>
      <c r="H400" s="102" t="s">
        <v>95</v>
      </c>
      <c r="I400" s="103" t="s">
        <v>173</v>
      </c>
      <c r="J400" s="224"/>
      <c r="K400" s="224"/>
      <c r="L400" s="224">
        <f t="shared" si="22"/>
        <v>0</v>
      </c>
      <c r="M400" s="224"/>
      <c r="N400" s="224"/>
      <c r="O400" s="224">
        <f t="shared" si="19"/>
        <v>0</v>
      </c>
      <c r="P400" s="105" t="s">
        <v>122</v>
      </c>
      <c r="Q400" s="103" t="s">
        <v>123</v>
      </c>
      <c r="R400" s="103"/>
      <c r="S400" s="104" t="s">
        <v>138</v>
      </c>
      <c r="T400" s="104"/>
      <c r="U400" s="110">
        <f>+(1350000+650000)*1.23</f>
        <v>2460000</v>
      </c>
      <c r="V400" s="109"/>
      <c r="W400" s="110">
        <v>0</v>
      </c>
      <c r="X400" s="259">
        <v>0</v>
      </c>
      <c r="Y400" s="259">
        <v>0</v>
      </c>
      <c r="Z400" s="259">
        <v>0</v>
      </c>
      <c r="AA400" s="226">
        <v>0</v>
      </c>
      <c r="AB400" s="219"/>
      <c r="AC400" s="219"/>
      <c r="AD400" s="219"/>
      <c r="AE400" s="219"/>
      <c r="AF400" s="219"/>
      <c r="AG400" s="100"/>
      <c r="AH400" s="230"/>
    </row>
    <row r="401" spans="1:256" s="229" customFormat="1" ht="90" hidden="1" customHeight="1">
      <c r="A401" s="101">
        <f t="shared" si="20"/>
        <v>110</v>
      </c>
      <c r="B401" s="103" t="s">
        <v>853</v>
      </c>
      <c r="C401" s="104" t="s">
        <v>134</v>
      </c>
      <c r="D401" s="103" t="s">
        <v>852</v>
      </c>
      <c r="E401" s="104" t="s">
        <v>114</v>
      </c>
      <c r="F401" s="103" t="s">
        <v>88</v>
      </c>
      <c r="G401" s="106" t="s">
        <v>241</v>
      </c>
      <c r="H401" s="102" t="s">
        <v>97</v>
      </c>
      <c r="I401" s="103" t="s">
        <v>173</v>
      </c>
      <c r="J401" s="224"/>
      <c r="K401" s="224"/>
      <c r="L401" s="224">
        <f t="shared" si="22"/>
        <v>0</v>
      </c>
      <c r="M401" s="224"/>
      <c r="N401" s="224"/>
      <c r="O401" s="224">
        <f t="shared" si="19"/>
        <v>0</v>
      </c>
      <c r="P401" s="105" t="s">
        <v>122</v>
      </c>
      <c r="Q401" s="103" t="s">
        <v>123</v>
      </c>
      <c r="R401" s="103"/>
      <c r="S401" s="104" t="s">
        <v>138</v>
      </c>
      <c r="T401" s="104"/>
      <c r="U401" s="110">
        <f>+(1350000+650000)*1.23</f>
        <v>2460000</v>
      </c>
      <c r="V401" s="109"/>
      <c r="W401" s="110">
        <v>0</v>
      </c>
      <c r="X401" s="259">
        <v>0</v>
      </c>
      <c r="Y401" s="260">
        <f>+U401</f>
        <v>2460000</v>
      </c>
      <c r="Z401" s="259">
        <v>0</v>
      </c>
      <c r="AA401" s="226">
        <v>0</v>
      </c>
      <c r="AB401" s="219"/>
      <c r="AC401" s="219"/>
      <c r="AD401" s="219"/>
      <c r="AE401" s="219"/>
      <c r="AF401" s="219"/>
      <c r="AG401" s="100"/>
      <c r="AH401" s="231"/>
      <c r="AI401" s="232"/>
      <c r="AJ401" s="232"/>
      <c r="AK401" s="232"/>
      <c r="AL401" s="232"/>
      <c r="AM401" s="232"/>
      <c r="AN401" s="232"/>
      <c r="AO401" s="232"/>
      <c r="AP401" s="232"/>
      <c r="AQ401" s="232"/>
      <c r="AR401" s="232"/>
      <c r="AS401" s="232"/>
      <c r="AT401" s="232"/>
      <c r="AU401" s="232"/>
      <c r="AV401" s="232"/>
      <c r="AW401" s="232"/>
      <c r="AX401" s="232"/>
      <c r="AY401" s="232"/>
      <c r="AZ401" s="232"/>
      <c r="BA401" s="232"/>
      <c r="BB401" s="232"/>
      <c r="BC401" s="232"/>
      <c r="BD401" s="232"/>
      <c r="BE401" s="232"/>
      <c r="BF401" s="232"/>
      <c r="BG401" s="232"/>
      <c r="BH401" s="232"/>
      <c r="BI401" s="232"/>
      <c r="BJ401" s="232"/>
      <c r="BK401" s="232"/>
      <c r="BL401" s="232"/>
      <c r="BM401" s="232"/>
      <c r="BN401" s="232"/>
      <c r="BO401" s="232"/>
      <c r="BP401" s="232"/>
      <c r="BQ401" s="232"/>
      <c r="BR401" s="232"/>
      <c r="BS401" s="232"/>
      <c r="BT401" s="232"/>
      <c r="BU401" s="232"/>
      <c r="BV401" s="232"/>
      <c r="BW401" s="232"/>
      <c r="BX401" s="232"/>
      <c r="BY401" s="232"/>
      <c r="BZ401" s="232"/>
      <c r="CA401" s="232"/>
      <c r="CB401" s="232"/>
      <c r="CC401" s="232"/>
      <c r="CD401" s="232"/>
      <c r="CE401" s="232"/>
      <c r="CF401" s="232"/>
      <c r="CG401" s="232"/>
      <c r="CH401" s="232"/>
      <c r="CI401" s="232"/>
      <c r="CJ401" s="232"/>
      <c r="CK401" s="232"/>
      <c r="CL401" s="232"/>
      <c r="CM401" s="232"/>
      <c r="CN401" s="232"/>
      <c r="CO401" s="232"/>
      <c r="CP401" s="232"/>
      <c r="CQ401" s="232"/>
      <c r="CR401" s="232"/>
      <c r="CS401" s="232"/>
      <c r="CT401" s="232"/>
      <c r="CU401" s="232"/>
      <c r="CV401" s="232"/>
      <c r="CW401" s="232"/>
      <c r="CX401" s="232"/>
      <c r="CY401" s="232"/>
      <c r="CZ401" s="232"/>
      <c r="DA401" s="232"/>
      <c r="DB401" s="232"/>
      <c r="DC401" s="232"/>
      <c r="DD401" s="232"/>
      <c r="DE401" s="232"/>
      <c r="DF401" s="232"/>
      <c r="DG401" s="232"/>
      <c r="DH401" s="232"/>
      <c r="DI401" s="232"/>
      <c r="DJ401" s="232"/>
      <c r="DK401" s="232"/>
      <c r="DL401" s="232"/>
      <c r="DM401" s="232"/>
      <c r="DN401" s="232"/>
      <c r="DO401" s="232"/>
      <c r="DP401" s="232"/>
      <c r="DQ401" s="232"/>
      <c r="DR401" s="232"/>
      <c r="DS401" s="232"/>
      <c r="DT401" s="232"/>
      <c r="DU401" s="232"/>
      <c r="DV401" s="232"/>
      <c r="DW401" s="232"/>
      <c r="DX401" s="232"/>
      <c r="DY401" s="232"/>
      <c r="DZ401" s="232"/>
      <c r="EA401" s="232"/>
      <c r="EB401" s="232"/>
      <c r="EC401" s="232"/>
      <c r="ED401" s="232"/>
      <c r="EE401" s="232"/>
      <c r="EF401" s="232"/>
      <c r="EG401" s="232"/>
      <c r="EH401" s="232"/>
      <c r="EI401" s="232"/>
      <c r="EJ401" s="232"/>
      <c r="EK401" s="232"/>
      <c r="EL401" s="232"/>
      <c r="EM401" s="232"/>
      <c r="EN401" s="232"/>
      <c r="EO401" s="232"/>
      <c r="EP401" s="232"/>
      <c r="EQ401" s="232"/>
      <c r="ER401" s="232"/>
      <c r="ES401" s="232"/>
      <c r="ET401" s="232"/>
      <c r="EU401" s="232"/>
      <c r="EV401" s="232"/>
      <c r="EW401" s="232"/>
      <c r="EX401" s="232"/>
      <c r="EY401" s="232"/>
      <c r="EZ401" s="232"/>
      <c r="FA401" s="232"/>
      <c r="FB401" s="232"/>
      <c r="FC401" s="232"/>
      <c r="FD401" s="232"/>
      <c r="FE401" s="232"/>
      <c r="FF401" s="232"/>
      <c r="FG401" s="232"/>
      <c r="FH401" s="232"/>
      <c r="FI401" s="232"/>
      <c r="FJ401" s="232"/>
      <c r="FK401" s="232"/>
      <c r="FL401" s="232"/>
      <c r="FM401" s="232"/>
      <c r="FN401" s="232"/>
      <c r="FO401" s="232"/>
      <c r="FP401" s="232"/>
      <c r="FQ401" s="232"/>
      <c r="FR401" s="232"/>
      <c r="FS401" s="232"/>
      <c r="FT401" s="232"/>
      <c r="FU401" s="232"/>
      <c r="FV401" s="232"/>
      <c r="FW401" s="232"/>
      <c r="FX401" s="232"/>
      <c r="FY401" s="232"/>
      <c r="FZ401" s="232"/>
      <c r="GA401" s="232"/>
      <c r="GB401" s="232"/>
      <c r="GC401" s="232"/>
      <c r="GD401" s="232"/>
      <c r="GE401" s="232"/>
      <c r="GF401" s="232"/>
      <c r="GG401" s="232"/>
      <c r="GH401" s="232"/>
      <c r="GI401" s="232"/>
      <c r="GJ401" s="232"/>
      <c r="GK401" s="232"/>
      <c r="GL401" s="232"/>
      <c r="GM401" s="232"/>
      <c r="GN401" s="232"/>
      <c r="GO401" s="232"/>
      <c r="GP401" s="232"/>
      <c r="GQ401" s="232"/>
      <c r="GR401" s="232"/>
      <c r="GS401" s="232"/>
      <c r="GT401" s="232"/>
      <c r="GU401" s="232"/>
      <c r="GV401" s="232"/>
      <c r="GW401" s="232"/>
      <c r="GX401" s="232"/>
      <c r="GY401" s="232"/>
      <c r="GZ401" s="232"/>
      <c r="HA401" s="232"/>
      <c r="HB401" s="232"/>
      <c r="HC401" s="232"/>
      <c r="HD401" s="232"/>
      <c r="HE401" s="232"/>
      <c r="HF401" s="232"/>
      <c r="HG401" s="232"/>
      <c r="HH401" s="232"/>
      <c r="HI401" s="232"/>
      <c r="HJ401" s="232"/>
      <c r="HK401" s="232"/>
      <c r="HL401" s="232"/>
      <c r="HM401" s="232"/>
      <c r="HN401" s="232"/>
      <c r="HO401" s="232"/>
      <c r="HP401" s="232"/>
      <c r="HQ401" s="232"/>
      <c r="HR401" s="232"/>
      <c r="HS401" s="232"/>
      <c r="HT401" s="232"/>
      <c r="HU401" s="232"/>
      <c r="HV401" s="232"/>
      <c r="HW401" s="232"/>
      <c r="HX401" s="232"/>
      <c r="HY401" s="232"/>
      <c r="HZ401" s="232"/>
      <c r="IA401" s="232"/>
      <c r="IB401" s="232"/>
      <c r="IC401" s="232"/>
      <c r="ID401" s="232"/>
      <c r="IE401" s="232"/>
      <c r="IF401" s="232"/>
      <c r="IG401" s="232"/>
      <c r="IH401" s="232"/>
      <c r="II401" s="232"/>
      <c r="IJ401" s="232"/>
      <c r="IK401" s="232"/>
      <c r="IL401" s="232"/>
      <c r="IM401" s="232"/>
      <c r="IN401" s="232"/>
      <c r="IO401" s="232"/>
      <c r="IP401" s="232"/>
      <c r="IQ401" s="232"/>
      <c r="IR401" s="232"/>
      <c r="IS401" s="232"/>
      <c r="IT401" s="232"/>
      <c r="IU401" s="232"/>
      <c r="IV401" s="232"/>
    </row>
    <row r="402" spans="1:256" s="182" customFormat="1" ht="45" hidden="1">
      <c r="A402" s="346">
        <v>42</v>
      </c>
      <c r="B402" s="347" t="s">
        <v>854</v>
      </c>
      <c r="C402" s="348" t="s">
        <v>175</v>
      </c>
      <c r="D402" s="347" t="s">
        <v>1258</v>
      </c>
      <c r="E402" s="104" t="s">
        <v>114</v>
      </c>
      <c r="F402" s="353" t="s">
        <v>88</v>
      </c>
      <c r="G402" s="353" t="s">
        <v>176</v>
      </c>
      <c r="H402" s="348" t="s">
        <v>23</v>
      </c>
      <c r="I402" s="353" t="s">
        <v>808</v>
      </c>
      <c r="J402" s="351" t="s">
        <v>1201</v>
      </c>
      <c r="K402" s="352" t="s">
        <v>1201</v>
      </c>
      <c r="L402" s="351" t="s">
        <v>1201</v>
      </c>
      <c r="M402" s="351">
        <v>42116</v>
      </c>
      <c r="N402" s="352">
        <v>6</v>
      </c>
      <c r="O402" s="351">
        <f>M402+(N402*31)</f>
        <v>42302</v>
      </c>
      <c r="P402" s="353" t="s">
        <v>122</v>
      </c>
      <c r="Q402" s="353" t="s">
        <v>251</v>
      </c>
      <c r="R402" s="353" t="s">
        <v>65</v>
      </c>
      <c r="S402" s="402" t="s">
        <v>143</v>
      </c>
      <c r="T402" s="348" t="s">
        <v>253</v>
      </c>
      <c r="U402" s="354">
        <f>(892320*8+150000+350000)*1.05*1.1*1.07*1.235</f>
        <v>11658541.254360003</v>
      </c>
      <c r="V402" s="109"/>
      <c r="W402" s="110">
        <v>345261</v>
      </c>
      <c r="X402" s="355">
        <f>+U402-Y402</f>
        <v>10842443.366554802</v>
      </c>
      <c r="Y402" s="355">
        <f>+U402*0.07</f>
        <v>816097.8878052003</v>
      </c>
      <c r="Z402" s="355">
        <v>0</v>
      </c>
      <c r="AA402" s="356" t="s">
        <v>132</v>
      </c>
      <c r="AB402" s="357" t="s">
        <v>1207</v>
      </c>
      <c r="AC402" s="357"/>
      <c r="AD402" s="357"/>
      <c r="AE402" s="357"/>
      <c r="AF402" s="357"/>
      <c r="AG402" s="147"/>
    </row>
    <row r="403" spans="1:256" s="182" customFormat="1" ht="45">
      <c r="A403" s="346">
        <v>43</v>
      </c>
      <c r="B403" s="347" t="s">
        <v>855</v>
      </c>
      <c r="C403" s="348" t="s">
        <v>134</v>
      </c>
      <c r="D403" s="347" t="s">
        <v>856</v>
      </c>
      <c r="E403" s="104" t="s">
        <v>114</v>
      </c>
      <c r="F403" s="353" t="s">
        <v>84</v>
      </c>
      <c r="G403" s="353" t="s">
        <v>245</v>
      </c>
      <c r="H403" s="348" t="s">
        <v>14</v>
      </c>
      <c r="I403" s="353" t="s">
        <v>808</v>
      </c>
      <c r="J403" s="351" t="s">
        <v>83</v>
      </c>
      <c r="K403" s="352" t="s">
        <v>83</v>
      </c>
      <c r="L403" s="351" t="s">
        <v>83</v>
      </c>
      <c r="M403" s="351">
        <v>42064</v>
      </c>
      <c r="N403" s="352">
        <v>12</v>
      </c>
      <c r="O403" s="351">
        <v>42430</v>
      </c>
      <c r="P403" s="353" t="s">
        <v>113</v>
      </c>
      <c r="Q403" s="353" t="s">
        <v>251</v>
      </c>
      <c r="R403" s="353" t="s">
        <v>65</v>
      </c>
      <c r="S403" s="348" t="s">
        <v>118</v>
      </c>
      <c r="T403" s="348" t="s">
        <v>119</v>
      </c>
      <c r="U403" s="354">
        <v>17676833</v>
      </c>
      <c r="V403" s="109"/>
      <c r="W403" s="110">
        <f>+U403*0.89</f>
        <v>15732381.370000001</v>
      </c>
      <c r="X403" s="355">
        <f>+U403-Y403</f>
        <v>16439454.689999999</v>
      </c>
      <c r="Y403" s="355">
        <f>+U403*0.07</f>
        <v>1237378.31</v>
      </c>
      <c r="Z403" s="355">
        <f>+U403*0.01</f>
        <v>176768.33000000002</v>
      </c>
      <c r="AA403" s="356" t="s">
        <v>132</v>
      </c>
      <c r="AB403" s="357" t="s">
        <v>1207</v>
      </c>
      <c r="AC403" s="357"/>
      <c r="AD403" s="357"/>
      <c r="AE403" s="357"/>
      <c r="AF403" s="357"/>
      <c r="AG403" s="147"/>
    </row>
    <row r="404" spans="1:256" s="182" customFormat="1" ht="45">
      <c r="A404" s="346">
        <v>44</v>
      </c>
      <c r="B404" s="347" t="s">
        <v>857</v>
      </c>
      <c r="C404" s="348" t="s">
        <v>134</v>
      </c>
      <c r="D404" s="347" t="s">
        <v>858</v>
      </c>
      <c r="E404" s="104" t="s">
        <v>114</v>
      </c>
      <c r="F404" s="353" t="s">
        <v>141</v>
      </c>
      <c r="G404" s="353" t="s">
        <v>286</v>
      </c>
      <c r="H404" s="348" t="s">
        <v>3</v>
      </c>
      <c r="I404" s="353" t="s">
        <v>808</v>
      </c>
      <c r="J404" s="351" t="s">
        <v>83</v>
      </c>
      <c r="K404" s="352" t="s">
        <v>83</v>
      </c>
      <c r="L404" s="351" t="s">
        <v>83</v>
      </c>
      <c r="M404" s="351">
        <v>42064</v>
      </c>
      <c r="N404" s="352">
        <v>12</v>
      </c>
      <c r="O404" s="351">
        <v>42430</v>
      </c>
      <c r="P404" s="353" t="s">
        <v>113</v>
      </c>
      <c r="Q404" s="353" t="s">
        <v>251</v>
      </c>
      <c r="R404" s="353" t="s">
        <v>65</v>
      </c>
      <c r="S404" s="348" t="s">
        <v>118</v>
      </c>
      <c r="T404" s="348" t="s">
        <v>119</v>
      </c>
      <c r="U404" s="354">
        <v>10988814</v>
      </c>
      <c r="V404" s="109"/>
      <c r="W404" s="110">
        <f>+U404*0.89</f>
        <v>9780044.4600000009</v>
      </c>
      <c r="X404" s="355">
        <f>+U404-Y404</f>
        <v>10219597.02</v>
      </c>
      <c r="Y404" s="355">
        <f>+U404*0.07</f>
        <v>769216.9800000001</v>
      </c>
      <c r="Z404" s="355">
        <f>+U404*0.01</f>
        <v>109888.14</v>
      </c>
      <c r="AA404" s="356" t="s">
        <v>132</v>
      </c>
      <c r="AB404" s="357"/>
      <c r="AC404" s="357"/>
      <c r="AD404" s="357"/>
      <c r="AE404" s="357"/>
      <c r="AF404" s="357"/>
      <c r="AG404" s="147"/>
    </row>
    <row r="405" spans="1:256" s="182" customFormat="1" ht="45">
      <c r="A405" s="346">
        <v>45</v>
      </c>
      <c r="B405" s="347" t="s">
        <v>1330</v>
      </c>
      <c r="C405" s="348" t="s">
        <v>140</v>
      </c>
      <c r="D405" s="347" t="s">
        <v>859</v>
      </c>
      <c r="E405" s="104" t="s">
        <v>114</v>
      </c>
      <c r="F405" s="353" t="s">
        <v>88</v>
      </c>
      <c r="G405" s="353" t="s">
        <v>617</v>
      </c>
      <c r="H405" s="348" t="s">
        <v>25</v>
      </c>
      <c r="I405" s="353" t="s">
        <v>808</v>
      </c>
      <c r="J405" s="351" t="s">
        <v>83</v>
      </c>
      <c r="K405" s="352" t="s">
        <v>83</v>
      </c>
      <c r="L405" s="351" t="s">
        <v>83</v>
      </c>
      <c r="M405" s="351">
        <v>42051</v>
      </c>
      <c r="N405" s="352">
        <v>3</v>
      </c>
      <c r="O405" s="351">
        <v>42153</v>
      </c>
      <c r="P405" s="353" t="s">
        <v>113</v>
      </c>
      <c r="Q405" s="353" t="s">
        <v>251</v>
      </c>
      <c r="R405" s="353" t="s">
        <v>65</v>
      </c>
      <c r="S405" s="348" t="s">
        <v>118</v>
      </c>
      <c r="T405" s="348" t="s">
        <v>119</v>
      </c>
      <c r="U405" s="354">
        <v>774345</v>
      </c>
      <c r="V405" s="109"/>
      <c r="W405" s="110"/>
      <c r="X405" s="355">
        <v>774345</v>
      </c>
      <c r="Y405" s="355"/>
      <c r="Z405" s="355"/>
      <c r="AA405" s="356" t="s">
        <v>860</v>
      </c>
      <c r="AB405" s="357"/>
      <c r="AC405" s="357"/>
      <c r="AD405" s="357"/>
      <c r="AE405" s="357"/>
      <c r="AF405" s="357"/>
      <c r="AG405" s="147"/>
    </row>
    <row r="406" spans="1:256" s="182" customFormat="1" ht="78.75">
      <c r="A406" s="346">
        <v>46</v>
      </c>
      <c r="B406" s="347" t="s">
        <v>861</v>
      </c>
      <c r="C406" s="348"/>
      <c r="D406" s="347" t="s">
        <v>862</v>
      </c>
      <c r="E406" s="104" t="s">
        <v>114</v>
      </c>
      <c r="F406" s="353" t="s">
        <v>88</v>
      </c>
      <c r="G406" s="353" t="s">
        <v>617</v>
      </c>
      <c r="H406" s="348" t="s">
        <v>25</v>
      </c>
      <c r="I406" s="353" t="s">
        <v>808</v>
      </c>
      <c r="J406" s="351">
        <v>42092</v>
      </c>
      <c r="K406" s="352">
        <v>1</v>
      </c>
      <c r="L406" s="351">
        <v>42123</v>
      </c>
      <c r="M406" s="351">
        <v>42153</v>
      </c>
      <c r="N406" s="352">
        <v>3</v>
      </c>
      <c r="O406" s="351">
        <f t="shared" ref="O406:O425" si="24">M406+(N406*31)</f>
        <v>42246</v>
      </c>
      <c r="P406" s="353" t="s">
        <v>113</v>
      </c>
      <c r="Q406" s="353" t="s">
        <v>251</v>
      </c>
      <c r="R406" s="353" t="s">
        <v>65</v>
      </c>
      <c r="S406" s="348" t="s">
        <v>118</v>
      </c>
      <c r="T406" s="348" t="s">
        <v>119</v>
      </c>
      <c r="U406" s="354">
        <v>408291</v>
      </c>
      <c r="V406" s="109"/>
      <c r="W406" s="110"/>
      <c r="X406" s="355">
        <v>408291</v>
      </c>
      <c r="Y406" s="355"/>
      <c r="Z406" s="355"/>
      <c r="AA406" s="356" t="s">
        <v>860</v>
      </c>
      <c r="AB406" s="357" t="s">
        <v>1203</v>
      </c>
      <c r="AC406" s="357"/>
      <c r="AD406" s="357"/>
      <c r="AE406" s="357"/>
      <c r="AF406" s="357"/>
      <c r="AG406" s="147"/>
    </row>
    <row r="407" spans="1:256" s="182" customFormat="1" ht="56.25">
      <c r="A407" s="346">
        <v>47</v>
      </c>
      <c r="B407" s="347" t="s">
        <v>1331</v>
      </c>
      <c r="C407" s="348" t="s">
        <v>134</v>
      </c>
      <c r="D407" s="347" t="s">
        <v>863</v>
      </c>
      <c r="E407" s="104" t="s">
        <v>114</v>
      </c>
      <c r="F407" s="353" t="s">
        <v>84</v>
      </c>
      <c r="G407" s="353" t="s">
        <v>230</v>
      </c>
      <c r="H407" s="348" t="s">
        <v>14</v>
      </c>
      <c r="I407" s="353" t="s">
        <v>808</v>
      </c>
      <c r="J407" s="351">
        <v>42092</v>
      </c>
      <c r="K407" s="352">
        <v>1</v>
      </c>
      <c r="L407" s="351">
        <v>42123</v>
      </c>
      <c r="M407" s="351">
        <v>42153</v>
      </c>
      <c r="N407" s="352">
        <v>3</v>
      </c>
      <c r="O407" s="351">
        <f t="shared" si="24"/>
        <v>42246</v>
      </c>
      <c r="P407" s="353" t="s">
        <v>113</v>
      </c>
      <c r="Q407" s="353" t="s">
        <v>251</v>
      </c>
      <c r="R407" s="353" t="s">
        <v>65</v>
      </c>
      <c r="S407" s="348" t="s">
        <v>118</v>
      </c>
      <c r="T407" s="348" t="s">
        <v>119</v>
      </c>
      <c r="U407" s="354">
        <v>732108</v>
      </c>
      <c r="V407" s="109"/>
      <c r="W407" s="110"/>
      <c r="X407" s="355">
        <v>732108</v>
      </c>
      <c r="Y407" s="355"/>
      <c r="Z407" s="355"/>
      <c r="AA407" s="356" t="s">
        <v>860</v>
      </c>
      <c r="AB407" s="357" t="s">
        <v>1203</v>
      </c>
      <c r="AC407" s="357"/>
      <c r="AD407" s="357"/>
      <c r="AE407" s="357"/>
      <c r="AF407" s="357"/>
      <c r="AG407" s="147"/>
    </row>
    <row r="408" spans="1:256" s="182" customFormat="1" ht="45">
      <c r="A408" s="346">
        <v>48</v>
      </c>
      <c r="B408" s="347" t="s">
        <v>1332</v>
      </c>
      <c r="C408" s="348" t="s">
        <v>134</v>
      </c>
      <c r="D408" s="347" t="s">
        <v>864</v>
      </c>
      <c r="E408" s="104" t="s">
        <v>114</v>
      </c>
      <c r="F408" s="353" t="s">
        <v>91</v>
      </c>
      <c r="G408" s="353" t="s">
        <v>587</v>
      </c>
      <c r="H408" s="348" t="s">
        <v>200</v>
      </c>
      <c r="I408" s="353" t="s">
        <v>808</v>
      </c>
      <c r="J408" s="351">
        <v>42092</v>
      </c>
      <c r="K408" s="352">
        <v>1</v>
      </c>
      <c r="L408" s="351">
        <v>42123</v>
      </c>
      <c r="M408" s="351">
        <v>42153</v>
      </c>
      <c r="N408" s="352">
        <v>3</v>
      </c>
      <c r="O408" s="351">
        <f t="shared" si="24"/>
        <v>42246</v>
      </c>
      <c r="P408" s="353" t="s">
        <v>113</v>
      </c>
      <c r="Q408" s="353" t="s">
        <v>251</v>
      </c>
      <c r="R408" s="353" t="s">
        <v>65</v>
      </c>
      <c r="S408" s="348" t="s">
        <v>118</v>
      </c>
      <c r="T408" s="348" t="s">
        <v>119</v>
      </c>
      <c r="U408" s="354">
        <v>642000</v>
      </c>
      <c r="V408" s="109"/>
      <c r="W408" s="110"/>
      <c r="X408" s="355">
        <v>642000</v>
      </c>
      <c r="Y408" s="355"/>
      <c r="Z408" s="355"/>
      <c r="AA408" s="356" t="s">
        <v>860</v>
      </c>
      <c r="AB408" s="357"/>
      <c r="AC408" s="357"/>
      <c r="AD408" s="357"/>
      <c r="AE408" s="357"/>
      <c r="AF408" s="357"/>
      <c r="AG408" s="147"/>
    </row>
    <row r="409" spans="1:256" s="182" customFormat="1" ht="45">
      <c r="A409" s="346">
        <v>49</v>
      </c>
      <c r="B409" s="347" t="s">
        <v>1333</v>
      </c>
      <c r="C409" s="348" t="s">
        <v>134</v>
      </c>
      <c r="D409" s="347" t="s">
        <v>864</v>
      </c>
      <c r="E409" s="104" t="s">
        <v>114</v>
      </c>
      <c r="F409" s="353" t="s">
        <v>91</v>
      </c>
      <c r="G409" s="353" t="s">
        <v>587</v>
      </c>
      <c r="H409" s="348" t="s">
        <v>200</v>
      </c>
      <c r="I409" s="353" t="s">
        <v>808</v>
      </c>
      <c r="J409" s="351">
        <v>42092</v>
      </c>
      <c r="K409" s="352">
        <v>1</v>
      </c>
      <c r="L409" s="351">
        <v>42123</v>
      </c>
      <c r="M409" s="351">
        <v>42153</v>
      </c>
      <c r="N409" s="352">
        <v>2</v>
      </c>
      <c r="O409" s="351">
        <f t="shared" si="24"/>
        <v>42215</v>
      </c>
      <c r="P409" s="353" t="s">
        <v>113</v>
      </c>
      <c r="Q409" s="353" t="s">
        <v>251</v>
      </c>
      <c r="R409" s="353" t="s">
        <v>65</v>
      </c>
      <c r="S409" s="348" t="s">
        <v>118</v>
      </c>
      <c r="T409" s="348" t="s">
        <v>119</v>
      </c>
      <c r="U409" s="354">
        <v>263000</v>
      </c>
      <c r="V409" s="109"/>
      <c r="W409" s="110"/>
      <c r="X409" s="355">
        <v>263000</v>
      </c>
      <c r="Y409" s="355"/>
      <c r="Z409" s="355"/>
      <c r="AA409" s="356" t="s">
        <v>860</v>
      </c>
      <c r="AB409" s="357"/>
      <c r="AC409" s="357"/>
      <c r="AD409" s="357"/>
      <c r="AE409" s="357"/>
      <c r="AF409" s="357"/>
      <c r="AG409" s="147"/>
    </row>
    <row r="410" spans="1:256" s="182" customFormat="1" ht="101.25">
      <c r="A410" s="346">
        <v>50</v>
      </c>
      <c r="B410" s="347" t="s">
        <v>1334</v>
      </c>
      <c r="C410" s="348" t="s">
        <v>140</v>
      </c>
      <c r="D410" s="347" t="s">
        <v>866</v>
      </c>
      <c r="E410" s="104" t="s">
        <v>114</v>
      </c>
      <c r="F410" s="353" t="s">
        <v>91</v>
      </c>
      <c r="G410" s="353" t="s">
        <v>197</v>
      </c>
      <c r="H410" s="353" t="s">
        <v>865</v>
      </c>
      <c r="I410" s="353" t="s">
        <v>808</v>
      </c>
      <c r="J410" s="351">
        <v>42092</v>
      </c>
      <c r="K410" s="352">
        <v>1</v>
      </c>
      <c r="L410" s="351">
        <v>42123</v>
      </c>
      <c r="M410" s="351">
        <v>42153</v>
      </c>
      <c r="N410" s="352">
        <v>3</v>
      </c>
      <c r="O410" s="351">
        <f t="shared" si="24"/>
        <v>42246</v>
      </c>
      <c r="P410" s="353" t="s">
        <v>113</v>
      </c>
      <c r="Q410" s="353" t="s">
        <v>251</v>
      </c>
      <c r="R410" s="353" t="s">
        <v>65</v>
      </c>
      <c r="S410" s="348" t="s">
        <v>118</v>
      </c>
      <c r="T410" s="348" t="s">
        <v>119</v>
      </c>
      <c r="U410" s="354">
        <v>788424</v>
      </c>
      <c r="V410" s="109"/>
      <c r="W410" s="110">
        <f>+U410</f>
        <v>788424</v>
      </c>
      <c r="X410" s="355">
        <v>788424</v>
      </c>
      <c r="Y410" s="355">
        <v>0</v>
      </c>
      <c r="Z410" s="355">
        <v>0</v>
      </c>
      <c r="AA410" s="356" t="s">
        <v>860</v>
      </c>
      <c r="AB410" s="357"/>
      <c r="AC410" s="357"/>
      <c r="AD410" s="357"/>
      <c r="AE410" s="357"/>
      <c r="AF410" s="357"/>
      <c r="AG410" s="147"/>
    </row>
    <row r="411" spans="1:256" s="182" customFormat="1" ht="33.75">
      <c r="A411" s="346">
        <v>51</v>
      </c>
      <c r="B411" s="347" t="s">
        <v>1335</v>
      </c>
      <c r="C411" s="348" t="s">
        <v>140</v>
      </c>
      <c r="D411" s="347" t="s">
        <v>867</v>
      </c>
      <c r="E411" s="104" t="s">
        <v>114</v>
      </c>
      <c r="F411" s="353" t="s">
        <v>88</v>
      </c>
      <c r="G411" s="353" t="s">
        <v>776</v>
      </c>
      <c r="H411" s="348" t="s">
        <v>25</v>
      </c>
      <c r="I411" s="353" t="s">
        <v>808</v>
      </c>
      <c r="J411" s="351" t="s">
        <v>83</v>
      </c>
      <c r="K411" s="352" t="s">
        <v>83</v>
      </c>
      <c r="L411" s="351" t="s">
        <v>83</v>
      </c>
      <c r="M411" s="351">
        <v>42135</v>
      </c>
      <c r="N411" s="352">
        <v>3</v>
      </c>
      <c r="O411" s="351">
        <f t="shared" si="24"/>
        <v>42228</v>
      </c>
      <c r="P411" s="353" t="s">
        <v>122</v>
      </c>
      <c r="Q411" s="353" t="s">
        <v>251</v>
      </c>
      <c r="R411" s="353" t="s">
        <v>65</v>
      </c>
      <c r="S411" s="348" t="s">
        <v>118</v>
      </c>
      <c r="T411" s="348" t="s">
        <v>119</v>
      </c>
      <c r="U411" s="354">
        <f>(17*1600+52000*9.5+124500*2+52000*8+20000)*1.14*1.1</f>
        <v>1512574.7999999998</v>
      </c>
      <c r="V411" s="109"/>
      <c r="W411" s="110">
        <f>+U411*0.94</f>
        <v>1421820.3119999997</v>
      </c>
      <c r="X411" s="355">
        <v>1512575</v>
      </c>
      <c r="Y411" s="355">
        <v>0</v>
      </c>
      <c r="Z411" s="355">
        <v>0</v>
      </c>
      <c r="AA411" s="356" t="s">
        <v>132</v>
      </c>
      <c r="AB411" s="357"/>
      <c r="AC411" s="357"/>
      <c r="AD411" s="357"/>
      <c r="AE411" s="357"/>
      <c r="AF411" s="357"/>
      <c r="AG411" s="147"/>
    </row>
    <row r="412" spans="1:256" s="182" customFormat="1" ht="33.75">
      <c r="A412" s="346">
        <v>52</v>
      </c>
      <c r="B412" s="349" t="s">
        <v>868</v>
      </c>
      <c r="C412" s="348" t="s">
        <v>134</v>
      </c>
      <c r="D412" s="364" t="s">
        <v>870</v>
      </c>
      <c r="E412" s="104" t="s">
        <v>114</v>
      </c>
      <c r="F412" s="353" t="s">
        <v>91</v>
      </c>
      <c r="G412" s="353" t="s">
        <v>869</v>
      </c>
      <c r="H412" s="353" t="s">
        <v>189</v>
      </c>
      <c r="I412" s="353" t="s">
        <v>808</v>
      </c>
      <c r="J412" s="351" t="s">
        <v>83</v>
      </c>
      <c r="K412" s="352" t="s">
        <v>83</v>
      </c>
      <c r="L412" s="351" t="s">
        <v>83</v>
      </c>
      <c r="M412" s="351">
        <v>42135</v>
      </c>
      <c r="N412" s="352">
        <v>3</v>
      </c>
      <c r="O412" s="351">
        <f t="shared" si="24"/>
        <v>42228</v>
      </c>
      <c r="P412" s="353" t="s">
        <v>113</v>
      </c>
      <c r="Q412" s="353" t="s">
        <v>251</v>
      </c>
      <c r="R412" s="353" t="s">
        <v>65</v>
      </c>
      <c r="S412" s="352" t="s">
        <v>118</v>
      </c>
      <c r="T412" s="354" t="s">
        <v>253</v>
      </c>
      <c r="U412" s="354">
        <v>437979</v>
      </c>
      <c r="V412" s="109"/>
      <c r="W412" s="110"/>
      <c r="X412" s="355">
        <f>+U412</f>
        <v>437979</v>
      </c>
      <c r="Y412" s="355">
        <v>0</v>
      </c>
      <c r="Z412" s="355">
        <v>0</v>
      </c>
      <c r="AA412" s="356" t="s">
        <v>132</v>
      </c>
      <c r="AB412" s="357" t="s">
        <v>1203</v>
      </c>
      <c r="AC412" s="357"/>
      <c r="AD412" s="357"/>
      <c r="AE412" s="357"/>
      <c r="AF412" s="357"/>
      <c r="AG412" s="147"/>
    </row>
    <row r="413" spans="1:256" s="182" customFormat="1" ht="33.75">
      <c r="A413" s="346">
        <v>53</v>
      </c>
      <c r="B413" s="349" t="s">
        <v>871</v>
      </c>
      <c r="C413" s="348" t="s">
        <v>134</v>
      </c>
      <c r="D413" s="364" t="s">
        <v>870</v>
      </c>
      <c r="E413" s="104" t="s">
        <v>114</v>
      </c>
      <c r="F413" s="353" t="s">
        <v>141</v>
      </c>
      <c r="G413" s="353" t="s">
        <v>393</v>
      </c>
      <c r="H413" s="353" t="s">
        <v>3</v>
      </c>
      <c r="I413" s="353" t="s">
        <v>808</v>
      </c>
      <c r="J413" s="351" t="s">
        <v>83</v>
      </c>
      <c r="K413" s="352" t="s">
        <v>83</v>
      </c>
      <c r="L413" s="351" t="s">
        <v>83</v>
      </c>
      <c r="M413" s="351">
        <v>42135</v>
      </c>
      <c r="N413" s="352">
        <v>4</v>
      </c>
      <c r="O413" s="351">
        <f t="shared" si="24"/>
        <v>42259</v>
      </c>
      <c r="P413" s="353" t="s">
        <v>113</v>
      </c>
      <c r="Q413" s="353" t="s">
        <v>251</v>
      </c>
      <c r="R413" s="353" t="s">
        <v>65</v>
      </c>
      <c r="S413" s="352" t="s">
        <v>118</v>
      </c>
      <c r="T413" s="354" t="s">
        <v>253</v>
      </c>
      <c r="U413" s="354">
        <v>1781170</v>
      </c>
      <c r="V413" s="109"/>
      <c r="W413" s="110"/>
      <c r="X413" s="355">
        <f t="shared" ref="X413:X425" si="25">+U413</f>
        <v>1781170</v>
      </c>
      <c r="Y413" s="355">
        <v>0</v>
      </c>
      <c r="Z413" s="355">
        <v>0</v>
      </c>
      <c r="AA413" s="356" t="s">
        <v>132</v>
      </c>
      <c r="AB413" s="357" t="s">
        <v>1203</v>
      </c>
      <c r="AC413" s="357"/>
      <c r="AD413" s="357"/>
      <c r="AE413" s="357"/>
      <c r="AF413" s="357"/>
      <c r="AG413" s="147"/>
    </row>
    <row r="414" spans="1:256" s="182" customFormat="1" ht="33.75">
      <c r="A414" s="346">
        <v>54</v>
      </c>
      <c r="B414" s="349" t="s">
        <v>872</v>
      </c>
      <c r="C414" s="348" t="s">
        <v>140</v>
      </c>
      <c r="D414" s="364" t="s">
        <v>870</v>
      </c>
      <c r="E414" s="104" t="s">
        <v>114</v>
      </c>
      <c r="F414" s="353" t="s">
        <v>141</v>
      </c>
      <c r="G414" s="353" t="s">
        <v>151</v>
      </c>
      <c r="H414" s="353" t="s">
        <v>3</v>
      </c>
      <c r="I414" s="353" t="s">
        <v>808</v>
      </c>
      <c r="J414" s="351" t="s">
        <v>83</v>
      </c>
      <c r="K414" s="352" t="s">
        <v>83</v>
      </c>
      <c r="L414" s="351" t="s">
        <v>83</v>
      </c>
      <c r="M414" s="351">
        <v>42135</v>
      </c>
      <c r="N414" s="352">
        <v>4</v>
      </c>
      <c r="O414" s="351">
        <f t="shared" si="24"/>
        <v>42259</v>
      </c>
      <c r="P414" s="353" t="s">
        <v>113</v>
      </c>
      <c r="Q414" s="353" t="s">
        <v>251</v>
      </c>
      <c r="R414" s="353" t="s">
        <v>65</v>
      </c>
      <c r="S414" s="352" t="s">
        <v>118</v>
      </c>
      <c r="T414" s="354" t="s">
        <v>253</v>
      </c>
      <c r="U414" s="354">
        <v>2374893</v>
      </c>
      <c r="V414" s="109"/>
      <c r="W414" s="110"/>
      <c r="X414" s="355">
        <f t="shared" si="25"/>
        <v>2374893</v>
      </c>
      <c r="Y414" s="355">
        <v>0</v>
      </c>
      <c r="Z414" s="355">
        <v>0</v>
      </c>
      <c r="AA414" s="356" t="s">
        <v>132</v>
      </c>
      <c r="AB414" s="357" t="s">
        <v>1203</v>
      </c>
      <c r="AC414" s="357"/>
      <c r="AD414" s="357"/>
      <c r="AE414" s="357"/>
      <c r="AF414" s="357"/>
      <c r="AG414" s="147"/>
    </row>
    <row r="415" spans="1:256" s="182" customFormat="1" ht="33.75" hidden="1">
      <c r="A415" s="346">
        <v>55</v>
      </c>
      <c r="B415" s="349" t="s">
        <v>873</v>
      </c>
      <c r="C415" s="348" t="s">
        <v>134</v>
      </c>
      <c r="D415" s="364" t="s">
        <v>870</v>
      </c>
      <c r="E415" s="104" t="s">
        <v>114</v>
      </c>
      <c r="F415" s="353" t="s">
        <v>141</v>
      </c>
      <c r="G415" s="353" t="s">
        <v>393</v>
      </c>
      <c r="H415" s="353" t="s">
        <v>3</v>
      </c>
      <c r="I415" s="353" t="s">
        <v>808</v>
      </c>
      <c r="J415" s="351">
        <v>42095</v>
      </c>
      <c r="K415" s="352">
        <v>1</v>
      </c>
      <c r="L415" s="351">
        <f t="shared" ref="L415:L477" si="26">J415+(K415*22)</f>
        <v>42117</v>
      </c>
      <c r="M415" s="351">
        <v>42192</v>
      </c>
      <c r="N415" s="352">
        <v>3</v>
      </c>
      <c r="O415" s="351">
        <f t="shared" si="24"/>
        <v>42285</v>
      </c>
      <c r="P415" s="353" t="s">
        <v>113</v>
      </c>
      <c r="Q415" s="353" t="s">
        <v>251</v>
      </c>
      <c r="R415" s="353" t="s">
        <v>1180</v>
      </c>
      <c r="S415" s="402" t="s">
        <v>143</v>
      </c>
      <c r="T415" s="354" t="s">
        <v>253</v>
      </c>
      <c r="U415" s="366">
        <v>4007633</v>
      </c>
      <c r="V415" s="109"/>
      <c r="W415" s="110"/>
      <c r="X415" s="355">
        <f t="shared" si="25"/>
        <v>4007633</v>
      </c>
      <c r="Y415" s="355">
        <v>0</v>
      </c>
      <c r="Z415" s="355">
        <v>0</v>
      </c>
      <c r="AA415" s="356" t="s">
        <v>132</v>
      </c>
      <c r="AB415" s="357" t="s">
        <v>1203</v>
      </c>
      <c r="AC415" s="357"/>
      <c r="AD415" s="357"/>
      <c r="AE415" s="357"/>
      <c r="AF415" s="357"/>
      <c r="AG415" s="147"/>
    </row>
    <row r="416" spans="1:256" s="182" customFormat="1" ht="33.75">
      <c r="A416" s="346">
        <v>56</v>
      </c>
      <c r="B416" s="349" t="s">
        <v>874</v>
      </c>
      <c r="C416" s="348" t="s">
        <v>134</v>
      </c>
      <c r="D416" s="364" t="s">
        <v>870</v>
      </c>
      <c r="E416" s="104" t="s">
        <v>114</v>
      </c>
      <c r="F416" s="353" t="s">
        <v>141</v>
      </c>
      <c r="G416" s="353" t="s">
        <v>224</v>
      </c>
      <c r="H416" s="353" t="s">
        <v>3</v>
      </c>
      <c r="I416" s="353" t="s">
        <v>808</v>
      </c>
      <c r="J416" s="351" t="s">
        <v>83</v>
      </c>
      <c r="K416" s="352" t="s">
        <v>83</v>
      </c>
      <c r="L416" s="351" t="s">
        <v>83</v>
      </c>
      <c r="M416" s="351">
        <v>42135</v>
      </c>
      <c r="N416" s="352">
        <v>3</v>
      </c>
      <c r="O416" s="351">
        <f t="shared" si="24"/>
        <v>42228</v>
      </c>
      <c r="P416" s="353" t="s">
        <v>113</v>
      </c>
      <c r="Q416" s="353" t="s">
        <v>251</v>
      </c>
      <c r="R416" s="353" t="s">
        <v>65</v>
      </c>
      <c r="S416" s="352" t="s">
        <v>118</v>
      </c>
      <c r="T416" s="354" t="s">
        <v>253</v>
      </c>
      <c r="U416" s="366">
        <v>1335878</v>
      </c>
      <c r="V416" s="109"/>
      <c r="W416" s="110"/>
      <c r="X416" s="355">
        <f t="shared" si="25"/>
        <v>1335878</v>
      </c>
      <c r="Y416" s="355">
        <v>0</v>
      </c>
      <c r="Z416" s="355">
        <v>0</v>
      </c>
      <c r="AA416" s="356" t="s">
        <v>132</v>
      </c>
      <c r="AB416" s="357" t="s">
        <v>1203</v>
      </c>
      <c r="AC416" s="357"/>
      <c r="AD416" s="357"/>
      <c r="AE416" s="357"/>
      <c r="AF416" s="357"/>
      <c r="AG416" s="147"/>
    </row>
    <row r="417" spans="1:34" s="182" customFormat="1" ht="33.75">
      <c r="A417" s="346">
        <v>57</v>
      </c>
      <c r="B417" s="349" t="s">
        <v>875</v>
      </c>
      <c r="C417" s="348" t="s">
        <v>134</v>
      </c>
      <c r="D417" s="364" t="s">
        <v>1259</v>
      </c>
      <c r="E417" s="104" t="s">
        <v>114</v>
      </c>
      <c r="F417" s="353" t="s">
        <v>88</v>
      </c>
      <c r="G417" s="353" t="s">
        <v>129</v>
      </c>
      <c r="H417" s="353" t="s">
        <v>876</v>
      </c>
      <c r="I417" s="353" t="s">
        <v>808</v>
      </c>
      <c r="J417" s="351">
        <v>42092</v>
      </c>
      <c r="K417" s="352">
        <v>1</v>
      </c>
      <c r="L417" s="351">
        <v>42123</v>
      </c>
      <c r="M417" s="351">
        <v>42153</v>
      </c>
      <c r="N417" s="352">
        <v>4</v>
      </c>
      <c r="O417" s="351">
        <f t="shared" si="24"/>
        <v>42277</v>
      </c>
      <c r="P417" s="353" t="s">
        <v>113</v>
      </c>
      <c r="Q417" s="353" t="s">
        <v>251</v>
      </c>
      <c r="R417" s="353" t="s">
        <v>1180</v>
      </c>
      <c r="S417" s="352" t="s">
        <v>118</v>
      </c>
      <c r="T417" s="354" t="s">
        <v>253</v>
      </c>
      <c r="U417" s="367">
        <v>3943144</v>
      </c>
      <c r="V417" s="109"/>
      <c r="W417" s="110"/>
      <c r="X417" s="355">
        <f t="shared" si="25"/>
        <v>3943144</v>
      </c>
      <c r="Y417" s="355">
        <v>0</v>
      </c>
      <c r="Z417" s="355">
        <v>0</v>
      </c>
      <c r="AA417" s="356" t="s">
        <v>860</v>
      </c>
      <c r="AB417" s="357"/>
      <c r="AC417" s="357"/>
      <c r="AD417" s="357"/>
      <c r="AE417" s="357"/>
      <c r="AF417" s="357"/>
      <c r="AG417" s="147"/>
    </row>
    <row r="418" spans="1:34" s="182" customFormat="1" ht="33.75">
      <c r="A418" s="346">
        <v>58</v>
      </c>
      <c r="B418" s="349" t="s">
        <v>877</v>
      </c>
      <c r="C418" s="348" t="s">
        <v>138</v>
      </c>
      <c r="D418" s="364" t="s">
        <v>870</v>
      </c>
      <c r="E418" s="104" t="s">
        <v>114</v>
      </c>
      <c r="F418" s="353" t="s">
        <v>88</v>
      </c>
      <c r="G418" s="353" t="s">
        <v>617</v>
      </c>
      <c r="H418" s="353" t="s">
        <v>25</v>
      </c>
      <c r="I418" s="353" t="s">
        <v>808</v>
      </c>
      <c r="J418" s="351">
        <v>42092</v>
      </c>
      <c r="K418" s="352">
        <v>1</v>
      </c>
      <c r="L418" s="351">
        <v>42123</v>
      </c>
      <c r="M418" s="351">
        <v>42153</v>
      </c>
      <c r="N418" s="352">
        <v>3</v>
      </c>
      <c r="O418" s="351">
        <f t="shared" si="24"/>
        <v>42246</v>
      </c>
      <c r="P418" s="353" t="s">
        <v>113</v>
      </c>
      <c r="Q418" s="353" t="s">
        <v>251</v>
      </c>
      <c r="R418" s="353" t="s">
        <v>1180</v>
      </c>
      <c r="S418" s="352" t="s">
        <v>118</v>
      </c>
      <c r="T418" s="354" t="s">
        <v>253</v>
      </c>
      <c r="U418" s="354">
        <v>980484</v>
      </c>
      <c r="V418" s="109"/>
      <c r="W418" s="110"/>
      <c r="X418" s="355">
        <f t="shared" si="25"/>
        <v>980484</v>
      </c>
      <c r="Y418" s="355"/>
      <c r="Z418" s="355"/>
      <c r="AA418" s="356" t="s">
        <v>132</v>
      </c>
      <c r="AB418" s="357"/>
      <c r="AC418" s="357"/>
      <c r="AD418" s="357"/>
      <c r="AE418" s="357"/>
      <c r="AF418" s="357"/>
      <c r="AG418" s="147"/>
    </row>
    <row r="419" spans="1:34" s="182" customFormat="1" ht="33.75">
      <c r="A419" s="346">
        <v>59</v>
      </c>
      <c r="B419" s="349" t="s">
        <v>878</v>
      </c>
      <c r="C419" s="348" t="s">
        <v>134</v>
      </c>
      <c r="D419" s="364" t="s">
        <v>870</v>
      </c>
      <c r="E419" s="104" t="s">
        <v>114</v>
      </c>
      <c r="F419" s="353" t="s">
        <v>88</v>
      </c>
      <c r="G419" s="353" t="s">
        <v>617</v>
      </c>
      <c r="H419" s="353" t="s">
        <v>25</v>
      </c>
      <c r="I419" s="353" t="s">
        <v>808</v>
      </c>
      <c r="J419" s="351">
        <v>42092</v>
      </c>
      <c r="K419" s="352">
        <v>1</v>
      </c>
      <c r="L419" s="351">
        <v>42123</v>
      </c>
      <c r="M419" s="351">
        <v>42153</v>
      </c>
      <c r="N419" s="352">
        <v>4</v>
      </c>
      <c r="O419" s="351">
        <f t="shared" si="24"/>
        <v>42277</v>
      </c>
      <c r="P419" s="353" t="s">
        <v>113</v>
      </c>
      <c r="Q419" s="353" t="s">
        <v>251</v>
      </c>
      <c r="R419" s="353" t="s">
        <v>1180</v>
      </c>
      <c r="S419" s="352" t="s">
        <v>118</v>
      </c>
      <c r="T419" s="354" t="s">
        <v>253</v>
      </c>
      <c r="U419" s="354">
        <v>3467500</v>
      </c>
      <c r="V419" s="109"/>
      <c r="W419" s="110"/>
      <c r="X419" s="355">
        <f t="shared" si="25"/>
        <v>3467500</v>
      </c>
      <c r="Y419" s="355"/>
      <c r="Z419" s="355"/>
      <c r="AA419" s="356" t="s">
        <v>132</v>
      </c>
      <c r="AB419" s="357"/>
      <c r="AC419" s="357"/>
      <c r="AD419" s="357"/>
      <c r="AE419" s="357"/>
      <c r="AF419" s="357"/>
      <c r="AG419" s="147"/>
    </row>
    <row r="420" spans="1:34" s="182" customFormat="1" ht="33.75">
      <c r="A420" s="346">
        <v>60</v>
      </c>
      <c r="B420" s="349" t="s">
        <v>879</v>
      </c>
      <c r="C420" s="348" t="s">
        <v>302</v>
      </c>
      <c r="D420" s="364" t="s">
        <v>870</v>
      </c>
      <c r="E420" s="104" t="s">
        <v>114</v>
      </c>
      <c r="F420" s="353" t="s">
        <v>84</v>
      </c>
      <c r="G420" s="353" t="s">
        <v>608</v>
      </c>
      <c r="H420" s="353" t="s">
        <v>96</v>
      </c>
      <c r="I420" s="353" t="s">
        <v>808</v>
      </c>
      <c r="J420" s="351">
        <v>42092</v>
      </c>
      <c r="K420" s="352">
        <v>1</v>
      </c>
      <c r="L420" s="351">
        <v>42123</v>
      </c>
      <c r="M420" s="351">
        <v>42153</v>
      </c>
      <c r="N420" s="352">
        <v>4</v>
      </c>
      <c r="O420" s="351">
        <f t="shared" si="24"/>
        <v>42277</v>
      </c>
      <c r="P420" s="353" t="s">
        <v>113</v>
      </c>
      <c r="Q420" s="353" t="s">
        <v>251</v>
      </c>
      <c r="R420" s="353" t="s">
        <v>1180</v>
      </c>
      <c r="S420" s="352" t="s">
        <v>118</v>
      </c>
      <c r="T420" s="354" t="s">
        <v>253</v>
      </c>
      <c r="U420" s="354">
        <v>1512229</v>
      </c>
      <c r="V420" s="109"/>
      <c r="W420" s="110"/>
      <c r="X420" s="355">
        <f t="shared" si="25"/>
        <v>1512229</v>
      </c>
      <c r="Y420" s="355"/>
      <c r="Z420" s="355"/>
      <c r="AA420" s="356" t="s">
        <v>132</v>
      </c>
      <c r="AB420" s="357"/>
      <c r="AC420" s="357"/>
      <c r="AD420" s="357"/>
      <c r="AE420" s="357"/>
      <c r="AF420" s="357"/>
      <c r="AG420" s="147"/>
    </row>
    <row r="421" spans="1:34" s="182" customFormat="1" ht="33.75">
      <c r="A421" s="346">
        <v>61</v>
      </c>
      <c r="B421" s="349" t="s">
        <v>880</v>
      </c>
      <c r="C421" s="348" t="s">
        <v>134</v>
      </c>
      <c r="D421" s="364" t="s">
        <v>870</v>
      </c>
      <c r="E421" s="104" t="s">
        <v>114</v>
      </c>
      <c r="F421" s="353" t="s">
        <v>91</v>
      </c>
      <c r="G421" s="353" t="s">
        <v>881</v>
      </c>
      <c r="H421" s="353" t="s">
        <v>882</v>
      </c>
      <c r="I421" s="353" t="s">
        <v>808</v>
      </c>
      <c r="J421" s="351">
        <v>42092</v>
      </c>
      <c r="K421" s="352">
        <v>1</v>
      </c>
      <c r="L421" s="351">
        <v>42123</v>
      </c>
      <c r="M421" s="351">
        <v>42153</v>
      </c>
      <c r="N421" s="352">
        <v>2</v>
      </c>
      <c r="O421" s="351">
        <f t="shared" si="24"/>
        <v>42215</v>
      </c>
      <c r="P421" s="353" t="s">
        <v>113</v>
      </c>
      <c r="Q421" s="353" t="s">
        <v>251</v>
      </c>
      <c r="R421" s="363" t="s">
        <v>1180</v>
      </c>
      <c r="S421" s="352" t="s">
        <v>118</v>
      </c>
      <c r="T421" s="354" t="s">
        <v>253</v>
      </c>
      <c r="U421" s="354">
        <v>612340</v>
      </c>
      <c r="V421" s="109"/>
      <c r="W421" s="110"/>
      <c r="X421" s="355">
        <f t="shared" si="25"/>
        <v>612340</v>
      </c>
      <c r="Y421" s="355"/>
      <c r="Z421" s="355"/>
      <c r="AA421" s="356" t="s">
        <v>132</v>
      </c>
      <c r="AB421" s="357"/>
      <c r="AC421" s="357"/>
      <c r="AD421" s="357"/>
      <c r="AE421" s="357"/>
      <c r="AF421" s="357"/>
      <c r="AG421" s="147"/>
    </row>
    <row r="422" spans="1:34" s="182" customFormat="1" ht="33.75">
      <c r="A422" s="346">
        <v>62</v>
      </c>
      <c r="B422" s="349" t="s">
        <v>883</v>
      </c>
      <c r="C422" s="348" t="s">
        <v>134</v>
      </c>
      <c r="D422" s="364" t="s">
        <v>870</v>
      </c>
      <c r="E422" s="104" t="s">
        <v>114</v>
      </c>
      <c r="F422" s="353" t="s">
        <v>91</v>
      </c>
      <c r="G422" s="353" t="s">
        <v>228</v>
      </c>
      <c r="H422" s="353" t="s">
        <v>200</v>
      </c>
      <c r="I422" s="353" t="s">
        <v>808</v>
      </c>
      <c r="J422" s="351">
        <v>42092</v>
      </c>
      <c r="K422" s="352">
        <v>1</v>
      </c>
      <c r="L422" s="351">
        <v>42123</v>
      </c>
      <c r="M422" s="351">
        <v>42153</v>
      </c>
      <c r="N422" s="352">
        <v>2</v>
      </c>
      <c r="O422" s="351">
        <f t="shared" si="24"/>
        <v>42215</v>
      </c>
      <c r="P422" s="353" t="s">
        <v>113</v>
      </c>
      <c r="Q422" s="353" t="s">
        <v>251</v>
      </c>
      <c r="R422" s="363" t="s">
        <v>1180</v>
      </c>
      <c r="S422" s="352" t="s">
        <v>118</v>
      </c>
      <c r="T422" s="354" t="s">
        <v>253</v>
      </c>
      <c r="U422" s="354">
        <v>413000</v>
      </c>
      <c r="V422" s="109"/>
      <c r="W422" s="110"/>
      <c r="X422" s="355">
        <f t="shared" si="25"/>
        <v>413000</v>
      </c>
      <c r="Y422" s="355"/>
      <c r="Z422" s="355"/>
      <c r="AA422" s="356" t="s">
        <v>132</v>
      </c>
      <c r="AB422" s="357"/>
      <c r="AC422" s="357"/>
      <c r="AD422" s="357"/>
      <c r="AE422" s="357"/>
      <c r="AF422" s="357"/>
      <c r="AG422" s="147"/>
    </row>
    <row r="423" spans="1:34" s="182" customFormat="1" ht="33.75">
      <c r="A423" s="346">
        <v>63</v>
      </c>
      <c r="B423" s="349" t="s">
        <v>884</v>
      </c>
      <c r="C423" s="348" t="s">
        <v>140</v>
      </c>
      <c r="D423" s="364" t="s">
        <v>870</v>
      </c>
      <c r="E423" s="104" t="s">
        <v>114</v>
      </c>
      <c r="F423" s="353" t="s">
        <v>91</v>
      </c>
      <c r="G423" s="353" t="s">
        <v>885</v>
      </c>
      <c r="H423" s="353" t="s">
        <v>200</v>
      </c>
      <c r="I423" s="353" t="s">
        <v>808</v>
      </c>
      <c r="J423" s="351">
        <v>42092</v>
      </c>
      <c r="K423" s="352">
        <v>1</v>
      </c>
      <c r="L423" s="351">
        <v>42123</v>
      </c>
      <c r="M423" s="351">
        <v>42153</v>
      </c>
      <c r="N423" s="352">
        <v>2</v>
      </c>
      <c r="O423" s="351">
        <f t="shared" si="24"/>
        <v>42215</v>
      </c>
      <c r="P423" s="353" t="s">
        <v>113</v>
      </c>
      <c r="Q423" s="353" t="s">
        <v>251</v>
      </c>
      <c r="R423" s="363" t="s">
        <v>1180</v>
      </c>
      <c r="S423" s="352" t="s">
        <v>118</v>
      </c>
      <c r="T423" s="354" t="s">
        <v>253</v>
      </c>
      <c r="U423" s="354">
        <v>642000</v>
      </c>
      <c r="V423" s="109"/>
      <c r="W423" s="110"/>
      <c r="X423" s="355">
        <f t="shared" si="25"/>
        <v>642000</v>
      </c>
      <c r="Y423" s="355"/>
      <c r="Z423" s="355"/>
      <c r="AA423" s="356" t="s">
        <v>132</v>
      </c>
      <c r="AB423" s="357"/>
      <c r="AC423" s="357"/>
      <c r="AD423" s="357"/>
      <c r="AE423" s="357"/>
      <c r="AF423" s="357"/>
      <c r="AG423" s="147"/>
    </row>
    <row r="424" spans="1:34" s="182" customFormat="1" ht="33.75">
      <c r="A424" s="346">
        <v>64</v>
      </c>
      <c r="B424" s="349" t="s">
        <v>886</v>
      </c>
      <c r="C424" s="348" t="s">
        <v>134</v>
      </c>
      <c r="D424" s="364" t="s">
        <v>870</v>
      </c>
      <c r="E424" s="104" t="s">
        <v>114</v>
      </c>
      <c r="F424" s="353" t="s">
        <v>91</v>
      </c>
      <c r="G424" s="353" t="s">
        <v>294</v>
      </c>
      <c r="H424" s="353" t="s">
        <v>200</v>
      </c>
      <c r="I424" s="353" t="s">
        <v>808</v>
      </c>
      <c r="J424" s="351">
        <v>42092</v>
      </c>
      <c r="K424" s="352">
        <v>1</v>
      </c>
      <c r="L424" s="351">
        <v>42123</v>
      </c>
      <c r="M424" s="351">
        <v>42153</v>
      </c>
      <c r="N424" s="352">
        <v>2</v>
      </c>
      <c r="O424" s="351">
        <f t="shared" si="24"/>
        <v>42215</v>
      </c>
      <c r="P424" s="353" t="s">
        <v>113</v>
      </c>
      <c r="Q424" s="353" t="s">
        <v>251</v>
      </c>
      <c r="R424" s="363" t="s">
        <v>1180</v>
      </c>
      <c r="S424" s="352" t="s">
        <v>118</v>
      </c>
      <c r="T424" s="354" t="s">
        <v>253</v>
      </c>
      <c r="U424" s="354">
        <v>642000</v>
      </c>
      <c r="V424" s="109"/>
      <c r="W424" s="110"/>
      <c r="X424" s="355">
        <f t="shared" si="25"/>
        <v>642000</v>
      </c>
      <c r="Y424" s="355"/>
      <c r="Z424" s="355"/>
      <c r="AA424" s="356" t="s">
        <v>132</v>
      </c>
      <c r="AB424" s="357"/>
      <c r="AC424" s="357"/>
      <c r="AD424" s="357"/>
      <c r="AE424" s="357"/>
      <c r="AF424" s="357"/>
      <c r="AG424" s="147"/>
    </row>
    <row r="425" spans="1:34" s="182" customFormat="1" ht="33.75">
      <c r="A425" s="346">
        <v>65</v>
      </c>
      <c r="B425" s="349" t="s">
        <v>887</v>
      </c>
      <c r="C425" s="348" t="s">
        <v>134</v>
      </c>
      <c r="D425" s="364" t="s">
        <v>870</v>
      </c>
      <c r="E425" s="104" t="s">
        <v>114</v>
      </c>
      <c r="F425" s="353" t="s">
        <v>91</v>
      </c>
      <c r="G425" s="353" t="s">
        <v>881</v>
      </c>
      <c r="H425" s="353" t="s">
        <v>882</v>
      </c>
      <c r="I425" s="353" t="s">
        <v>808</v>
      </c>
      <c r="J425" s="351">
        <v>42092</v>
      </c>
      <c r="K425" s="352">
        <v>1</v>
      </c>
      <c r="L425" s="351">
        <v>42123</v>
      </c>
      <c r="M425" s="351">
        <v>42153</v>
      </c>
      <c r="N425" s="352">
        <v>2</v>
      </c>
      <c r="O425" s="351">
        <f t="shared" si="24"/>
        <v>42215</v>
      </c>
      <c r="P425" s="353" t="s">
        <v>113</v>
      </c>
      <c r="Q425" s="353" t="s">
        <v>251</v>
      </c>
      <c r="R425" s="363" t="s">
        <v>1180</v>
      </c>
      <c r="S425" s="352" t="s">
        <v>118</v>
      </c>
      <c r="T425" s="354" t="s">
        <v>253</v>
      </c>
      <c r="U425" s="354">
        <v>642000</v>
      </c>
      <c r="V425" s="109"/>
      <c r="W425" s="110"/>
      <c r="X425" s="355">
        <f t="shared" si="25"/>
        <v>642000</v>
      </c>
      <c r="Y425" s="355"/>
      <c r="Z425" s="355"/>
      <c r="AA425" s="356" t="s">
        <v>132</v>
      </c>
      <c r="AB425" s="357"/>
      <c r="AC425" s="357"/>
      <c r="AD425" s="357"/>
      <c r="AE425" s="357"/>
      <c r="AF425" s="357"/>
      <c r="AG425" s="147"/>
    </row>
    <row r="426" spans="1:34" s="338" customFormat="1" ht="33.75">
      <c r="A426" s="400">
        <v>66</v>
      </c>
      <c r="B426" s="411" t="s">
        <v>1260</v>
      </c>
      <c r="C426" s="365"/>
      <c r="D426" s="412"/>
      <c r="E426" s="320"/>
      <c r="F426" s="363" t="s">
        <v>88</v>
      </c>
      <c r="G426" s="363" t="s">
        <v>381</v>
      </c>
      <c r="H426" s="363" t="s">
        <v>25</v>
      </c>
      <c r="I426" s="363" t="s">
        <v>808</v>
      </c>
      <c r="J426" s="351">
        <v>42092</v>
      </c>
      <c r="K426" s="352">
        <v>1</v>
      </c>
      <c r="L426" s="351">
        <v>42123</v>
      </c>
      <c r="M426" s="351">
        <v>42153</v>
      </c>
      <c r="N426" s="404"/>
      <c r="O426" s="403"/>
      <c r="P426" s="363" t="s">
        <v>113</v>
      </c>
      <c r="Q426" s="363" t="s">
        <v>251</v>
      </c>
      <c r="R426" s="363" t="s">
        <v>1180</v>
      </c>
      <c r="S426" s="404" t="s">
        <v>118</v>
      </c>
      <c r="T426" s="368"/>
      <c r="U426" s="413">
        <v>0</v>
      </c>
      <c r="V426" s="339"/>
      <c r="W426" s="340"/>
      <c r="X426" s="369" t="s">
        <v>87</v>
      </c>
      <c r="Y426" s="355">
        <v>0</v>
      </c>
      <c r="Z426" s="355">
        <v>0</v>
      </c>
      <c r="AA426" s="414" t="s">
        <v>132</v>
      </c>
      <c r="AB426" s="361"/>
      <c r="AC426" s="361"/>
      <c r="AD426" s="361"/>
      <c r="AE426" s="361"/>
      <c r="AF426" s="361"/>
      <c r="AG426" s="362"/>
    </row>
    <row r="427" spans="1:34" s="338" customFormat="1" ht="38.25" hidden="1">
      <c r="A427" s="318">
        <v>78</v>
      </c>
      <c r="B427" s="321" t="s">
        <v>1261</v>
      </c>
      <c r="C427" s="320"/>
      <c r="D427" s="333"/>
      <c r="E427" s="320"/>
      <c r="F427" s="321" t="s">
        <v>84</v>
      </c>
      <c r="G427" s="321" t="s">
        <v>165</v>
      </c>
      <c r="H427" s="321" t="s">
        <v>96</v>
      </c>
      <c r="I427" s="321" t="s">
        <v>808</v>
      </c>
      <c r="J427" s="322"/>
      <c r="K427" s="322"/>
      <c r="L427" s="322">
        <f t="shared" si="26"/>
        <v>0</v>
      </c>
      <c r="M427" s="322"/>
      <c r="N427" s="322"/>
      <c r="O427" s="322">
        <f t="shared" ref="O427:O442" si="27">M427+(N427*22)</f>
        <v>0</v>
      </c>
      <c r="P427" s="323" t="s">
        <v>113</v>
      </c>
      <c r="Q427" s="321" t="s">
        <v>251</v>
      </c>
      <c r="R427" s="323" t="s">
        <v>1180</v>
      </c>
      <c r="S427" s="334" t="s">
        <v>118</v>
      </c>
      <c r="T427" s="324"/>
      <c r="U427" s="335">
        <v>0</v>
      </c>
      <c r="V427" s="339"/>
      <c r="W427" s="340"/>
      <c r="X427" s="340" t="s">
        <v>87</v>
      </c>
      <c r="Y427" s="324"/>
      <c r="Z427" s="324"/>
      <c r="AA427" s="336"/>
      <c r="AB427" s="326"/>
      <c r="AC427" s="326"/>
      <c r="AD427" s="326"/>
      <c r="AE427" s="326"/>
      <c r="AF427" s="326"/>
      <c r="AG427" s="327"/>
      <c r="AH427" s="337"/>
    </row>
    <row r="428" spans="1:34" s="338" customFormat="1" ht="38.25" hidden="1">
      <c r="A428" s="318">
        <v>79</v>
      </c>
      <c r="B428" s="321" t="s">
        <v>1262</v>
      </c>
      <c r="C428" s="320"/>
      <c r="D428" s="333"/>
      <c r="E428" s="320"/>
      <c r="F428" s="321"/>
      <c r="G428" s="321"/>
      <c r="H428" s="321"/>
      <c r="I428" s="321" t="s">
        <v>808</v>
      </c>
      <c r="J428" s="322"/>
      <c r="K428" s="322"/>
      <c r="L428" s="322">
        <f t="shared" si="26"/>
        <v>0</v>
      </c>
      <c r="M428" s="322"/>
      <c r="N428" s="322"/>
      <c r="O428" s="322">
        <f t="shared" si="27"/>
        <v>0</v>
      </c>
      <c r="P428" s="323" t="s">
        <v>113</v>
      </c>
      <c r="Q428" s="321" t="s">
        <v>251</v>
      </c>
      <c r="R428" s="323" t="s">
        <v>1180</v>
      </c>
      <c r="S428" s="334" t="s">
        <v>118</v>
      </c>
      <c r="T428" s="324"/>
      <c r="U428" s="335">
        <v>0</v>
      </c>
      <c r="V428" s="339"/>
      <c r="W428" s="340"/>
      <c r="X428" s="340" t="s">
        <v>87</v>
      </c>
      <c r="Y428" s="324"/>
      <c r="Z428" s="324"/>
      <c r="AA428" s="336"/>
      <c r="AB428" s="326"/>
      <c r="AC428" s="326"/>
      <c r="AD428" s="326"/>
      <c r="AE428" s="326"/>
      <c r="AF428" s="326"/>
      <c r="AG428" s="327"/>
      <c r="AH428" s="337"/>
    </row>
    <row r="429" spans="1:34" s="182" customFormat="1" ht="78.75">
      <c r="A429" s="346">
        <v>67</v>
      </c>
      <c r="B429" s="349" t="s">
        <v>888</v>
      </c>
      <c r="C429" s="348" t="s">
        <v>514</v>
      </c>
      <c r="D429" s="364" t="s">
        <v>889</v>
      </c>
      <c r="E429" s="104" t="s">
        <v>114</v>
      </c>
      <c r="F429" s="353" t="s">
        <v>141</v>
      </c>
      <c r="G429" s="353" t="s">
        <v>237</v>
      </c>
      <c r="H429" s="353" t="s">
        <v>3</v>
      </c>
      <c r="I429" s="353" t="s">
        <v>136</v>
      </c>
      <c r="J429" s="351" t="s">
        <v>83</v>
      </c>
      <c r="K429" s="352" t="s">
        <v>83</v>
      </c>
      <c r="L429" s="351" t="s">
        <v>83</v>
      </c>
      <c r="M429" s="351">
        <v>42017</v>
      </c>
      <c r="N429" s="352">
        <v>12</v>
      </c>
      <c r="O429" s="351">
        <f>M429+(N429*31)</f>
        <v>42389</v>
      </c>
      <c r="P429" s="353" t="s">
        <v>113</v>
      </c>
      <c r="Q429" s="353" t="s">
        <v>115</v>
      </c>
      <c r="R429" s="353" t="s">
        <v>65</v>
      </c>
      <c r="S429" s="352" t="s">
        <v>118</v>
      </c>
      <c r="T429" s="348" t="s">
        <v>119</v>
      </c>
      <c r="U429" s="354">
        <f>46168548.09*1.235</f>
        <v>57018156.891150013</v>
      </c>
      <c r="V429" s="109"/>
      <c r="W429" s="110">
        <v>0</v>
      </c>
      <c r="X429" s="355">
        <f>+U429-Y429-5000000</f>
        <v>46316341.20203501</v>
      </c>
      <c r="Y429" s="355">
        <f>+U429*0.1</f>
        <v>5701815.6891150018</v>
      </c>
      <c r="Z429" s="355">
        <v>0</v>
      </c>
      <c r="AA429" s="356" t="s">
        <v>132</v>
      </c>
      <c r="AB429" s="357"/>
      <c r="AC429" s="357"/>
      <c r="AD429" s="357"/>
      <c r="AE429" s="357"/>
      <c r="AF429" s="357"/>
      <c r="AG429" s="147"/>
    </row>
    <row r="430" spans="1:34" s="182" customFormat="1" ht="22.5">
      <c r="A430" s="346">
        <v>68</v>
      </c>
      <c r="B430" s="347" t="s">
        <v>1336</v>
      </c>
      <c r="C430" s="353" t="str">
        <f>+'[1]Baseline 1'!D310</f>
        <v>S</v>
      </c>
      <c r="D430" s="347" t="s">
        <v>890</v>
      </c>
      <c r="E430" s="103" t="str">
        <f>+'[1]Baseline 1'!G310</f>
        <v>Capital Assets</v>
      </c>
      <c r="F430" s="353" t="str">
        <f>+'[1]Baseline 1'!H310</f>
        <v>Gert Sibande</v>
      </c>
      <c r="G430" s="353" t="str">
        <f>+'[1]Baseline 1'!I310</f>
        <v>Breyten</v>
      </c>
      <c r="H430" s="353" t="str">
        <f>+'[1]Baseline 1'!J310</f>
        <v>Msukaligwa</v>
      </c>
      <c r="I430" s="353" t="s">
        <v>124</v>
      </c>
      <c r="J430" s="351" t="s">
        <v>83</v>
      </c>
      <c r="K430" s="352" t="s">
        <v>83</v>
      </c>
      <c r="L430" s="351" t="s">
        <v>83</v>
      </c>
      <c r="M430" s="351">
        <v>42023</v>
      </c>
      <c r="N430" s="352">
        <v>4</v>
      </c>
      <c r="O430" s="351">
        <v>42139</v>
      </c>
      <c r="P430" s="347" t="e">
        <f>+'[1]Baseline 1'!O310</f>
        <v>#REF!</v>
      </c>
      <c r="Q430" s="353" t="s">
        <v>123</v>
      </c>
      <c r="R430" s="353" t="s">
        <v>65</v>
      </c>
      <c r="S430" s="348" t="s">
        <v>118</v>
      </c>
      <c r="T430" s="348" t="s">
        <v>119</v>
      </c>
      <c r="U430" s="354">
        <f>+'[1]Baseline 1'!AA310</f>
        <v>409345.77</v>
      </c>
      <c r="V430" s="109">
        <v>0</v>
      </c>
      <c r="W430" s="110">
        <v>0</v>
      </c>
      <c r="X430" s="355">
        <f>+U430*0.6</f>
        <v>245607.462</v>
      </c>
      <c r="Y430" s="355">
        <v>0</v>
      </c>
      <c r="Z430" s="355">
        <v>0</v>
      </c>
      <c r="AA430" s="356" t="s">
        <v>132</v>
      </c>
      <c r="AB430" s="357"/>
      <c r="AC430" s="357"/>
      <c r="AD430" s="357"/>
      <c r="AE430" s="357"/>
      <c r="AF430" s="357"/>
      <c r="AG430" s="147"/>
    </row>
    <row r="431" spans="1:34" s="182" customFormat="1" ht="22.5">
      <c r="A431" s="346">
        <v>69</v>
      </c>
      <c r="B431" s="347" t="s">
        <v>1337</v>
      </c>
      <c r="C431" s="353" t="str">
        <f>+'[1]Baseline 1'!D319</f>
        <v>S</v>
      </c>
      <c r="D431" s="347">
        <f>+'[1]Baseline 1'!E319</f>
        <v>800021105</v>
      </c>
      <c r="E431" s="103" t="str">
        <f>+'[1]Baseline 1'!G319</f>
        <v>Capital Assets</v>
      </c>
      <c r="F431" s="353" t="str">
        <f>+'[1]Baseline 1'!H319</f>
        <v>Ehlanzeni</v>
      </c>
      <c r="G431" s="353" t="str">
        <f>+'[1]Baseline 1'!I319</f>
        <v>Insikazi</v>
      </c>
      <c r="H431" s="353" t="str">
        <f>+'[1]Baseline 1'!J319</f>
        <v>Mbombela</v>
      </c>
      <c r="I431" s="353" t="s">
        <v>124</v>
      </c>
      <c r="J431" s="351" t="s">
        <v>83</v>
      </c>
      <c r="K431" s="352" t="s">
        <v>83</v>
      </c>
      <c r="L431" s="351" t="s">
        <v>83</v>
      </c>
      <c r="M431" s="351">
        <v>42023</v>
      </c>
      <c r="N431" s="352">
        <v>3</v>
      </c>
      <c r="O431" s="351">
        <v>42117</v>
      </c>
      <c r="P431" s="347" t="e">
        <f>+'[1]Baseline 1'!O319</f>
        <v>#REF!</v>
      </c>
      <c r="Q431" s="353" t="s">
        <v>123</v>
      </c>
      <c r="R431" s="353" t="s">
        <v>65</v>
      </c>
      <c r="S431" s="348" t="s">
        <v>118</v>
      </c>
      <c r="T431" s="348" t="s">
        <v>119</v>
      </c>
      <c r="U431" s="354">
        <f>+'[1]Baseline 1'!AA319</f>
        <v>919940.46</v>
      </c>
      <c r="V431" s="109"/>
      <c r="W431" s="110">
        <v>0</v>
      </c>
      <c r="X431" s="355">
        <f>+U431*0.6</f>
        <v>551964.27599999995</v>
      </c>
      <c r="Y431" s="355">
        <v>0</v>
      </c>
      <c r="Z431" s="355">
        <v>0</v>
      </c>
      <c r="AA431" s="356" t="s">
        <v>132</v>
      </c>
      <c r="AB431" s="357"/>
      <c r="AC431" s="357"/>
      <c r="AD431" s="357"/>
      <c r="AE431" s="357"/>
      <c r="AF431" s="357"/>
      <c r="AG431" s="147"/>
    </row>
    <row r="432" spans="1:34" s="182" customFormat="1" ht="22.5">
      <c r="A432" s="346">
        <v>70</v>
      </c>
      <c r="B432" s="347" t="s">
        <v>1338</v>
      </c>
      <c r="C432" s="353" t="str">
        <f>+'[1]Baseline 1'!D320</f>
        <v>S</v>
      </c>
      <c r="D432" s="347">
        <f>+'[1]Baseline 1'!E320</f>
        <v>800003178</v>
      </c>
      <c r="E432" s="103" t="str">
        <f>+'[1]Baseline 1'!G320</f>
        <v>Capital Assets</v>
      </c>
      <c r="F432" s="353" t="str">
        <f>+'[1]Baseline 1'!H320</f>
        <v>Ehlanzeni</v>
      </c>
      <c r="G432" s="353" t="str">
        <f>+'[1]Baseline 1'!I320</f>
        <v>Sikhulile</v>
      </c>
      <c r="H432" s="353" t="str">
        <f>+'[1]Baseline 1'!J320</f>
        <v>Mbombela</v>
      </c>
      <c r="I432" s="353" t="s">
        <v>124</v>
      </c>
      <c r="J432" s="351" t="s">
        <v>83</v>
      </c>
      <c r="K432" s="352" t="s">
        <v>83</v>
      </c>
      <c r="L432" s="351" t="s">
        <v>83</v>
      </c>
      <c r="M432" s="351">
        <v>42023</v>
      </c>
      <c r="N432" s="352">
        <v>3</v>
      </c>
      <c r="O432" s="351">
        <v>42116</v>
      </c>
      <c r="P432" s="347" t="e">
        <f>+'[1]Baseline 1'!O320</f>
        <v>#REF!</v>
      </c>
      <c r="Q432" s="353" t="s">
        <v>123</v>
      </c>
      <c r="R432" s="353" t="s">
        <v>65</v>
      </c>
      <c r="S432" s="348" t="s">
        <v>118</v>
      </c>
      <c r="T432" s="348" t="s">
        <v>119</v>
      </c>
      <c r="U432" s="354">
        <f>+'[1]Baseline 1'!AA320</f>
        <v>2038543.3</v>
      </c>
      <c r="V432" s="109"/>
      <c r="W432" s="110">
        <v>0</v>
      </c>
      <c r="X432" s="355">
        <f>+U432*0.6</f>
        <v>1223125.98</v>
      </c>
      <c r="Y432" s="355">
        <v>0</v>
      </c>
      <c r="Z432" s="355">
        <v>0</v>
      </c>
      <c r="AA432" s="356" t="s">
        <v>132</v>
      </c>
      <c r="AB432" s="357"/>
      <c r="AC432" s="357"/>
      <c r="AD432" s="357"/>
      <c r="AE432" s="357"/>
      <c r="AF432" s="357"/>
      <c r="AG432" s="147"/>
    </row>
    <row r="433" spans="1:256" s="229" customFormat="1" ht="90" hidden="1" customHeight="1">
      <c r="A433" s="101">
        <f>+A432+1</f>
        <v>71</v>
      </c>
      <c r="B433" s="103" t="s">
        <v>891</v>
      </c>
      <c r="C433" s="104" t="s">
        <v>134</v>
      </c>
      <c r="D433" s="103" t="s">
        <v>893</v>
      </c>
      <c r="E433" s="104" t="s">
        <v>114</v>
      </c>
      <c r="F433" s="103" t="s">
        <v>141</v>
      </c>
      <c r="G433" s="106" t="s">
        <v>892</v>
      </c>
      <c r="H433" s="102" t="s">
        <v>3</v>
      </c>
      <c r="I433" s="103" t="s">
        <v>124</v>
      </c>
      <c r="J433" s="224">
        <v>42278</v>
      </c>
      <c r="K433" s="224"/>
      <c r="L433" s="224">
        <f t="shared" si="26"/>
        <v>42278</v>
      </c>
      <c r="M433" s="224">
        <v>42428</v>
      </c>
      <c r="N433" s="224"/>
      <c r="O433" s="224">
        <f t="shared" si="27"/>
        <v>42428</v>
      </c>
      <c r="P433" s="105"/>
      <c r="Q433" s="103" t="s">
        <v>123</v>
      </c>
      <c r="R433" s="103"/>
      <c r="S433" s="104" t="s">
        <v>334</v>
      </c>
      <c r="T433" s="104"/>
      <c r="U433" s="110">
        <f>12*(1022001/14)*1.125*1.07</f>
        <v>1054486.0317857144</v>
      </c>
      <c r="V433" s="109"/>
      <c r="W433" s="110">
        <v>0</v>
      </c>
      <c r="X433" s="259">
        <f>+U433</f>
        <v>1054486.0317857144</v>
      </c>
      <c r="Y433" s="259">
        <v>0</v>
      </c>
      <c r="Z433" s="259">
        <v>0</v>
      </c>
      <c r="AA433" s="226">
        <v>0</v>
      </c>
      <c r="AB433" s="219"/>
      <c r="AC433" s="219"/>
      <c r="AD433" s="219"/>
      <c r="AE433" s="219"/>
      <c r="AF433" s="219"/>
      <c r="AG433" s="100"/>
      <c r="AH433" s="227"/>
      <c r="AI433" s="228"/>
      <c r="AJ433" s="228"/>
      <c r="AK433" s="228"/>
      <c r="AL433" s="228"/>
      <c r="AM433" s="228"/>
      <c r="AN433" s="228"/>
      <c r="AO433" s="228"/>
      <c r="AP433" s="228"/>
      <c r="AQ433" s="228"/>
      <c r="AR433" s="228"/>
      <c r="AS433" s="228"/>
      <c r="AT433" s="228"/>
      <c r="AU433" s="228"/>
      <c r="AV433" s="228"/>
      <c r="AW433" s="228"/>
      <c r="AX433" s="228"/>
      <c r="AY433" s="228"/>
      <c r="AZ433" s="228"/>
      <c r="BA433" s="228"/>
      <c r="BB433" s="228"/>
      <c r="BC433" s="228"/>
      <c r="BD433" s="228"/>
      <c r="BE433" s="228"/>
      <c r="BF433" s="228"/>
      <c r="BG433" s="228"/>
      <c r="BH433" s="228"/>
      <c r="BI433" s="228"/>
      <c r="BJ433" s="228"/>
      <c r="BK433" s="228"/>
      <c r="BL433" s="228"/>
      <c r="BM433" s="228"/>
      <c r="BN433" s="228"/>
      <c r="BO433" s="228"/>
      <c r="BP433" s="228"/>
      <c r="BQ433" s="228"/>
      <c r="BR433" s="228"/>
      <c r="BS433" s="228"/>
      <c r="BT433" s="228"/>
      <c r="BU433" s="228"/>
      <c r="BV433" s="228"/>
      <c r="BW433" s="228"/>
      <c r="BX433" s="228"/>
      <c r="BY433" s="228"/>
      <c r="BZ433" s="228"/>
      <c r="CA433" s="228"/>
      <c r="CB433" s="228"/>
      <c r="CC433" s="228"/>
      <c r="CD433" s="228"/>
      <c r="CE433" s="228"/>
      <c r="CF433" s="228"/>
      <c r="CG433" s="228"/>
      <c r="CH433" s="228"/>
      <c r="CI433" s="228"/>
      <c r="CJ433" s="228"/>
      <c r="CK433" s="228"/>
      <c r="CL433" s="228"/>
      <c r="CM433" s="228"/>
      <c r="CN433" s="228"/>
      <c r="CO433" s="228"/>
      <c r="CP433" s="228"/>
      <c r="CQ433" s="228"/>
      <c r="CR433" s="228"/>
      <c r="CS433" s="228"/>
      <c r="CT433" s="228"/>
      <c r="CU433" s="228"/>
      <c r="CV433" s="228"/>
      <c r="CW433" s="228"/>
      <c r="CX433" s="228"/>
      <c r="CY433" s="228"/>
      <c r="CZ433" s="228"/>
      <c r="DA433" s="228"/>
      <c r="DB433" s="228"/>
      <c r="DC433" s="228"/>
      <c r="DD433" s="228"/>
      <c r="DE433" s="228"/>
      <c r="DF433" s="228"/>
      <c r="DG433" s="228"/>
      <c r="DH433" s="228"/>
      <c r="DI433" s="228"/>
      <c r="DJ433" s="228"/>
      <c r="DK433" s="228"/>
      <c r="DL433" s="228"/>
      <c r="DM433" s="228"/>
      <c r="DN433" s="228"/>
      <c r="DO433" s="228"/>
      <c r="DP433" s="228"/>
      <c r="DQ433" s="228"/>
      <c r="DR433" s="228"/>
      <c r="DS433" s="228"/>
      <c r="DT433" s="228"/>
      <c r="DU433" s="228"/>
      <c r="DV433" s="228"/>
      <c r="DW433" s="228"/>
      <c r="DX433" s="228"/>
      <c r="DY433" s="228"/>
      <c r="DZ433" s="228"/>
      <c r="EA433" s="228"/>
      <c r="EB433" s="228"/>
      <c r="EC433" s="228"/>
      <c r="ED433" s="228"/>
      <c r="EE433" s="228"/>
      <c r="EF433" s="228"/>
      <c r="EG433" s="228"/>
      <c r="EH433" s="228"/>
      <c r="EI433" s="228"/>
      <c r="EJ433" s="228"/>
      <c r="EK433" s="228"/>
      <c r="EL433" s="228"/>
      <c r="EM433" s="228"/>
      <c r="EN433" s="228"/>
      <c r="EO433" s="228"/>
      <c r="EP433" s="228"/>
      <c r="EQ433" s="228"/>
      <c r="ER433" s="228"/>
      <c r="ES433" s="228"/>
      <c r="ET433" s="228"/>
      <c r="EU433" s="228"/>
      <c r="EV433" s="228"/>
      <c r="EW433" s="228"/>
      <c r="EX433" s="228"/>
      <c r="EY433" s="228"/>
      <c r="EZ433" s="228"/>
      <c r="FA433" s="228"/>
      <c r="FB433" s="228"/>
      <c r="FC433" s="228"/>
      <c r="FD433" s="228"/>
      <c r="FE433" s="228"/>
      <c r="FF433" s="228"/>
      <c r="FG433" s="228"/>
      <c r="FH433" s="228"/>
      <c r="FI433" s="228"/>
      <c r="FJ433" s="228"/>
      <c r="FK433" s="228"/>
      <c r="FL433" s="228"/>
      <c r="FM433" s="228"/>
      <c r="FN433" s="228"/>
      <c r="FO433" s="228"/>
      <c r="FP433" s="228"/>
      <c r="FQ433" s="228"/>
      <c r="FR433" s="228"/>
      <c r="FS433" s="228"/>
      <c r="FT433" s="228"/>
      <c r="FU433" s="228"/>
      <c r="FV433" s="228"/>
      <c r="FW433" s="228"/>
      <c r="FX433" s="228"/>
      <c r="FY433" s="228"/>
      <c r="FZ433" s="228"/>
      <c r="GA433" s="228"/>
      <c r="GB433" s="228"/>
      <c r="GC433" s="228"/>
      <c r="GD433" s="228"/>
      <c r="GE433" s="228"/>
      <c r="GF433" s="228"/>
      <c r="GG433" s="228"/>
      <c r="GH433" s="228"/>
      <c r="GI433" s="228"/>
      <c r="GJ433" s="228"/>
      <c r="GK433" s="228"/>
      <c r="GL433" s="228"/>
      <c r="GM433" s="228"/>
      <c r="GN433" s="228"/>
      <c r="GO433" s="228"/>
      <c r="GP433" s="228"/>
      <c r="GQ433" s="228"/>
      <c r="GR433" s="228"/>
      <c r="GS433" s="228"/>
      <c r="GT433" s="228"/>
      <c r="GU433" s="228"/>
      <c r="GV433" s="228"/>
      <c r="GW433" s="228"/>
      <c r="GX433" s="228"/>
      <c r="GY433" s="228"/>
      <c r="GZ433" s="228"/>
      <c r="HA433" s="228"/>
      <c r="HB433" s="228"/>
      <c r="HC433" s="228"/>
      <c r="HD433" s="228"/>
      <c r="HE433" s="228"/>
      <c r="HF433" s="228"/>
      <c r="HG433" s="228"/>
      <c r="HH433" s="228"/>
      <c r="HI433" s="228"/>
      <c r="HJ433" s="228"/>
      <c r="HK433" s="228"/>
      <c r="HL433" s="228"/>
      <c r="HM433" s="228"/>
      <c r="HN433" s="228"/>
      <c r="HO433" s="228"/>
      <c r="HP433" s="228"/>
      <c r="HQ433" s="228"/>
      <c r="HR433" s="228"/>
      <c r="HS433" s="228"/>
      <c r="HT433" s="228"/>
      <c r="HU433" s="228"/>
      <c r="HV433" s="228"/>
      <c r="HW433" s="228"/>
      <c r="HX433" s="228"/>
      <c r="HY433" s="228"/>
      <c r="HZ433" s="228"/>
      <c r="IA433" s="228"/>
      <c r="IB433" s="228"/>
      <c r="IC433" s="228"/>
      <c r="ID433" s="228"/>
      <c r="IE433" s="228"/>
      <c r="IF433" s="228"/>
      <c r="IG433" s="228"/>
      <c r="IH433" s="228"/>
      <c r="II433" s="228"/>
      <c r="IJ433" s="228"/>
      <c r="IK433" s="228"/>
      <c r="IL433" s="228"/>
      <c r="IM433" s="228"/>
      <c r="IN433" s="228"/>
      <c r="IO433" s="228"/>
      <c r="IP433" s="228"/>
      <c r="IQ433" s="228"/>
      <c r="IR433" s="228"/>
      <c r="IS433" s="228"/>
      <c r="IT433" s="228"/>
      <c r="IU433" s="228"/>
      <c r="IV433" s="228"/>
    </row>
    <row r="434" spans="1:256" s="229" customFormat="1" ht="90" hidden="1" customHeight="1">
      <c r="A434" s="101">
        <f>+A433+1</f>
        <v>72</v>
      </c>
      <c r="B434" s="103" t="s">
        <v>894</v>
      </c>
      <c r="C434" s="104" t="s">
        <v>134</v>
      </c>
      <c r="D434" s="103" t="s">
        <v>895</v>
      </c>
      <c r="E434" s="104" t="s">
        <v>114</v>
      </c>
      <c r="F434" s="103" t="s">
        <v>141</v>
      </c>
      <c r="G434" s="106" t="s">
        <v>237</v>
      </c>
      <c r="H434" s="102" t="s">
        <v>3</v>
      </c>
      <c r="I434" s="103" t="s">
        <v>124</v>
      </c>
      <c r="J434" s="224">
        <v>42278</v>
      </c>
      <c r="K434" s="224"/>
      <c r="L434" s="224">
        <f t="shared" si="26"/>
        <v>42278</v>
      </c>
      <c r="M434" s="224">
        <v>42428</v>
      </c>
      <c r="N434" s="224"/>
      <c r="O434" s="224">
        <f t="shared" si="27"/>
        <v>42428</v>
      </c>
      <c r="P434" s="105"/>
      <c r="Q434" s="103" t="s">
        <v>123</v>
      </c>
      <c r="R434" s="103"/>
      <c r="S434" s="104" t="s">
        <v>334</v>
      </c>
      <c r="T434" s="104"/>
      <c r="U434" s="110">
        <f>8*(1022001/14)*1.125*1.07</f>
        <v>702990.687857143</v>
      </c>
      <c r="V434" s="109"/>
      <c r="W434" s="110">
        <v>0</v>
      </c>
      <c r="X434" s="259">
        <f>+U434</f>
        <v>702990.687857143</v>
      </c>
      <c r="Y434" s="259">
        <v>0</v>
      </c>
      <c r="Z434" s="259">
        <v>0</v>
      </c>
      <c r="AA434" s="226">
        <v>0</v>
      </c>
      <c r="AB434" s="219"/>
      <c r="AC434" s="219"/>
      <c r="AD434" s="219"/>
      <c r="AE434" s="219"/>
      <c r="AF434" s="219"/>
      <c r="AG434" s="100"/>
      <c r="AH434" s="230"/>
    </row>
    <row r="435" spans="1:256" s="229" customFormat="1" ht="90" hidden="1" customHeight="1">
      <c r="A435" s="101">
        <f>+A434+1</f>
        <v>73</v>
      </c>
      <c r="B435" s="103" t="s">
        <v>896</v>
      </c>
      <c r="C435" s="104" t="s">
        <v>134</v>
      </c>
      <c r="D435" s="103" t="s">
        <v>895</v>
      </c>
      <c r="E435" s="104" t="s">
        <v>114</v>
      </c>
      <c r="F435" s="103" t="s">
        <v>141</v>
      </c>
      <c r="G435" s="106" t="s">
        <v>897</v>
      </c>
      <c r="H435" s="102" t="s">
        <v>3</v>
      </c>
      <c r="I435" s="103" t="s">
        <v>124</v>
      </c>
      <c r="J435" s="224">
        <v>42278</v>
      </c>
      <c r="K435" s="224"/>
      <c r="L435" s="224">
        <f t="shared" si="26"/>
        <v>42278</v>
      </c>
      <c r="M435" s="224">
        <v>42428</v>
      </c>
      <c r="N435" s="224"/>
      <c r="O435" s="224">
        <f t="shared" si="27"/>
        <v>42428</v>
      </c>
      <c r="P435" s="105"/>
      <c r="Q435" s="103" t="s">
        <v>123</v>
      </c>
      <c r="R435" s="103"/>
      <c r="S435" s="104" t="s">
        <v>334</v>
      </c>
      <c r="T435" s="104"/>
      <c r="U435" s="110">
        <f>8*(1022001/14)*1.125*1.07</f>
        <v>702990.687857143</v>
      </c>
      <c r="V435" s="109"/>
      <c r="W435" s="110">
        <v>0</v>
      </c>
      <c r="X435" s="259">
        <f>+U435</f>
        <v>702990.687857143</v>
      </c>
      <c r="Y435" s="259">
        <v>0</v>
      </c>
      <c r="Z435" s="259">
        <v>0</v>
      </c>
      <c r="AA435" s="226">
        <v>0</v>
      </c>
      <c r="AB435" s="219"/>
      <c r="AC435" s="219"/>
      <c r="AD435" s="219"/>
      <c r="AE435" s="219"/>
      <c r="AF435" s="219"/>
      <c r="AG435" s="100"/>
      <c r="AH435" s="230"/>
    </row>
    <row r="436" spans="1:256" s="229" customFormat="1" ht="90" hidden="1" customHeight="1">
      <c r="A436" s="101">
        <f>+A435+1</f>
        <v>74</v>
      </c>
      <c r="B436" s="103" t="s">
        <v>898</v>
      </c>
      <c r="C436" s="104" t="s">
        <v>134</v>
      </c>
      <c r="D436" s="103" t="s">
        <v>899</v>
      </c>
      <c r="E436" s="104" t="s">
        <v>114</v>
      </c>
      <c r="F436" s="103" t="s">
        <v>141</v>
      </c>
      <c r="G436" s="106" t="s">
        <v>393</v>
      </c>
      <c r="H436" s="102" t="s">
        <v>3</v>
      </c>
      <c r="I436" s="103" t="s">
        <v>124</v>
      </c>
      <c r="J436" s="224">
        <v>41730</v>
      </c>
      <c r="K436" s="224"/>
      <c r="L436" s="224">
        <f t="shared" si="26"/>
        <v>41730</v>
      </c>
      <c r="M436" s="224">
        <v>41912</v>
      </c>
      <c r="N436" s="224"/>
      <c r="O436" s="224">
        <f t="shared" si="27"/>
        <v>41912</v>
      </c>
      <c r="P436" s="105" t="s">
        <v>122</v>
      </c>
      <c r="Q436" s="103" t="s">
        <v>123</v>
      </c>
      <c r="R436" s="103"/>
      <c r="S436" s="104" t="s">
        <v>143</v>
      </c>
      <c r="T436" s="104"/>
      <c r="U436" s="110">
        <f>8*(1022001/14)*1.125*1.07</f>
        <v>702990.687857143</v>
      </c>
      <c r="V436" s="109">
        <v>0</v>
      </c>
      <c r="W436" s="110">
        <f>+U436</f>
        <v>702990.687857143</v>
      </c>
      <c r="X436" s="259">
        <v>0</v>
      </c>
      <c r="Y436" s="259">
        <v>0</v>
      </c>
      <c r="Z436" s="259">
        <v>0</v>
      </c>
      <c r="AA436" s="226">
        <v>0</v>
      </c>
      <c r="AB436" s="219"/>
      <c r="AC436" s="219"/>
      <c r="AD436" s="219"/>
      <c r="AE436" s="219"/>
      <c r="AF436" s="219"/>
      <c r="AG436" s="100"/>
      <c r="AH436" s="230"/>
    </row>
    <row r="437" spans="1:256" s="229" customFormat="1" ht="90" hidden="1" customHeight="1">
      <c r="A437" s="101">
        <f>+A436+1</f>
        <v>75</v>
      </c>
      <c r="B437" s="103" t="s">
        <v>900</v>
      </c>
      <c r="C437" s="104" t="s">
        <v>140</v>
      </c>
      <c r="D437" s="103" t="s">
        <v>901</v>
      </c>
      <c r="E437" s="104" t="s">
        <v>114</v>
      </c>
      <c r="F437" s="103" t="s">
        <v>141</v>
      </c>
      <c r="G437" s="106" t="s">
        <v>393</v>
      </c>
      <c r="H437" s="102" t="s">
        <v>3</v>
      </c>
      <c r="I437" s="103" t="s">
        <v>124</v>
      </c>
      <c r="J437" s="224">
        <v>41730</v>
      </c>
      <c r="K437" s="224"/>
      <c r="L437" s="224">
        <f t="shared" si="26"/>
        <v>41730</v>
      </c>
      <c r="M437" s="224">
        <v>41912</v>
      </c>
      <c r="N437" s="224"/>
      <c r="O437" s="224">
        <f t="shared" si="27"/>
        <v>41912</v>
      </c>
      <c r="P437" s="105" t="s">
        <v>122</v>
      </c>
      <c r="Q437" s="103" t="s">
        <v>123</v>
      </c>
      <c r="R437" s="103"/>
      <c r="S437" s="104" t="s">
        <v>143</v>
      </c>
      <c r="T437" s="104"/>
      <c r="U437" s="110">
        <f>10*(1022001/14)*1.125*1.07</f>
        <v>878738.35982142866</v>
      </c>
      <c r="V437" s="109">
        <v>0</v>
      </c>
      <c r="W437" s="110">
        <f>+U437</f>
        <v>878738.35982142866</v>
      </c>
      <c r="X437" s="259">
        <v>0</v>
      </c>
      <c r="Y437" s="259">
        <v>0</v>
      </c>
      <c r="Z437" s="259">
        <v>0</v>
      </c>
      <c r="AA437" s="226">
        <v>0</v>
      </c>
      <c r="AB437" s="219"/>
      <c r="AC437" s="219"/>
      <c r="AD437" s="219"/>
      <c r="AE437" s="219"/>
      <c r="AF437" s="219"/>
      <c r="AG437" s="100"/>
      <c r="AH437" s="231"/>
      <c r="AI437" s="232"/>
      <c r="AJ437" s="232"/>
      <c r="AK437" s="232"/>
      <c r="AL437" s="232"/>
      <c r="AM437" s="232"/>
      <c r="AN437" s="232"/>
      <c r="AO437" s="232"/>
      <c r="AP437" s="232"/>
      <c r="AQ437" s="232"/>
      <c r="AR437" s="232"/>
      <c r="AS437" s="232"/>
      <c r="AT437" s="232"/>
      <c r="AU437" s="232"/>
      <c r="AV437" s="232"/>
      <c r="AW437" s="232"/>
      <c r="AX437" s="232"/>
      <c r="AY437" s="232"/>
      <c r="AZ437" s="232"/>
      <c r="BA437" s="232"/>
      <c r="BB437" s="232"/>
      <c r="BC437" s="232"/>
      <c r="BD437" s="232"/>
      <c r="BE437" s="232"/>
      <c r="BF437" s="232"/>
      <c r="BG437" s="232"/>
      <c r="BH437" s="232"/>
      <c r="BI437" s="232"/>
      <c r="BJ437" s="232"/>
      <c r="BK437" s="232"/>
      <c r="BL437" s="232"/>
      <c r="BM437" s="232"/>
      <c r="BN437" s="232"/>
      <c r="BO437" s="232"/>
      <c r="BP437" s="232"/>
      <c r="BQ437" s="232"/>
      <c r="BR437" s="232"/>
      <c r="BS437" s="232"/>
      <c r="BT437" s="232"/>
      <c r="BU437" s="232"/>
      <c r="BV437" s="232"/>
      <c r="BW437" s="232"/>
      <c r="BX437" s="232"/>
      <c r="BY437" s="232"/>
      <c r="BZ437" s="232"/>
      <c r="CA437" s="232"/>
      <c r="CB437" s="232"/>
      <c r="CC437" s="232"/>
      <c r="CD437" s="232"/>
      <c r="CE437" s="232"/>
      <c r="CF437" s="232"/>
      <c r="CG437" s="232"/>
      <c r="CH437" s="232"/>
      <c r="CI437" s="232"/>
      <c r="CJ437" s="232"/>
      <c r="CK437" s="232"/>
      <c r="CL437" s="232"/>
      <c r="CM437" s="232"/>
      <c r="CN437" s="232"/>
      <c r="CO437" s="232"/>
      <c r="CP437" s="232"/>
      <c r="CQ437" s="232"/>
      <c r="CR437" s="232"/>
      <c r="CS437" s="232"/>
      <c r="CT437" s="232"/>
      <c r="CU437" s="232"/>
      <c r="CV437" s="232"/>
      <c r="CW437" s="232"/>
      <c r="CX437" s="232"/>
      <c r="CY437" s="232"/>
      <c r="CZ437" s="232"/>
      <c r="DA437" s="232"/>
      <c r="DB437" s="232"/>
      <c r="DC437" s="232"/>
      <c r="DD437" s="232"/>
      <c r="DE437" s="232"/>
      <c r="DF437" s="232"/>
      <c r="DG437" s="232"/>
      <c r="DH437" s="232"/>
      <c r="DI437" s="232"/>
      <c r="DJ437" s="232"/>
      <c r="DK437" s="232"/>
      <c r="DL437" s="232"/>
      <c r="DM437" s="232"/>
      <c r="DN437" s="232"/>
      <c r="DO437" s="232"/>
      <c r="DP437" s="232"/>
      <c r="DQ437" s="232"/>
      <c r="DR437" s="232"/>
      <c r="DS437" s="232"/>
      <c r="DT437" s="232"/>
      <c r="DU437" s="232"/>
      <c r="DV437" s="232"/>
      <c r="DW437" s="232"/>
      <c r="DX437" s="232"/>
      <c r="DY437" s="232"/>
      <c r="DZ437" s="232"/>
      <c r="EA437" s="232"/>
      <c r="EB437" s="232"/>
      <c r="EC437" s="232"/>
      <c r="ED437" s="232"/>
      <c r="EE437" s="232"/>
      <c r="EF437" s="232"/>
      <c r="EG437" s="232"/>
      <c r="EH437" s="232"/>
      <c r="EI437" s="232"/>
      <c r="EJ437" s="232"/>
      <c r="EK437" s="232"/>
      <c r="EL437" s="232"/>
      <c r="EM437" s="232"/>
      <c r="EN437" s="232"/>
      <c r="EO437" s="232"/>
      <c r="EP437" s="232"/>
      <c r="EQ437" s="232"/>
      <c r="ER437" s="232"/>
      <c r="ES437" s="232"/>
      <c r="ET437" s="232"/>
      <c r="EU437" s="232"/>
      <c r="EV437" s="232"/>
      <c r="EW437" s="232"/>
      <c r="EX437" s="232"/>
      <c r="EY437" s="232"/>
      <c r="EZ437" s="232"/>
      <c r="FA437" s="232"/>
      <c r="FB437" s="232"/>
      <c r="FC437" s="232"/>
      <c r="FD437" s="232"/>
      <c r="FE437" s="232"/>
      <c r="FF437" s="232"/>
      <c r="FG437" s="232"/>
      <c r="FH437" s="232"/>
      <c r="FI437" s="232"/>
      <c r="FJ437" s="232"/>
      <c r="FK437" s="232"/>
      <c r="FL437" s="232"/>
      <c r="FM437" s="232"/>
      <c r="FN437" s="232"/>
      <c r="FO437" s="232"/>
      <c r="FP437" s="232"/>
      <c r="FQ437" s="232"/>
      <c r="FR437" s="232"/>
      <c r="FS437" s="232"/>
      <c r="FT437" s="232"/>
      <c r="FU437" s="232"/>
      <c r="FV437" s="232"/>
      <c r="FW437" s="232"/>
      <c r="FX437" s="232"/>
      <c r="FY437" s="232"/>
      <c r="FZ437" s="232"/>
      <c r="GA437" s="232"/>
      <c r="GB437" s="232"/>
      <c r="GC437" s="232"/>
      <c r="GD437" s="232"/>
      <c r="GE437" s="232"/>
      <c r="GF437" s="232"/>
      <c r="GG437" s="232"/>
      <c r="GH437" s="232"/>
      <c r="GI437" s="232"/>
      <c r="GJ437" s="232"/>
      <c r="GK437" s="232"/>
      <c r="GL437" s="232"/>
      <c r="GM437" s="232"/>
      <c r="GN437" s="232"/>
      <c r="GO437" s="232"/>
      <c r="GP437" s="232"/>
      <c r="GQ437" s="232"/>
      <c r="GR437" s="232"/>
      <c r="GS437" s="232"/>
      <c r="GT437" s="232"/>
      <c r="GU437" s="232"/>
      <c r="GV437" s="232"/>
      <c r="GW437" s="232"/>
      <c r="GX437" s="232"/>
      <c r="GY437" s="232"/>
      <c r="GZ437" s="232"/>
      <c r="HA437" s="232"/>
      <c r="HB437" s="232"/>
      <c r="HC437" s="232"/>
      <c r="HD437" s="232"/>
      <c r="HE437" s="232"/>
      <c r="HF437" s="232"/>
      <c r="HG437" s="232"/>
      <c r="HH437" s="232"/>
      <c r="HI437" s="232"/>
      <c r="HJ437" s="232"/>
      <c r="HK437" s="232"/>
      <c r="HL437" s="232"/>
      <c r="HM437" s="232"/>
      <c r="HN437" s="232"/>
      <c r="HO437" s="232"/>
      <c r="HP437" s="232"/>
      <c r="HQ437" s="232"/>
      <c r="HR437" s="232"/>
      <c r="HS437" s="232"/>
      <c r="HT437" s="232"/>
      <c r="HU437" s="232"/>
      <c r="HV437" s="232"/>
      <c r="HW437" s="232"/>
      <c r="HX437" s="232"/>
      <c r="HY437" s="232"/>
      <c r="HZ437" s="232"/>
      <c r="IA437" s="232"/>
      <c r="IB437" s="232"/>
      <c r="IC437" s="232"/>
      <c r="ID437" s="232"/>
      <c r="IE437" s="232"/>
      <c r="IF437" s="232"/>
      <c r="IG437" s="232"/>
      <c r="IH437" s="232"/>
      <c r="II437" s="232"/>
      <c r="IJ437" s="232"/>
      <c r="IK437" s="232"/>
      <c r="IL437" s="232"/>
      <c r="IM437" s="232"/>
      <c r="IN437" s="232"/>
      <c r="IO437" s="232"/>
      <c r="IP437" s="232"/>
      <c r="IQ437" s="232"/>
      <c r="IR437" s="232"/>
      <c r="IS437" s="232"/>
      <c r="IT437" s="232"/>
      <c r="IU437" s="232"/>
      <c r="IV437" s="232"/>
    </row>
    <row r="438" spans="1:256" s="182" customFormat="1" ht="90" hidden="1" customHeight="1">
      <c r="A438" s="101">
        <v>84</v>
      </c>
      <c r="B438" s="103" t="s">
        <v>902</v>
      </c>
      <c r="C438" s="104" t="s">
        <v>83</v>
      </c>
      <c r="D438" s="103" t="s">
        <v>904</v>
      </c>
      <c r="E438" s="104" t="s">
        <v>114</v>
      </c>
      <c r="F438" s="103" t="s">
        <v>93</v>
      </c>
      <c r="G438" s="106" t="s">
        <v>93</v>
      </c>
      <c r="H438" s="102" t="s">
        <v>93</v>
      </c>
      <c r="I438" s="103" t="s">
        <v>116</v>
      </c>
      <c r="J438" s="224">
        <v>41730</v>
      </c>
      <c r="K438" s="224"/>
      <c r="L438" s="224">
        <f t="shared" si="26"/>
        <v>41730</v>
      </c>
      <c r="M438" s="224">
        <v>42094</v>
      </c>
      <c r="N438" s="224"/>
      <c r="O438" s="224">
        <f t="shared" si="27"/>
        <v>42094</v>
      </c>
      <c r="P438" s="105" t="s">
        <v>903</v>
      </c>
      <c r="Q438" s="103" t="s">
        <v>123</v>
      </c>
      <c r="R438" s="105"/>
      <c r="S438" s="104" t="s">
        <v>118</v>
      </c>
      <c r="T438" s="104" t="s">
        <v>119</v>
      </c>
      <c r="U438" s="110">
        <v>0</v>
      </c>
      <c r="V438" s="109"/>
      <c r="W438" s="110">
        <f>55000*5</f>
        <v>275000</v>
      </c>
      <c r="X438" s="259">
        <f>+W438*1.05</f>
        <v>288750</v>
      </c>
      <c r="Y438" s="259">
        <f>+X438*1.05</f>
        <v>303187.5</v>
      </c>
      <c r="Z438" s="259">
        <f>+Y438*1.05</f>
        <v>318346.875</v>
      </c>
      <c r="AA438" s="111" t="s">
        <v>120</v>
      </c>
      <c r="AB438" s="219"/>
      <c r="AC438" s="219"/>
      <c r="AD438" s="219"/>
      <c r="AE438" s="219"/>
      <c r="AF438" s="219"/>
      <c r="AG438" s="100"/>
      <c r="AH438" s="97"/>
    </row>
    <row r="439" spans="1:256" s="182" customFormat="1" ht="22.5">
      <c r="A439" s="346">
        <v>71</v>
      </c>
      <c r="B439" s="347" t="s">
        <v>905</v>
      </c>
      <c r="C439" s="348" t="s">
        <v>140</v>
      </c>
      <c r="D439" s="347" t="s">
        <v>906</v>
      </c>
      <c r="E439" s="104" t="s">
        <v>114</v>
      </c>
      <c r="F439" s="353" t="s">
        <v>88</v>
      </c>
      <c r="G439" s="353" t="s">
        <v>129</v>
      </c>
      <c r="H439" s="348" t="s">
        <v>97</v>
      </c>
      <c r="I439" s="353" t="s">
        <v>216</v>
      </c>
      <c r="J439" s="351">
        <v>42095</v>
      </c>
      <c r="K439" s="352">
        <v>3</v>
      </c>
      <c r="L439" s="351">
        <f>J439+(K439*31)</f>
        <v>42188</v>
      </c>
      <c r="M439" s="351">
        <v>42222</v>
      </c>
      <c r="N439" s="352">
        <v>14</v>
      </c>
      <c r="O439" s="351">
        <f>M439+(N439*31)</f>
        <v>42656</v>
      </c>
      <c r="P439" s="353" t="s">
        <v>215</v>
      </c>
      <c r="Q439" s="353" t="s">
        <v>123</v>
      </c>
      <c r="R439" s="363" t="s">
        <v>1180</v>
      </c>
      <c r="S439" s="348" t="s">
        <v>118</v>
      </c>
      <c r="T439" s="348" t="s">
        <v>126</v>
      </c>
      <c r="U439" s="354">
        <v>11600000</v>
      </c>
      <c r="V439" s="109">
        <v>3000000</v>
      </c>
      <c r="W439" s="110">
        <v>0</v>
      </c>
      <c r="X439" s="355">
        <v>8100000</v>
      </c>
      <c r="Y439" s="410">
        <v>3500000</v>
      </c>
      <c r="Z439" s="355">
        <v>0</v>
      </c>
      <c r="AA439" s="356" t="s">
        <v>132</v>
      </c>
      <c r="AB439" s="370" t="s">
        <v>1205</v>
      </c>
      <c r="AC439" s="357"/>
      <c r="AD439" s="357"/>
      <c r="AE439" s="357"/>
      <c r="AF439" s="357"/>
      <c r="AG439" s="147"/>
    </row>
    <row r="440" spans="1:256" s="229" customFormat="1" ht="90" hidden="1" customHeight="1">
      <c r="A440" s="101">
        <f t="shared" ref="A440:A502" si="28">+A439+1</f>
        <v>72</v>
      </c>
      <c r="B440" s="103" t="s">
        <v>907</v>
      </c>
      <c r="C440" s="104" t="s">
        <v>140</v>
      </c>
      <c r="D440" s="103" t="s">
        <v>909</v>
      </c>
      <c r="E440" s="104" t="s">
        <v>114</v>
      </c>
      <c r="F440" s="103" t="s">
        <v>91</v>
      </c>
      <c r="G440" s="106" t="s">
        <v>908</v>
      </c>
      <c r="H440" s="102" t="s">
        <v>7</v>
      </c>
      <c r="I440" s="103" t="s">
        <v>216</v>
      </c>
      <c r="J440" s="224">
        <v>42522</v>
      </c>
      <c r="K440" s="224"/>
      <c r="L440" s="224">
        <f t="shared" si="26"/>
        <v>42522</v>
      </c>
      <c r="M440" s="224">
        <v>42886</v>
      </c>
      <c r="N440" s="224"/>
      <c r="O440" s="224">
        <f t="shared" si="27"/>
        <v>42886</v>
      </c>
      <c r="P440" s="105" t="s">
        <v>215</v>
      </c>
      <c r="Q440" s="103" t="s">
        <v>123</v>
      </c>
      <c r="R440" s="103"/>
      <c r="S440" s="104" t="s">
        <v>138</v>
      </c>
      <c r="T440" s="104"/>
      <c r="U440" s="110">
        <v>10800000</v>
      </c>
      <c r="V440" s="109">
        <v>3000000</v>
      </c>
      <c r="W440" s="110">
        <v>0</v>
      </c>
      <c r="X440" s="259">
        <v>0</v>
      </c>
      <c r="Y440" s="260">
        <v>10800000</v>
      </c>
      <c r="Z440" s="259">
        <v>0</v>
      </c>
      <c r="AA440" s="226">
        <v>0</v>
      </c>
      <c r="AB440" s="219"/>
      <c r="AC440" s="219"/>
      <c r="AD440" s="219"/>
      <c r="AE440" s="219"/>
      <c r="AF440" s="219"/>
      <c r="AG440" s="100"/>
      <c r="AH440" s="227"/>
      <c r="AI440" s="228"/>
      <c r="AJ440" s="228"/>
      <c r="AK440" s="228"/>
      <c r="AL440" s="228"/>
      <c r="AM440" s="228"/>
      <c r="AN440" s="228"/>
      <c r="AO440" s="228"/>
      <c r="AP440" s="228"/>
      <c r="AQ440" s="228"/>
      <c r="AR440" s="228"/>
      <c r="AS440" s="228"/>
      <c r="AT440" s="228"/>
      <c r="AU440" s="228"/>
      <c r="AV440" s="228"/>
      <c r="AW440" s="228"/>
      <c r="AX440" s="228"/>
      <c r="AY440" s="228"/>
      <c r="AZ440" s="228"/>
      <c r="BA440" s="228"/>
      <c r="BB440" s="228"/>
      <c r="BC440" s="228"/>
      <c r="BD440" s="228"/>
      <c r="BE440" s="228"/>
      <c r="BF440" s="228"/>
      <c r="BG440" s="228"/>
      <c r="BH440" s="228"/>
      <c r="BI440" s="228"/>
      <c r="BJ440" s="228"/>
      <c r="BK440" s="228"/>
      <c r="BL440" s="228"/>
      <c r="BM440" s="228"/>
      <c r="BN440" s="228"/>
      <c r="BO440" s="228"/>
      <c r="BP440" s="228"/>
      <c r="BQ440" s="228"/>
      <c r="BR440" s="228"/>
      <c r="BS440" s="228"/>
      <c r="BT440" s="228"/>
      <c r="BU440" s="228"/>
      <c r="BV440" s="228"/>
      <c r="BW440" s="228"/>
      <c r="BX440" s="228"/>
      <c r="BY440" s="228"/>
      <c r="BZ440" s="228"/>
      <c r="CA440" s="228"/>
      <c r="CB440" s="228"/>
      <c r="CC440" s="228"/>
      <c r="CD440" s="228"/>
      <c r="CE440" s="228"/>
      <c r="CF440" s="228"/>
      <c r="CG440" s="228"/>
      <c r="CH440" s="228"/>
      <c r="CI440" s="228"/>
      <c r="CJ440" s="228"/>
      <c r="CK440" s="228"/>
      <c r="CL440" s="228"/>
      <c r="CM440" s="228"/>
      <c r="CN440" s="228"/>
      <c r="CO440" s="228"/>
      <c r="CP440" s="228"/>
      <c r="CQ440" s="228"/>
      <c r="CR440" s="228"/>
      <c r="CS440" s="228"/>
      <c r="CT440" s="228"/>
      <c r="CU440" s="228"/>
      <c r="CV440" s="228"/>
      <c r="CW440" s="228"/>
      <c r="CX440" s="228"/>
      <c r="CY440" s="228"/>
      <c r="CZ440" s="228"/>
      <c r="DA440" s="228"/>
      <c r="DB440" s="228"/>
      <c r="DC440" s="228"/>
      <c r="DD440" s="228"/>
      <c r="DE440" s="228"/>
      <c r="DF440" s="228"/>
      <c r="DG440" s="228"/>
      <c r="DH440" s="228"/>
      <c r="DI440" s="228"/>
      <c r="DJ440" s="228"/>
      <c r="DK440" s="228"/>
      <c r="DL440" s="228"/>
      <c r="DM440" s="228"/>
      <c r="DN440" s="228"/>
      <c r="DO440" s="228"/>
      <c r="DP440" s="228"/>
      <c r="DQ440" s="228"/>
      <c r="DR440" s="228"/>
      <c r="DS440" s="228"/>
      <c r="DT440" s="228"/>
      <c r="DU440" s="228"/>
      <c r="DV440" s="228"/>
      <c r="DW440" s="228"/>
      <c r="DX440" s="228"/>
      <c r="DY440" s="228"/>
      <c r="DZ440" s="228"/>
      <c r="EA440" s="228"/>
      <c r="EB440" s="228"/>
      <c r="EC440" s="228"/>
      <c r="ED440" s="228"/>
      <c r="EE440" s="228"/>
      <c r="EF440" s="228"/>
      <c r="EG440" s="228"/>
      <c r="EH440" s="228"/>
      <c r="EI440" s="228"/>
      <c r="EJ440" s="228"/>
      <c r="EK440" s="228"/>
      <c r="EL440" s="228"/>
      <c r="EM440" s="228"/>
      <c r="EN440" s="228"/>
      <c r="EO440" s="228"/>
      <c r="EP440" s="228"/>
      <c r="EQ440" s="228"/>
      <c r="ER440" s="228"/>
      <c r="ES440" s="228"/>
      <c r="ET440" s="228"/>
      <c r="EU440" s="228"/>
      <c r="EV440" s="228"/>
      <c r="EW440" s="228"/>
      <c r="EX440" s="228"/>
      <c r="EY440" s="228"/>
      <c r="EZ440" s="228"/>
      <c r="FA440" s="228"/>
      <c r="FB440" s="228"/>
      <c r="FC440" s="228"/>
      <c r="FD440" s="228"/>
      <c r="FE440" s="228"/>
      <c r="FF440" s="228"/>
      <c r="FG440" s="228"/>
      <c r="FH440" s="228"/>
      <c r="FI440" s="228"/>
      <c r="FJ440" s="228"/>
      <c r="FK440" s="228"/>
      <c r="FL440" s="228"/>
      <c r="FM440" s="228"/>
      <c r="FN440" s="228"/>
      <c r="FO440" s="228"/>
      <c r="FP440" s="228"/>
      <c r="FQ440" s="228"/>
      <c r="FR440" s="228"/>
      <c r="FS440" s="228"/>
      <c r="FT440" s="228"/>
      <c r="FU440" s="228"/>
      <c r="FV440" s="228"/>
      <c r="FW440" s="228"/>
      <c r="FX440" s="228"/>
      <c r="FY440" s="228"/>
      <c r="FZ440" s="228"/>
      <c r="GA440" s="228"/>
      <c r="GB440" s="228"/>
      <c r="GC440" s="228"/>
      <c r="GD440" s="228"/>
      <c r="GE440" s="228"/>
      <c r="GF440" s="228"/>
      <c r="GG440" s="228"/>
      <c r="GH440" s="228"/>
      <c r="GI440" s="228"/>
      <c r="GJ440" s="228"/>
      <c r="GK440" s="228"/>
      <c r="GL440" s="228"/>
      <c r="GM440" s="228"/>
      <c r="GN440" s="228"/>
      <c r="GO440" s="228"/>
      <c r="GP440" s="228"/>
      <c r="GQ440" s="228"/>
      <c r="GR440" s="228"/>
      <c r="GS440" s="228"/>
      <c r="GT440" s="228"/>
      <c r="GU440" s="228"/>
      <c r="GV440" s="228"/>
      <c r="GW440" s="228"/>
      <c r="GX440" s="228"/>
      <c r="GY440" s="228"/>
      <c r="GZ440" s="228"/>
      <c r="HA440" s="228"/>
      <c r="HB440" s="228"/>
      <c r="HC440" s="228"/>
      <c r="HD440" s="228"/>
      <c r="HE440" s="228"/>
      <c r="HF440" s="228"/>
      <c r="HG440" s="228"/>
      <c r="HH440" s="228"/>
      <c r="HI440" s="228"/>
      <c r="HJ440" s="228"/>
      <c r="HK440" s="228"/>
      <c r="HL440" s="228"/>
      <c r="HM440" s="228"/>
      <c r="HN440" s="228"/>
      <c r="HO440" s="228"/>
      <c r="HP440" s="228"/>
      <c r="HQ440" s="228"/>
      <c r="HR440" s="228"/>
      <c r="HS440" s="228"/>
      <c r="HT440" s="228"/>
      <c r="HU440" s="228"/>
      <c r="HV440" s="228"/>
      <c r="HW440" s="228"/>
      <c r="HX440" s="228"/>
      <c r="HY440" s="228"/>
      <c r="HZ440" s="228"/>
      <c r="IA440" s="228"/>
      <c r="IB440" s="228"/>
      <c r="IC440" s="228"/>
      <c r="ID440" s="228"/>
      <c r="IE440" s="228"/>
      <c r="IF440" s="228"/>
      <c r="IG440" s="228"/>
      <c r="IH440" s="228"/>
      <c r="II440" s="228"/>
      <c r="IJ440" s="228"/>
      <c r="IK440" s="228"/>
      <c r="IL440" s="228"/>
      <c r="IM440" s="228"/>
      <c r="IN440" s="228"/>
      <c r="IO440" s="228"/>
      <c r="IP440" s="228"/>
      <c r="IQ440" s="228"/>
      <c r="IR440" s="228"/>
      <c r="IS440" s="228"/>
      <c r="IT440" s="228"/>
      <c r="IU440" s="228"/>
      <c r="IV440" s="228"/>
    </row>
    <row r="441" spans="1:256" s="229" customFormat="1" ht="90" hidden="1" customHeight="1">
      <c r="A441" s="101">
        <f t="shared" si="28"/>
        <v>73</v>
      </c>
      <c r="B441" s="103" t="s">
        <v>910</v>
      </c>
      <c r="C441" s="104" t="s">
        <v>140</v>
      </c>
      <c r="D441" s="103" t="s">
        <v>909</v>
      </c>
      <c r="E441" s="104" t="s">
        <v>114</v>
      </c>
      <c r="F441" s="103" t="s">
        <v>88</v>
      </c>
      <c r="G441" s="106" t="s">
        <v>176</v>
      </c>
      <c r="H441" s="102" t="s">
        <v>23</v>
      </c>
      <c r="I441" s="103" t="s">
        <v>216</v>
      </c>
      <c r="J441" s="224">
        <v>42887</v>
      </c>
      <c r="K441" s="224"/>
      <c r="L441" s="224">
        <f t="shared" si="26"/>
        <v>42887</v>
      </c>
      <c r="M441" s="224">
        <v>43251</v>
      </c>
      <c r="N441" s="224"/>
      <c r="O441" s="224">
        <f t="shared" si="27"/>
        <v>43251</v>
      </c>
      <c r="P441" s="105" t="s">
        <v>215</v>
      </c>
      <c r="Q441" s="103" t="s">
        <v>123</v>
      </c>
      <c r="R441" s="103"/>
      <c r="S441" s="104" t="s">
        <v>138</v>
      </c>
      <c r="T441" s="104"/>
      <c r="U441" s="110">
        <v>10800000</v>
      </c>
      <c r="V441" s="109">
        <v>3000000</v>
      </c>
      <c r="W441" s="110">
        <v>0</v>
      </c>
      <c r="X441" s="259">
        <v>0</v>
      </c>
      <c r="Y441" s="259">
        <v>0</v>
      </c>
      <c r="Z441" s="259">
        <v>10800000</v>
      </c>
      <c r="AA441" s="226">
        <v>0</v>
      </c>
      <c r="AB441" s="219"/>
      <c r="AC441" s="219"/>
      <c r="AD441" s="219"/>
      <c r="AE441" s="219"/>
      <c r="AF441" s="219"/>
      <c r="AG441" s="100"/>
      <c r="AH441" s="230"/>
    </row>
    <row r="442" spans="1:256" s="229" customFormat="1" ht="90" hidden="1" customHeight="1">
      <c r="A442" s="101">
        <f t="shared" si="28"/>
        <v>74</v>
      </c>
      <c r="B442" s="103" t="s">
        <v>911</v>
      </c>
      <c r="C442" s="104" t="s">
        <v>140</v>
      </c>
      <c r="D442" s="103" t="s">
        <v>912</v>
      </c>
      <c r="E442" s="104" t="s">
        <v>114</v>
      </c>
      <c r="F442" s="103" t="s">
        <v>88</v>
      </c>
      <c r="G442" s="106" t="s">
        <v>767</v>
      </c>
      <c r="H442" s="102" t="s">
        <v>21</v>
      </c>
      <c r="I442" s="103" t="s">
        <v>216</v>
      </c>
      <c r="J442" s="224">
        <v>42887</v>
      </c>
      <c r="K442" s="224"/>
      <c r="L442" s="224">
        <f t="shared" si="26"/>
        <v>42887</v>
      </c>
      <c r="M442" s="224">
        <v>43251</v>
      </c>
      <c r="N442" s="224"/>
      <c r="O442" s="224">
        <f t="shared" si="27"/>
        <v>43251</v>
      </c>
      <c r="P442" s="105" t="s">
        <v>215</v>
      </c>
      <c r="Q442" s="103" t="s">
        <v>123</v>
      </c>
      <c r="R442" s="103"/>
      <c r="S442" s="104" t="s">
        <v>138</v>
      </c>
      <c r="T442" s="104"/>
      <c r="U442" s="110">
        <v>12400000</v>
      </c>
      <c r="V442" s="109">
        <v>3000000</v>
      </c>
      <c r="W442" s="110">
        <v>0</v>
      </c>
      <c r="X442" s="259">
        <v>0</v>
      </c>
      <c r="Y442" s="259">
        <v>0</v>
      </c>
      <c r="Z442" s="259">
        <v>12400000</v>
      </c>
      <c r="AA442" s="226">
        <v>0</v>
      </c>
      <c r="AB442" s="219"/>
      <c r="AC442" s="219"/>
      <c r="AD442" s="219"/>
      <c r="AE442" s="219"/>
      <c r="AF442" s="219"/>
      <c r="AG442" s="100"/>
      <c r="AH442" s="231"/>
      <c r="AI442" s="232"/>
      <c r="AJ442" s="232"/>
      <c r="AK442" s="232"/>
      <c r="AL442" s="232"/>
      <c r="AM442" s="232"/>
      <c r="AN442" s="232"/>
      <c r="AO442" s="232"/>
      <c r="AP442" s="232"/>
      <c r="AQ442" s="232"/>
      <c r="AR442" s="232"/>
      <c r="AS442" s="232"/>
      <c r="AT442" s="232"/>
      <c r="AU442" s="232"/>
      <c r="AV442" s="232"/>
      <c r="AW442" s="232"/>
      <c r="AX442" s="232"/>
      <c r="AY442" s="232"/>
      <c r="AZ442" s="232"/>
      <c r="BA442" s="232"/>
      <c r="BB442" s="232"/>
      <c r="BC442" s="232"/>
      <c r="BD442" s="232"/>
      <c r="BE442" s="232"/>
      <c r="BF442" s="232"/>
      <c r="BG442" s="232"/>
      <c r="BH442" s="232"/>
      <c r="BI442" s="232"/>
      <c r="BJ442" s="232"/>
      <c r="BK442" s="232"/>
      <c r="BL442" s="232"/>
      <c r="BM442" s="232"/>
      <c r="BN442" s="232"/>
      <c r="BO442" s="232"/>
      <c r="BP442" s="232"/>
      <c r="BQ442" s="232"/>
      <c r="BR442" s="232"/>
      <c r="BS442" s="232"/>
      <c r="BT442" s="232"/>
      <c r="BU442" s="232"/>
      <c r="BV442" s="232"/>
      <c r="BW442" s="232"/>
      <c r="BX442" s="232"/>
      <c r="BY442" s="232"/>
      <c r="BZ442" s="232"/>
      <c r="CA442" s="232"/>
      <c r="CB442" s="232"/>
      <c r="CC442" s="232"/>
      <c r="CD442" s="232"/>
      <c r="CE442" s="232"/>
      <c r="CF442" s="232"/>
      <c r="CG442" s="232"/>
      <c r="CH442" s="232"/>
      <c r="CI442" s="232"/>
      <c r="CJ442" s="232"/>
      <c r="CK442" s="232"/>
      <c r="CL442" s="232"/>
      <c r="CM442" s="232"/>
      <c r="CN442" s="232"/>
      <c r="CO442" s="232"/>
      <c r="CP442" s="232"/>
      <c r="CQ442" s="232"/>
      <c r="CR442" s="232"/>
      <c r="CS442" s="232"/>
      <c r="CT442" s="232"/>
      <c r="CU442" s="232"/>
      <c r="CV442" s="232"/>
      <c r="CW442" s="232"/>
      <c r="CX442" s="232"/>
      <c r="CY442" s="232"/>
      <c r="CZ442" s="232"/>
      <c r="DA442" s="232"/>
      <c r="DB442" s="232"/>
      <c r="DC442" s="232"/>
      <c r="DD442" s="232"/>
      <c r="DE442" s="232"/>
      <c r="DF442" s="232"/>
      <c r="DG442" s="232"/>
      <c r="DH442" s="232"/>
      <c r="DI442" s="232"/>
      <c r="DJ442" s="232"/>
      <c r="DK442" s="232"/>
      <c r="DL442" s="232"/>
      <c r="DM442" s="232"/>
      <c r="DN442" s="232"/>
      <c r="DO442" s="232"/>
      <c r="DP442" s="232"/>
      <c r="DQ442" s="232"/>
      <c r="DR442" s="232"/>
      <c r="DS442" s="232"/>
      <c r="DT442" s="232"/>
      <c r="DU442" s="232"/>
      <c r="DV442" s="232"/>
      <c r="DW442" s="232"/>
      <c r="DX442" s="232"/>
      <c r="DY442" s="232"/>
      <c r="DZ442" s="232"/>
      <c r="EA442" s="232"/>
      <c r="EB442" s="232"/>
      <c r="EC442" s="232"/>
      <c r="ED442" s="232"/>
      <c r="EE442" s="232"/>
      <c r="EF442" s="232"/>
      <c r="EG442" s="232"/>
      <c r="EH442" s="232"/>
      <c r="EI442" s="232"/>
      <c r="EJ442" s="232"/>
      <c r="EK442" s="232"/>
      <c r="EL442" s="232"/>
      <c r="EM442" s="232"/>
      <c r="EN442" s="232"/>
      <c r="EO442" s="232"/>
      <c r="EP442" s="232"/>
      <c r="EQ442" s="232"/>
      <c r="ER442" s="232"/>
      <c r="ES442" s="232"/>
      <c r="ET442" s="232"/>
      <c r="EU442" s="232"/>
      <c r="EV442" s="232"/>
      <c r="EW442" s="232"/>
      <c r="EX442" s="232"/>
      <c r="EY442" s="232"/>
      <c r="EZ442" s="232"/>
      <c r="FA442" s="232"/>
      <c r="FB442" s="232"/>
      <c r="FC442" s="232"/>
      <c r="FD442" s="232"/>
      <c r="FE442" s="232"/>
      <c r="FF442" s="232"/>
      <c r="FG442" s="232"/>
      <c r="FH442" s="232"/>
      <c r="FI442" s="232"/>
      <c r="FJ442" s="232"/>
      <c r="FK442" s="232"/>
      <c r="FL442" s="232"/>
      <c r="FM442" s="232"/>
      <c r="FN442" s="232"/>
      <c r="FO442" s="232"/>
      <c r="FP442" s="232"/>
      <c r="FQ442" s="232"/>
      <c r="FR442" s="232"/>
      <c r="FS442" s="232"/>
      <c r="FT442" s="232"/>
      <c r="FU442" s="232"/>
      <c r="FV442" s="232"/>
      <c r="FW442" s="232"/>
      <c r="FX442" s="232"/>
      <c r="FY442" s="232"/>
      <c r="FZ442" s="232"/>
      <c r="GA442" s="232"/>
      <c r="GB442" s="232"/>
      <c r="GC442" s="232"/>
      <c r="GD442" s="232"/>
      <c r="GE442" s="232"/>
      <c r="GF442" s="232"/>
      <c r="GG442" s="232"/>
      <c r="GH442" s="232"/>
      <c r="GI442" s="232"/>
      <c r="GJ442" s="232"/>
      <c r="GK442" s="232"/>
      <c r="GL442" s="232"/>
      <c r="GM442" s="232"/>
      <c r="GN442" s="232"/>
      <c r="GO442" s="232"/>
      <c r="GP442" s="232"/>
      <c r="GQ442" s="232"/>
      <c r="GR442" s="232"/>
      <c r="GS442" s="232"/>
      <c r="GT442" s="232"/>
      <c r="GU442" s="232"/>
      <c r="GV442" s="232"/>
      <c r="GW442" s="232"/>
      <c r="GX442" s="232"/>
      <c r="GY442" s="232"/>
      <c r="GZ442" s="232"/>
      <c r="HA442" s="232"/>
      <c r="HB442" s="232"/>
      <c r="HC442" s="232"/>
      <c r="HD442" s="232"/>
      <c r="HE442" s="232"/>
      <c r="HF442" s="232"/>
      <c r="HG442" s="232"/>
      <c r="HH442" s="232"/>
      <c r="HI442" s="232"/>
      <c r="HJ442" s="232"/>
      <c r="HK442" s="232"/>
      <c r="HL442" s="232"/>
      <c r="HM442" s="232"/>
      <c r="HN442" s="232"/>
      <c r="HO442" s="232"/>
      <c r="HP442" s="232"/>
      <c r="HQ442" s="232"/>
      <c r="HR442" s="232"/>
      <c r="HS442" s="232"/>
      <c r="HT442" s="232"/>
      <c r="HU442" s="232"/>
      <c r="HV442" s="232"/>
      <c r="HW442" s="232"/>
      <c r="HX442" s="232"/>
      <c r="HY442" s="232"/>
      <c r="HZ442" s="232"/>
      <c r="IA442" s="232"/>
      <c r="IB442" s="232"/>
      <c r="IC442" s="232"/>
      <c r="ID442" s="232"/>
      <c r="IE442" s="232"/>
      <c r="IF442" s="232"/>
      <c r="IG442" s="232"/>
      <c r="IH442" s="232"/>
      <c r="II442" s="232"/>
      <c r="IJ442" s="232"/>
      <c r="IK442" s="232"/>
      <c r="IL442" s="232"/>
      <c r="IM442" s="232"/>
      <c r="IN442" s="232"/>
      <c r="IO442" s="232"/>
      <c r="IP442" s="232"/>
      <c r="IQ442" s="232"/>
      <c r="IR442" s="232"/>
      <c r="IS442" s="232"/>
      <c r="IT442" s="232"/>
      <c r="IU442" s="232"/>
      <c r="IV442" s="232"/>
    </row>
    <row r="443" spans="1:256" s="182" customFormat="1" ht="22.5">
      <c r="A443" s="346">
        <v>72</v>
      </c>
      <c r="B443" s="347" t="s">
        <v>913</v>
      </c>
      <c r="C443" s="348" t="s">
        <v>140</v>
      </c>
      <c r="D443" s="347" t="s">
        <v>914</v>
      </c>
      <c r="E443" s="104" t="s">
        <v>114</v>
      </c>
      <c r="F443" s="353" t="s">
        <v>84</v>
      </c>
      <c r="G443" s="353" t="s">
        <v>353</v>
      </c>
      <c r="H443" s="348" t="s">
        <v>96</v>
      </c>
      <c r="I443" s="353" t="s">
        <v>238</v>
      </c>
      <c r="J443" s="351">
        <v>42095</v>
      </c>
      <c r="K443" s="352">
        <v>2</v>
      </c>
      <c r="L443" s="351">
        <v>42156</v>
      </c>
      <c r="M443" s="351">
        <v>42186</v>
      </c>
      <c r="N443" s="352">
        <v>2</v>
      </c>
      <c r="O443" s="351">
        <f t="shared" ref="O443:O449" si="29">M443+(N443*31)</f>
        <v>42248</v>
      </c>
      <c r="P443" s="353" t="s">
        <v>236</v>
      </c>
      <c r="Q443" s="353" t="s">
        <v>123</v>
      </c>
      <c r="R443" s="363" t="s">
        <v>1180</v>
      </c>
      <c r="S443" s="348" t="s">
        <v>118</v>
      </c>
      <c r="T443" s="348" t="s">
        <v>126</v>
      </c>
      <c r="U443" s="354">
        <v>300000</v>
      </c>
      <c r="V443" s="109"/>
      <c r="W443" s="110">
        <v>0</v>
      </c>
      <c r="X443" s="355">
        <f t="shared" ref="X443:X452" si="30">+U443</f>
        <v>300000</v>
      </c>
      <c r="Y443" s="355">
        <v>0</v>
      </c>
      <c r="Z443" s="355">
        <v>0</v>
      </c>
      <c r="AA443" s="356" t="s">
        <v>132</v>
      </c>
      <c r="AB443" s="357" t="s">
        <v>1203</v>
      </c>
      <c r="AC443" s="357"/>
      <c r="AD443" s="357"/>
      <c r="AE443" s="357"/>
      <c r="AF443" s="357"/>
      <c r="AG443" s="147"/>
    </row>
    <row r="444" spans="1:256" s="182" customFormat="1" ht="22.5">
      <c r="A444" s="346">
        <v>73</v>
      </c>
      <c r="B444" s="347" t="s">
        <v>915</v>
      </c>
      <c r="C444" s="348" t="s">
        <v>140</v>
      </c>
      <c r="D444" s="347" t="s">
        <v>914</v>
      </c>
      <c r="E444" s="104" t="s">
        <v>114</v>
      </c>
      <c r="F444" s="353" t="s">
        <v>84</v>
      </c>
      <c r="G444" s="353" t="s">
        <v>608</v>
      </c>
      <c r="H444" s="348" t="s">
        <v>96</v>
      </c>
      <c r="I444" s="353" t="s">
        <v>238</v>
      </c>
      <c r="J444" s="351">
        <v>42095</v>
      </c>
      <c r="K444" s="352">
        <v>2</v>
      </c>
      <c r="L444" s="351">
        <v>42156</v>
      </c>
      <c r="M444" s="351">
        <v>42186</v>
      </c>
      <c r="N444" s="352">
        <v>2</v>
      </c>
      <c r="O444" s="351">
        <f>M444+(N444*31)</f>
        <v>42248</v>
      </c>
      <c r="P444" s="353" t="s">
        <v>236</v>
      </c>
      <c r="Q444" s="353" t="s">
        <v>123</v>
      </c>
      <c r="R444" s="363" t="s">
        <v>1180</v>
      </c>
      <c r="S444" s="348" t="s">
        <v>118</v>
      </c>
      <c r="T444" s="348" t="s">
        <v>126</v>
      </c>
      <c r="U444" s="354">
        <v>300000</v>
      </c>
      <c r="V444" s="109"/>
      <c r="W444" s="110">
        <v>0</v>
      </c>
      <c r="X444" s="355">
        <f t="shared" si="30"/>
        <v>300000</v>
      </c>
      <c r="Y444" s="355">
        <v>0</v>
      </c>
      <c r="Z444" s="355">
        <v>0</v>
      </c>
      <c r="AA444" s="356" t="s">
        <v>132</v>
      </c>
      <c r="AB444" s="357" t="s">
        <v>1203</v>
      </c>
      <c r="AC444" s="357"/>
      <c r="AD444" s="357"/>
      <c r="AE444" s="357"/>
      <c r="AF444" s="357"/>
      <c r="AG444" s="147"/>
    </row>
    <row r="445" spans="1:256" s="182" customFormat="1" ht="22.5">
      <c r="A445" s="346">
        <v>74</v>
      </c>
      <c r="B445" s="347" t="s">
        <v>916</v>
      </c>
      <c r="C445" s="348" t="s">
        <v>140</v>
      </c>
      <c r="D445" s="347" t="s">
        <v>914</v>
      </c>
      <c r="E445" s="104" t="s">
        <v>114</v>
      </c>
      <c r="F445" s="353" t="s">
        <v>84</v>
      </c>
      <c r="G445" s="353" t="s">
        <v>135</v>
      </c>
      <c r="H445" s="348" t="s">
        <v>96</v>
      </c>
      <c r="I445" s="353" t="s">
        <v>238</v>
      </c>
      <c r="J445" s="351">
        <v>42095</v>
      </c>
      <c r="K445" s="352">
        <v>2</v>
      </c>
      <c r="L445" s="351">
        <v>42156</v>
      </c>
      <c r="M445" s="351">
        <v>42186</v>
      </c>
      <c r="N445" s="352">
        <v>2</v>
      </c>
      <c r="O445" s="351">
        <f>M445+(N445*31)</f>
        <v>42248</v>
      </c>
      <c r="P445" s="353" t="s">
        <v>236</v>
      </c>
      <c r="Q445" s="353" t="s">
        <v>123</v>
      </c>
      <c r="R445" s="363" t="s">
        <v>1180</v>
      </c>
      <c r="S445" s="348" t="s">
        <v>118</v>
      </c>
      <c r="T445" s="348" t="s">
        <v>126</v>
      </c>
      <c r="U445" s="354">
        <v>300000</v>
      </c>
      <c r="V445" s="109"/>
      <c r="W445" s="110">
        <v>0</v>
      </c>
      <c r="X445" s="355">
        <f t="shared" si="30"/>
        <v>300000</v>
      </c>
      <c r="Y445" s="355">
        <v>0</v>
      </c>
      <c r="Z445" s="355">
        <v>0</v>
      </c>
      <c r="AA445" s="356" t="s">
        <v>132</v>
      </c>
      <c r="AB445" s="357" t="s">
        <v>1203</v>
      </c>
      <c r="AC445" s="357"/>
      <c r="AD445" s="357"/>
      <c r="AE445" s="357"/>
      <c r="AF445" s="357"/>
      <c r="AG445" s="147"/>
    </row>
    <row r="446" spans="1:256" s="182" customFormat="1" ht="22.5">
      <c r="A446" s="346">
        <v>75</v>
      </c>
      <c r="B446" s="347" t="s">
        <v>917</v>
      </c>
      <c r="C446" s="348" t="s">
        <v>140</v>
      </c>
      <c r="D446" s="347" t="s">
        <v>919</v>
      </c>
      <c r="E446" s="104" t="s">
        <v>114</v>
      </c>
      <c r="F446" s="353" t="s">
        <v>88</v>
      </c>
      <c r="G446" s="353" t="s">
        <v>918</v>
      </c>
      <c r="H446" s="348" t="s">
        <v>23</v>
      </c>
      <c r="I446" s="353" t="s">
        <v>238</v>
      </c>
      <c r="J446" s="351">
        <v>42095</v>
      </c>
      <c r="K446" s="352">
        <v>2</v>
      </c>
      <c r="L446" s="351">
        <v>42156</v>
      </c>
      <c r="M446" s="351">
        <v>42186</v>
      </c>
      <c r="N446" s="352">
        <v>2</v>
      </c>
      <c r="O446" s="351">
        <f>M446+(N446*31)</f>
        <v>42248</v>
      </c>
      <c r="P446" s="353" t="s">
        <v>236</v>
      </c>
      <c r="Q446" s="353" t="s">
        <v>123</v>
      </c>
      <c r="R446" s="363" t="s">
        <v>1180</v>
      </c>
      <c r="S446" s="348" t="s">
        <v>118</v>
      </c>
      <c r="T446" s="348" t="s">
        <v>126</v>
      </c>
      <c r="U446" s="354">
        <v>300000</v>
      </c>
      <c r="V446" s="109"/>
      <c r="W446" s="110">
        <v>0</v>
      </c>
      <c r="X446" s="355">
        <f t="shared" si="30"/>
        <v>300000</v>
      </c>
      <c r="Y446" s="355">
        <v>0</v>
      </c>
      <c r="Z446" s="355">
        <v>0</v>
      </c>
      <c r="AA446" s="356" t="s">
        <v>132</v>
      </c>
      <c r="AB446" s="357" t="s">
        <v>1203</v>
      </c>
      <c r="AC446" s="357"/>
      <c r="AD446" s="357"/>
      <c r="AE446" s="357"/>
      <c r="AF446" s="357"/>
      <c r="AG446" s="147"/>
    </row>
    <row r="447" spans="1:256" s="182" customFormat="1" ht="22.5">
      <c r="A447" s="346">
        <v>76</v>
      </c>
      <c r="B447" s="347" t="s">
        <v>920</v>
      </c>
      <c r="C447" s="348" t="s">
        <v>140</v>
      </c>
      <c r="D447" s="347" t="s">
        <v>914</v>
      </c>
      <c r="E447" s="104" t="s">
        <v>114</v>
      </c>
      <c r="F447" s="353" t="s">
        <v>88</v>
      </c>
      <c r="G447" s="353" t="s">
        <v>383</v>
      </c>
      <c r="H447" s="348" t="s">
        <v>25</v>
      </c>
      <c r="I447" s="353" t="s">
        <v>238</v>
      </c>
      <c r="J447" s="351">
        <v>42095</v>
      </c>
      <c r="K447" s="352">
        <v>2</v>
      </c>
      <c r="L447" s="351">
        <v>42156</v>
      </c>
      <c r="M447" s="351">
        <v>42186</v>
      </c>
      <c r="N447" s="352">
        <v>2</v>
      </c>
      <c r="O447" s="351">
        <f t="shared" si="29"/>
        <v>42248</v>
      </c>
      <c r="P447" s="353" t="s">
        <v>236</v>
      </c>
      <c r="Q447" s="353" t="s">
        <v>123</v>
      </c>
      <c r="R447" s="353" t="s">
        <v>65</v>
      </c>
      <c r="S447" s="348" t="s">
        <v>118</v>
      </c>
      <c r="T447" s="348" t="s">
        <v>126</v>
      </c>
      <c r="U447" s="354">
        <v>300000</v>
      </c>
      <c r="V447" s="109"/>
      <c r="W447" s="110">
        <v>0</v>
      </c>
      <c r="X447" s="355">
        <f t="shared" si="30"/>
        <v>300000</v>
      </c>
      <c r="Y447" s="355">
        <v>0</v>
      </c>
      <c r="Z447" s="355">
        <v>0</v>
      </c>
      <c r="AA447" s="356" t="s">
        <v>132</v>
      </c>
      <c r="AB447" s="357" t="s">
        <v>1203</v>
      </c>
      <c r="AC447" s="357"/>
      <c r="AD447" s="357"/>
      <c r="AE447" s="357"/>
      <c r="AF447" s="357"/>
      <c r="AG447" s="147"/>
    </row>
    <row r="448" spans="1:256" s="182" customFormat="1" ht="22.5">
      <c r="A448" s="346">
        <v>77</v>
      </c>
      <c r="B448" s="347" t="s">
        <v>921</v>
      </c>
      <c r="C448" s="348" t="s">
        <v>140</v>
      </c>
      <c r="D448" s="347" t="s">
        <v>919</v>
      </c>
      <c r="E448" s="104" t="s">
        <v>114</v>
      </c>
      <c r="F448" s="353" t="s">
        <v>88</v>
      </c>
      <c r="G448" s="353" t="s">
        <v>195</v>
      </c>
      <c r="H448" s="348" t="s">
        <v>21</v>
      </c>
      <c r="I448" s="353" t="s">
        <v>238</v>
      </c>
      <c r="J448" s="351">
        <v>42095</v>
      </c>
      <c r="K448" s="352">
        <v>2</v>
      </c>
      <c r="L448" s="351">
        <v>42156</v>
      </c>
      <c r="M448" s="351">
        <v>42186</v>
      </c>
      <c r="N448" s="352">
        <v>2</v>
      </c>
      <c r="O448" s="351">
        <f t="shared" si="29"/>
        <v>42248</v>
      </c>
      <c r="P448" s="353" t="s">
        <v>236</v>
      </c>
      <c r="Q448" s="353" t="s">
        <v>123</v>
      </c>
      <c r="R448" s="353" t="s">
        <v>65</v>
      </c>
      <c r="S448" s="348" t="s">
        <v>118</v>
      </c>
      <c r="T448" s="348" t="s">
        <v>126</v>
      </c>
      <c r="U448" s="354">
        <v>300000</v>
      </c>
      <c r="V448" s="109"/>
      <c r="W448" s="110">
        <v>0</v>
      </c>
      <c r="X448" s="355">
        <f t="shared" si="30"/>
        <v>300000</v>
      </c>
      <c r="Y448" s="355">
        <v>0</v>
      </c>
      <c r="Z448" s="355">
        <v>0</v>
      </c>
      <c r="AA448" s="356" t="s">
        <v>132</v>
      </c>
      <c r="AB448" s="357" t="s">
        <v>1203</v>
      </c>
      <c r="AC448" s="357"/>
      <c r="AD448" s="357"/>
      <c r="AE448" s="357"/>
      <c r="AF448" s="357"/>
      <c r="AG448" s="147"/>
    </row>
    <row r="449" spans="1:256" s="182" customFormat="1" ht="22.5">
      <c r="A449" s="346">
        <v>78</v>
      </c>
      <c r="B449" s="347" t="s">
        <v>922</v>
      </c>
      <c r="C449" s="348" t="s">
        <v>140</v>
      </c>
      <c r="D449" s="347" t="s">
        <v>919</v>
      </c>
      <c r="E449" s="104" t="s">
        <v>114</v>
      </c>
      <c r="F449" s="353" t="s">
        <v>91</v>
      </c>
      <c r="G449" s="353" t="s">
        <v>908</v>
      </c>
      <c r="H449" s="348" t="s">
        <v>7</v>
      </c>
      <c r="I449" s="353" t="s">
        <v>238</v>
      </c>
      <c r="J449" s="351">
        <v>42095</v>
      </c>
      <c r="K449" s="352">
        <v>2</v>
      </c>
      <c r="L449" s="351">
        <v>42156</v>
      </c>
      <c r="M449" s="351">
        <v>42186</v>
      </c>
      <c r="N449" s="352">
        <v>2</v>
      </c>
      <c r="O449" s="351">
        <f t="shared" si="29"/>
        <v>42248</v>
      </c>
      <c r="P449" s="353" t="s">
        <v>236</v>
      </c>
      <c r="Q449" s="353" t="s">
        <v>123</v>
      </c>
      <c r="R449" s="353" t="s">
        <v>65</v>
      </c>
      <c r="S449" s="348" t="s">
        <v>118</v>
      </c>
      <c r="T449" s="348" t="s">
        <v>126</v>
      </c>
      <c r="U449" s="354">
        <v>300000</v>
      </c>
      <c r="V449" s="109"/>
      <c r="W449" s="110">
        <v>0</v>
      </c>
      <c r="X449" s="355">
        <f t="shared" si="30"/>
        <v>300000</v>
      </c>
      <c r="Y449" s="355">
        <v>0</v>
      </c>
      <c r="Z449" s="355">
        <v>0</v>
      </c>
      <c r="AA449" s="356" t="s">
        <v>132</v>
      </c>
      <c r="AB449" s="357" t="s">
        <v>1203</v>
      </c>
      <c r="AC449" s="357"/>
      <c r="AD449" s="357"/>
      <c r="AE449" s="357"/>
      <c r="AF449" s="357"/>
      <c r="AG449" s="147"/>
    </row>
    <row r="450" spans="1:256" s="182" customFormat="1" ht="22.5">
      <c r="A450" s="346">
        <v>79</v>
      </c>
      <c r="B450" s="347" t="s">
        <v>923</v>
      </c>
      <c r="C450" s="348" t="s">
        <v>140</v>
      </c>
      <c r="D450" s="347" t="s">
        <v>914</v>
      </c>
      <c r="E450" s="104" t="s">
        <v>114</v>
      </c>
      <c r="F450" s="353" t="s">
        <v>91</v>
      </c>
      <c r="G450" s="353" t="s">
        <v>228</v>
      </c>
      <c r="H450" s="348" t="s">
        <v>200</v>
      </c>
      <c r="I450" s="353" t="s">
        <v>238</v>
      </c>
      <c r="J450" s="351">
        <v>42095</v>
      </c>
      <c r="K450" s="352">
        <v>2</v>
      </c>
      <c r="L450" s="351">
        <v>42156</v>
      </c>
      <c r="M450" s="351">
        <v>42186</v>
      </c>
      <c r="N450" s="352">
        <v>2</v>
      </c>
      <c r="O450" s="351">
        <f t="shared" ref="O450:O513" si="31">M450+(N450*31)</f>
        <v>42248</v>
      </c>
      <c r="P450" s="353" t="s">
        <v>236</v>
      </c>
      <c r="Q450" s="353" t="s">
        <v>123</v>
      </c>
      <c r="R450" s="353" t="s">
        <v>65</v>
      </c>
      <c r="S450" s="348" t="s">
        <v>118</v>
      </c>
      <c r="T450" s="348" t="s">
        <v>126</v>
      </c>
      <c r="U450" s="354">
        <v>300000</v>
      </c>
      <c r="V450" s="109"/>
      <c r="W450" s="110">
        <v>0</v>
      </c>
      <c r="X450" s="355">
        <f t="shared" si="30"/>
        <v>300000</v>
      </c>
      <c r="Y450" s="355">
        <v>0</v>
      </c>
      <c r="Z450" s="355">
        <v>0</v>
      </c>
      <c r="AA450" s="356" t="s">
        <v>132</v>
      </c>
      <c r="AB450" s="357" t="s">
        <v>1203</v>
      </c>
      <c r="AC450" s="357"/>
      <c r="AD450" s="357"/>
      <c r="AE450" s="357"/>
      <c r="AF450" s="357"/>
      <c r="AG450" s="147"/>
    </row>
    <row r="451" spans="1:256" s="182" customFormat="1" ht="22.5">
      <c r="A451" s="346">
        <v>80</v>
      </c>
      <c r="B451" s="347" t="s">
        <v>924</v>
      </c>
      <c r="C451" s="348" t="s">
        <v>140</v>
      </c>
      <c r="D451" s="347" t="s">
        <v>919</v>
      </c>
      <c r="E451" s="104" t="s">
        <v>114</v>
      </c>
      <c r="F451" s="353" t="s">
        <v>91</v>
      </c>
      <c r="G451" s="353" t="s">
        <v>277</v>
      </c>
      <c r="H451" s="348" t="s">
        <v>31</v>
      </c>
      <c r="I451" s="353" t="s">
        <v>238</v>
      </c>
      <c r="J451" s="351">
        <v>42095</v>
      </c>
      <c r="K451" s="352">
        <v>2</v>
      </c>
      <c r="L451" s="351">
        <v>42156</v>
      </c>
      <c r="M451" s="351">
        <v>42186</v>
      </c>
      <c r="N451" s="352">
        <v>2</v>
      </c>
      <c r="O451" s="351">
        <f t="shared" si="31"/>
        <v>42248</v>
      </c>
      <c r="P451" s="353" t="s">
        <v>236</v>
      </c>
      <c r="Q451" s="353" t="s">
        <v>123</v>
      </c>
      <c r="R451" s="353" t="s">
        <v>65</v>
      </c>
      <c r="S451" s="348" t="s">
        <v>118</v>
      </c>
      <c r="T451" s="348" t="s">
        <v>126</v>
      </c>
      <c r="U451" s="354">
        <v>300000</v>
      </c>
      <c r="V451" s="109"/>
      <c r="W451" s="110">
        <v>0</v>
      </c>
      <c r="X451" s="355">
        <f t="shared" si="30"/>
        <v>300000</v>
      </c>
      <c r="Y451" s="355">
        <v>0</v>
      </c>
      <c r="Z451" s="355">
        <v>0</v>
      </c>
      <c r="AA451" s="356" t="s">
        <v>132</v>
      </c>
      <c r="AB451" s="357" t="s">
        <v>1203</v>
      </c>
      <c r="AC451" s="357"/>
      <c r="AD451" s="357"/>
      <c r="AE451" s="357"/>
      <c r="AF451" s="357"/>
      <c r="AG451" s="147"/>
    </row>
    <row r="452" spans="1:256" s="182" customFormat="1" ht="22.5">
      <c r="A452" s="346">
        <v>81</v>
      </c>
      <c r="B452" s="347" t="s">
        <v>925</v>
      </c>
      <c r="C452" s="348" t="s">
        <v>140</v>
      </c>
      <c r="D452" s="347" t="s">
        <v>914</v>
      </c>
      <c r="E452" s="104" t="s">
        <v>114</v>
      </c>
      <c r="F452" s="353" t="s">
        <v>91</v>
      </c>
      <c r="G452" s="353" t="s">
        <v>199</v>
      </c>
      <c r="H452" s="348" t="s">
        <v>200</v>
      </c>
      <c r="I452" s="353" t="s">
        <v>238</v>
      </c>
      <c r="J452" s="351">
        <v>42095</v>
      </c>
      <c r="K452" s="352">
        <v>2</v>
      </c>
      <c r="L452" s="351">
        <v>42156</v>
      </c>
      <c r="M452" s="351">
        <v>42186</v>
      </c>
      <c r="N452" s="352">
        <v>2</v>
      </c>
      <c r="O452" s="351">
        <f t="shared" si="31"/>
        <v>42248</v>
      </c>
      <c r="P452" s="353" t="s">
        <v>236</v>
      </c>
      <c r="Q452" s="353" t="s">
        <v>123</v>
      </c>
      <c r="R452" s="353" t="s">
        <v>65</v>
      </c>
      <c r="S452" s="348" t="s">
        <v>118</v>
      </c>
      <c r="T452" s="348" t="s">
        <v>126</v>
      </c>
      <c r="U452" s="354">
        <v>300000</v>
      </c>
      <c r="V452" s="109"/>
      <c r="W452" s="110">
        <v>0</v>
      </c>
      <c r="X452" s="355">
        <f t="shared" si="30"/>
        <v>300000</v>
      </c>
      <c r="Y452" s="355">
        <v>0</v>
      </c>
      <c r="Z452" s="355">
        <v>0</v>
      </c>
      <c r="AA452" s="356" t="s">
        <v>132</v>
      </c>
      <c r="AB452" s="357" t="s">
        <v>1203</v>
      </c>
      <c r="AC452" s="357"/>
      <c r="AD452" s="357"/>
      <c r="AE452" s="357"/>
      <c r="AF452" s="357"/>
      <c r="AG452" s="147"/>
    </row>
    <row r="453" spans="1:256" s="229" customFormat="1" ht="90" hidden="1" customHeight="1">
      <c r="A453" s="101">
        <f t="shared" si="28"/>
        <v>82</v>
      </c>
      <c r="B453" s="103" t="s">
        <v>926</v>
      </c>
      <c r="C453" s="104" t="s">
        <v>140</v>
      </c>
      <c r="D453" s="103" t="s">
        <v>914</v>
      </c>
      <c r="E453" s="104" t="s">
        <v>114</v>
      </c>
      <c r="F453" s="103" t="s">
        <v>141</v>
      </c>
      <c r="G453" s="106" t="s">
        <v>350</v>
      </c>
      <c r="H453" s="102" t="s">
        <v>3</v>
      </c>
      <c r="I453" s="103" t="s">
        <v>238</v>
      </c>
      <c r="J453" s="224">
        <v>42522</v>
      </c>
      <c r="K453" s="224"/>
      <c r="L453" s="224">
        <f t="shared" si="26"/>
        <v>42522</v>
      </c>
      <c r="M453" s="224">
        <v>42766</v>
      </c>
      <c r="N453" s="224"/>
      <c r="O453" s="224">
        <f t="shared" si="31"/>
        <v>42766</v>
      </c>
      <c r="P453" s="105" t="s">
        <v>236</v>
      </c>
      <c r="Q453" s="103" t="s">
        <v>123</v>
      </c>
      <c r="R453" s="103"/>
      <c r="S453" s="104" t="s">
        <v>138</v>
      </c>
      <c r="T453" s="104"/>
      <c r="U453" s="110">
        <v>300000</v>
      </c>
      <c r="V453" s="109"/>
      <c r="W453" s="110">
        <v>0</v>
      </c>
      <c r="X453" s="259">
        <v>0</v>
      </c>
      <c r="Y453" s="260">
        <v>300000</v>
      </c>
      <c r="Z453" s="259">
        <v>0</v>
      </c>
      <c r="AA453" s="226">
        <v>0</v>
      </c>
      <c r="AB453" s="219"/>
      <c r="AC453" s="219"/>
      <c r="AD453" s="219"/>
      <c r="AE453" s="219"/>
      <c r="AF453" s="219"/>
      <c r="AG453" s="100"/>
      <c r="AH453" s="227"/>
      <c r="AI453" s="228"/>
      <c r="AJ453" s="228"/>
      <c r="AK453" s="228"/>
      <c r="AL453" s="228"/>
      <c r="AM453" s="228"/>
      <c r="AN453" s="228"/>
      <c r="AO453" s="228"/>
      <c r="AP453" s="228"/>
      <c r="AQ453" s="228"/>
      <c r="AR453" s="228"/>
      <c r="AS453" s="228"/>
      <c r="AT453" s="228"/>
      <c r="AU453" s="228"/>
      <c r="AV453" s="228"/>
      <c r="AW453" s="228"/>
      <c r="AX453" s="228"/>
      <c r="AY453" s="228"/>
      <c r="AZ453" s="228"/>
      <c r="BA453" s="228"/>
      <c r="BB453" s="228"/>
      <c r="BC453" s="228"/>
      <c r="BD453" s="228"/>
      <c r="BE453" s="228"/>
      <c r="BF453" s="228"/>
      <c r="BG453" s="228"/>
      <c r="BH453" s="228"/>
      <c r="BI453" s="228"/>
      <c r="BJ453" s="228"/>
      <c r="BK453" s="228"/>
      <c r="BL453" s="228"/>
      <c r="BM453" s="228"/>
      <c r="BN453" s="228"/>
      <c r="BO453" s="228"/>
      <c r="BP453" s="228"/>
      <c r="BQ453" s="228"/>
      <c r="BR453" s="228"/>
      <c r="BS453" s="228"/>
      <c r="BT453" s="228"/>
      <c r="BU453" s="228"/>
      <c r="BV453" s="228"/>
      <c r="BW453" s="228"/>
      <c r="BX453" s="228"/>
      <c r="BY453" s="228"/>
      <c r="BZ453" s="228"/>
      <c r="CA453" s="228"/>
      <c r="CB453" s="228"/>
      <c r="CC453" s="228"/>
      <c r="CD453" s="228"/>
      <c r="CE453" s="228"/>
      <c r="CF453" s="228"/>
      <c r="CG453" s="228"/>
      <c r="CH453" s="228"/>
      <c r="CI453" s="228"/>
      <c r="CJ453" s="228"/>
      <c r="CK453" s="228"/>
      <c r="CL453" s="228"/>
      <c r="CM453" s="228"/>
      <c r="CN453" s="228"/>
      <c r="CO453" s="228"/>
      <c r="CP453" s="228"/>
      <c r="CQ453" s="228"/>
      <c r="CR453" s="228"/>
      <c r="CS453" s="228"/>
      <c r="CT453" s="228"/>
      <c r="CU453" s="228"/>
      <c r="CV453" s="228"/>
      <c r="CW453" s="228"/>
      <c r="CX453" s="228"/>
      <c r="CY453" s="228"/>
      <c r="CZ453" s="228"/>
      <c r="DA453" s="228"/>
      <c r="DB453" s="228"/>
      <c r="DC453" s="228"/>
      <c r="DD453" s="228"/>
      <c r="DE453" s="228"/>
      <c r="DF453" s="228"/>
      <c r="DG453" s="228"/>
      <c r="DH453" s="228"/>
      <c r="DI453" s="228"/>
      <c r="DJ453" s="228"/>
      <c r="DK453" s="228"/>
      <c r="DL453" s="228"/>
      <c r="DM453" s="228"/>
      <c r="DN453" s="228"/>
      <c r="DO453" s="228"/>
      <c r="DP453" s="228"/>
      <c r="DQ453" s="228"/>
      <c r="DR453" s="228"/>
      <c r="DS453" s="228"/>
      <c r="DT453" s="228"/>
      <c r="DU453" s="228"/>
      <c r="DV453" s="228"/>
      <c r="DW453" s="228"/>
      <c r="DX453" s="228"/>
      <c r="DY453" s="228"/>
      <c r="DZ453" s="228"/>
      <c r="EA453" s="228"/>
      <c r="EB453" s="228"/>
      <c r="EC453" s="228"/>
      <c r="ED453" s="228"/>
      <c r="EE453" s="228"/>
      <c r="EF453" s="228"/>
      <c r="EG453" s="228"/>
      <c r="EH453" s="228"/>
      <c r="EI453" s="228"/>
      <c r="EJ453" s="228"/>
      <c r="EK453" s="228"/>
      <c r="EL453" s="228"/>
      <c r="EM453" s="228"/>
      <c r="EN453" s="228"/>
      <c r="EO453" s="228"/>
      <c r="EP453" s="228"/>
      <c r="EQ453" s="228"/>
      <c r="ER453" s="228"/>
      <c r="ES453" s="228"/>
      <c r="ET453" s="228"/>
      <c r="EU453" s="228"/>
      <c r="EV453" s="228"/>
      <c r="EW453" s="228"/>
      <c r="EX453" s="228"/>
      <c r="EY453" s="228"/>
      <c r="EZ453" s="228"/>
      <c r="FA453" s="228"/>
      <c r="FB453" s="228"/>
      <c r="FC453" s="228"/>
      <c r="FD453" s="228"/>
      <c r="FE453" s="228"/>
      <c r="FF453" s="228"/>
      <c r="FG453" s="228"/>
      <c r="FH453" s="228"/>
      <c r="FI453" s="228"/>
      <c r="FJ453" s="228"/>
      <c r="FK453" s="228"/>
      <c r="FL453" s="228"/>
      <c r="FM453" s="228"/>
      <c r="FN453" s="228"/>
      <c r="FO453" s="228"/>
      <c r="FP453" s="228"/>
      <c r="FQ453" s="228"/>
      <c r="FR453" s="228"/>
      <c r="FS453" s="228"/>
      <c r="FT453" s="228"/>
      <c r="FU453" s="228"/>
      <c r="FV453" s="228"/>
      <c r="FW453" s="228"/>
      <c r="FX453" s="228"/>
      <c r="FY453" s="228"/>
      <c r="FZ453" s="228"/>
      <c r="GA453" s="228"/>
      <c r="GB453" s="228"/>
      <c r="GC453" s="228"/>
      <c r="GD453" s="228"/>
      <c r="GE453" s="228"/>
      <c r="GF453" s="228"/>
      <c r="GG453" s="228"/>
      <c r="GH453" s="228"/>
      <c r="GI453" s="228"/>
      <c r="GJ453" s="228"/>
      <c r="GK453" s="228"/>
      <c r="GL453" s="228"/>
      <c r="GM453" s="228"/>
      <c r="GN453" s="228"/>
      <c r="GO453" s="228"/>
      <c r="GP453" s="228"/>
      <c r="GQ453" s="228"/>
      <c r="GR453" s="228"/>
      <c r="GS453" s="228"/>
      <c r="GT453" s="228"/>
      <c r="GU453" s="228"/>
      <c r="GV453" s="228"/>
      <c r="GW453" s="228"/>
      <c r="GX453" s="228"/>
      <c r="GY453" s="228"/>
      <c r="GZ453" s="228"/>
      <c r="HA453" s="228"/>
      <c r="HB453" s="228"/>
      <c r="HC453" s="228"/>
      <c r="HD453" s="228"/>
      <c r="HE453" s="228"/>
      <c r="HF453" s="228"/>
      <c r="HG453" s="228"/>
      <c r="HH453" s="228"/>
      <c r="HI453" s="228"/>
      <c r="HJ453" s="228"/>
      <c r="HK453" s="228"/>
      <c r="HL453" s="228"/>
      <c r="HM453" s="228"/>
      <c r="HN453" s="228"/>
      <c r="HO453" s="228"/>
      <c r="HP453" s="228"/>
      <c r="HQ453" s="228"/>
      <c r="HR453" s="228"/>
      <c r="HS453" s="228"/>
      <c r="HT453" s="228"/>
      <c r="HU453" s="228"/>
      <c r="HV453" s="228"/>
      <c r="HW453" s="228"/>
      <c r="HX453" s="228"/>
      <c r="HY453" s="228"/>
      <c r="HZ453" s="228"/>
      <c r="IA453" s="228"/>
      <c r="IB453" s="228"/>
      <c r="IC453" s="228"/>
      <c r="ID453" s="228"/>
      <c r="IE453" s="228"/>
      <c r="IF453" s="228"/>
      <c r="IG453" s="228"/>
      <c r="IH453" s="228"/>
      <c r="II453" s="228"/>
      <c r="IJ453" s="228"/>
      <c r="IK453" s="228"/>
      <c r="IL453" s="228"/>
      <c r="IM453" s="228"/>
      <c r="IN453" s="228"/>
      <c r="IO453" s="228"/>
      <c r="IP453" s="228"/>
      <c r="IQ453" s="228"/>
      <c r="IR453" s="228"/>
      <c r="IS453" s="228"/>
      <c r="IT453" s="228"/>
      <c r="IU453" s="228"/>
      <c r="IV453" s="228"/>
    </row>
    <row r="454" spans="1:256" s="229" customFormat="1" ht="25.5" hidden="1">
      <c r="A454" s="101">
        <f t="shared" si="28"/>
        <v>83</v>
      </c>
      <c r="B454" s="103" t="s">
        <v>927</v>
      </c>
      <c r="C454" s="104" t="s">
        <v>140</v>
      </c>
      <c r="D454" s="103" t="s">
        <v>914</v>
      </c>
      <c r="E454" s="104" t="s">
        <v>114</v>
      </c>
      <c r="F454" s="103" t="s">
        <v>84</v>
      </c>
      <c r="G454" s="106" t="s">
        <v>165</v>
      </c>
      <c r="H454" s="102" t="s">
        <v>96</v>
      </c>
      <c r="I454" s="103" t="s">
        <v>238</v>
      </c>
      <c r="J454" s="224">
        <v>42522</v>
      </c>
      <c r="K454" s="224"/>
      <c r="L454" s="224">
        <f t="shared" si="26"/>
        <v>42522</v>
      </c>
      <c r="M454" s="224">
        <v>42766</v>
      </c>
      <c r="N454" s="224"/>
      <c r="O454" s="224">
        <f t="shared" si="31"/>
        <v>42766</v>
      </c>
      <c r="P454" s="105" t="s">
        <v>236</v>
      </c>
      <c r="Q454" s="103" t="s">
        <v>123</v>
      </c>
      <c r="R454" s="103"/>
      <c r="S454" s="104" t="s">
        <v>138</v>
      </c>
      <c r="T454" s="104"/>
      <c r="U454" s="110">
        <v>300000</v>
      </c>
      <c r="V454" s="109"/>
      <c r="W454" s="110">
        <v>0</v>
      </c>
      <c r="X454" s="259">
        <v>0</v>
      </c>
      <c r="Y454" s="260">
        <v>300000</v>
      </c>
      <c r="Z454" s="259">
        <v>0</v>
      </c>
      <c r="AA454" s="226">
        <v>0</v>
      </c>
      <c r="AB454" s="219"/>
      <c r="AC454" s="219"/>
      <c r="AD454" s="219"/>
      <c r="AE454" s="219"/>
      <c r="AF454" s="219"/>
      <c r="AG454" s="100"/>
      <c r="AH454" s="230"/>
    </row>
    <row r="455" spans="1:256" s="229" customFormat="1" ht="25.5" hidden="1">
      <c r="A455" s="101">
        <f t="shared" si="28"/>
        <v>84</v>
      </c>
      <c r="B455" s="103" t="s">
        <v>928</v>
      </c>
      <c r="C455" s="104" t="s">
        <v>140</v>
      </c>
      <c r="D455" s="103" t="s">
        <v>919</v>
      </c>
      <c r="E455" s="104" t="s">
        <v>114</v>
      </c>
      <c r="F455" s="103" t="s">
        <v>84</v>
      </c>
      <c r="G455" s="106" t="s">
        <v>155</v>
      </c>
      <c r="H455" s="102" t="s">
        <v>14</v>
      </c>
      <c r="I455" s="103" t="s">
        <v>238</v>
      </c>
      <c r="J455" s="224">
        <v>42522</v>
      </c>
      <c r="K455" s="224"/>
      <c r="L455" s="224">
        <f t="shared" si="26"/>
        <v>42522</v>
      </c>
      <c r="M455" s="224">
        <v>42766</v>
      </c>
      <c r="N455" s="224"/>
      <c r="O455" s="224">
        <f t="shared" si="31"/>
        <v>42766</v>
      </c>
      <c r="P455" s="105" t="s">
        <v>236</v>
      </c>
      <c r="Q455" s="103" t="s">
        <v>123</v>
      </c>
      <c r="R455" s="103"/>
      <c r="S455" s="104" t="s">
        <v>138</v>
      </c>
      <c r="T455" s="104"/>
      <c r="U455" s="110">
        <v>300000</v>
      </c>
      <c r="V455" s="109"/>
      <c r="W455" s="110">
        <v>0</v>
      </c>
      <c r="X455" s="259">
        <v>0</v>
      </c>
      <c r="Y455" s="260">
        <v>300000</v>
      </c>
      <c r="Z455" s="259">
        <v>0</v>
      </c>
      <c r="AA455" s="226">
        <v>0</v>
      </c>
      <c r="AB455" s="219"/>
      <c r="AC455" s="219"/>
      <c r="AD455" s="219"/>
      <c r="AE455" s="219"/>
      <c r="AF455" s="219"/>
      <c r="AG455" s="100"/>
      <c r="AH455" s="230"/>
    </row>
    <row r="456" spans="1:256" s="229" customFormat="1" ht="25.5" hidden="1">
      <c r="A456" s="101">
        <f t="shared" si="28"/>
        <v>85</v>
      </c>
      <c r="B456" s="103" t="s">
        <v>929</v>
      </c>
      <c r="C456" s="104" t="s">
        <v>140</v>
      </c>
      <c r="D456" s="103" t="s">
        <v>919</v>
      </c>
      <c r="E456" s="104" t="s">
        <v>114</v>
      </c>
      <c r="F456" s="103" t="s">
        <v>88</v>
      </c>
      <c r="G456" s="106" t="s">
        <v>320</v>
      </c>
      <c r="H456" s="102" t="s">
        <v>23</v>
      </c>
      <c r="I456" s="103" t="s">
        <v>238</v>
      </c>
      <c r="J456" s="224">
        <v>42522</v>
      </c>
      <c r="K456" s="224"/>
      <c r="L456" s="224">
        <f t="shared" si="26"/>
        <v>42522</v>
      </c>
      <c r="M456" s="224">
        <v>42766</v>
      </c>
      <c r="N456" s="224"/>
      <c r="O456" s="224">
        <f t="shared" si="31"/>
        <v>42766</v>
      </c>
      <c r="P456" s="105" t="s">
        <v>236</v>
      </c>
      <c r="Q456" s="103" t="s">
        <v>123</v>
      </c>
      <c r="R456" s="103"/>
      <c r="S456" s="104" t="s">
        <v>138</v>
      </c>
      <c r="T456" s="104"/>
      <c r="U456" s="110">
        <v>300000</v>
      </c>
      <c r="V456" s="109"/>
      <c r="W456" s="110">
        <v>0</v>
      </c>
      <c r="X456" s="259">
        <v>0</v>
      </c>
      <c r="Y456" s="260">
        <v>300000</v>
      </c>
      <c r="Z456" s="259">
        <v>0</v>
      </c>
      <c r="AA456" s="226"/>
      <c r="AB456" s="219"/>
      <c r="AC456" s="219"/>
      <c r="AD456" s="219"/>
      <c r="AE456" s="219"/>
      <c r="AF456" s="219"/>
      <c r="AG456" s="100"/>
      <c r="AH456" s="230"/>
    </row>
    <row r="457" spans="1:256" s="229" customFormat="1" ht="25.5" hidden="1">
      <c r="A457" s="101">
        <f t="shared" si="28"/>
        <v>86</v>
      </c>
      <c r="B457" s="103" t="s">
        <v>930</v>
      </c>
      <c r="C457" s="104" t="s">
        <v>140</v>
      </c>
      <c r="D457" s="103" t="s">
        <v>914</v>
      </c>
      <c r="E457" s="104" t="s">
        <v>114</v>
      </c>
      <c r="F457" s="103" t="s">
        <v>88</v>
      </c>
      <c r="G457" s="106" t="s">
        <v>776</v>
      </c>
      <c r="H457" s="102" t="s">
        <v>25</v>
      </c>
      <c r="I457" s="103" t="s">
        <v>238</v>
      </c>
      <c r="J457" s="224">
        <v>42522</v>
      </c>
      <c r="K457" s="224"/>
      <c r="L457" s="224">
        <f t="shared" si="26"/>
        <v>42522</v>
      </c>
      <c r="M457" s="224">
        <v>42766</v>
      </c>
      <c r="N457" s="224"/>
      <c r="O457" s="224">
        <f t="shared" si="31"/>
        <v>42766</v>
      </c>
      <c r="P457" s="105" t="s">
        <v>236</v>
      </c>
      <c r="Q457" s="103" t="s">
        <v>123</v>
      </c>
      <c r="R457" s="103"/>
      <c r="S457" s="104" t="s">
        <v>138</v>
      </c>
      <c r="T457" s="104"/>
      <c r="U457" s="110">
        <v>300000</v>
      </c>
      <c r="V457" s="109"/>
      <c r="W457" s="110">
        <v>0</v>
      </c>
      <c r="X457" s="259">
        <v>0</v>
      </c>
      <c r="Y457" s="260">
        <v>300000</v>
      </c>
      <c r="Z457" s="259">
        <v>0</v>
      </c>
      <c r="AA457" s="226">
        <v>0</v>
      </c>
      <c r="AB457" s="219"/>
      <c r="AC457" s="219"/>
      <c r="AD457" s="219"/>
      <c r="AE457" s="219"/>
      <c r="AF457" s="219"/>
      <c r="AG457" s="100"/>
      <c r="AH457" s="230"/>
    </row>
    <row r="458" spans="1:256" s="229" customFormat="1" ht="25.5" hidden="1">
      <c r="A458" s="101">
        <f t="shared" si="28"/>
        <v>87</v>
      </c>
      <c r="B458" s="103" t="s">
        <v>931</v>
      </c>
      <c r="C458" s="104" t="s">
        <v>140</v>
      </c>
      <c r="D458" s="103" t="s">
        <v>914</v>
      </c>
      <c r="E458" s="104" t="s">
        <v>114</v>
      </c>
      <c r="F458" s="103" t="s">
        <v>88</v>
      </c>
      <c r="G458" s="106" t="s">
        <v>776</v>
      </c>
      <c r="H458" s="102" t="s">
        <v>25</v>
      </c>
      <c r="I458" s="103" t="s">
        <v>238</v>
      </c>
      <c r="J458" s="224">
        <v>42522</v>
      </c>
      <c r="K458" s="224"/>
      <c r="L458" s="224">
        <f t="shared" si="26"/>
        <v>42522</v>
      </c>
      <c r="M458" s="224">
        <v>42766</v>
      </c>
      <c r="N458" s="224"/>
      <c r="O458" s="224">
        <f t="shared" si="31"/>
        <v>42766</v>
      </c>
      <c r="P458" s="105" t="s">
        <v>236</v>
      </c>
      <c r="Q458" s="103" t="s">
        <v>123</v>
      </c>
      <c r="R458" s="103"/>
      <c r="S458" s="104" t="s">
        <v>138</v>
      </c>
      <c r="T458" s="104"/>
      <c r="U458" s="110">
        <v>300000</v>
      </c>
      <c r="V458" s="109"/>
      <c r="W458" s="110">
        <v>0</v>
      </c>
      <c r="X458" s="259">
        <v>0</v>
      </c>
      <c r="Y458" s="260">
        <v>300000</v>
      </c>
      <c r="Z458" s="259">
        <v>0</v>
      </c>
      <c r="AA458" s="226">
        <v>0</v>
      </c>
      <c r="AB458" s="219"/>
      <c r="AC458" s="219"/>
      <c r="AD458" s="219"/>
      <c r="AE458" s="219"/>
      <c r="AF458" s="219"/>
      <c r="AG458" s="100"/>
      <c r="AH458" s="230"/>
    </row>
    <row r="459" spans="1:256" s="229" customFormat="1" ht="25.5" hidden="1">
      <c r="A459" s="101">
        <f t="shared" si="28"/>
        <v>88</v>
      </c>
      <c r="B459" s="103" t="s">
        <v>932</v>
      </c>
      <c r="C459" s="104" t="s">
        <v>140</v>
      </c>
      <c r="D459" s="103" t="s">
        <v>914</v>
      </c>
      <c r="E459" s="104" t="s">
        <v>114</v>
      </c>
      <c r="F459" s="103" t="s">
        <v>91</v>
      </c>
      <c r="G459" s="106" t="s">
        <v>338</v>
      </c>
      <c r="H459" s="102" t="s">
        <v>200</v>
      </c>
      <c r="I459" s="103" t="s">
        <v>238</v>
      </c>
      <c r="J459" s="224">
        <v>42522</v>
      </c>
      <c r="K459" s="224"/>
      <c r="L459" s="224">
        <f t="shared" si="26"/>
        <v>42522</v>
      </c>
      <c r="M459" s="224">
        <v>42766</v>
      </c>
      <c r="N459" s="224"/>
      <c r="O459" s="224">
        <f t="shared" si="31"/>
        <v>42766</v>
      </c>
      <c r="P459" s="105" t="s">
        <v>236</v>
      </c>
      <c r="Q459" s="103" t="s">
        <v>123</v>
      </c>
      <c r="R459" s="103"/>
      <c r="S459" s="104" t="s">
        <v>138</v>
      </c>
      <c r="T459" s="104"/>
      <c r="U459" s="110">
        <v>300000</v>
      </c>
      <c r="V459" s="109"/>
      <c r="W459" s="110">
        <v>0</v>
      </c>
      <c r="X459" s="259">
        <v>0</v>
      </c>
      <c r="Y459" s="260">
        <v>300000</v>
      </c>
      <c r="Z459" s="259">
        <v>0</v>
      </c>
      <c r="AA459" s="226">
        <v>0</v>
      </c>
      <c r="AB459" s="219"/>
      <c r="AC459" s="219"/>
      <c r="AD459" s="219"/>
      <c r="AE459" s="219"/>
      <c r="AF459" s="219"/>
      <c r="AG459" s="100"/>
      <c r="AH459" s="230"/>
    </row>
    <row r="460" spans="1:256" s="229" customFormat="1" ht="25.5" hidden="1">
      <c r="A460" s="101">
        <f t="shared" si="28"/>
        <v>89</v>
      </c>
      <c r="B460" s="103" t="s">
        <v>933</v>
      </c>
      <c r="C460" s="104" t="s">
        <v>140</v>
      </c>
      <c r="D460" s="103" t="s">
        <v>919</v>
      </c>
      <c r="E460" s="104" t="s">
        <v>114</v>
      </c>
      <c r="F460" s="103" t="s">
        <v>91</v>
      </c>
      <c r="G460" s="106" t="s">
        <v>277</v>
      </c>
      <c r="H460" s="102" t="s">
        <v>31</v>
      </c>
      <c r="I460" s="103" t="s">
        <v>238</v>
      </c>
      <c r="J460" s="224">
        <v>42522</v>
      </c>
      <c r="K460" s="224"/>
      <c r="L460" s="224">
        <f t="shared" si="26"/>
        <v>42522</v>
      </c>
      <c r="M460" s="224">
        <v>42766</v>
      </c>
      <c r="N460" s="224"/>
      <c r="O460" s="224">
        <f t="shared" si="31"/>
        <v>42766</v>
      </c>
      <c r="P460" s="105" t="s">
        <v>236</v>
      </c>
      <c r="Q460" s="103" t="s">
        <v>123</v>
      </c>
      <c r="R460" s="103"/>
      <c r="S460" s="104" t="s">
        <v>138</v>
      </c>
      <c r="T460" s="104"/>
      <c r="U460" s="110">
        <v>300000</v>
      </c>
      <c r="V460" s="109"/>
      <c r="W460" s="110">
        <v>0</v>
      </c>
      <c r="X460" s="259">
        <v>0</v>
      </c>
      <c r="Y460" s="260">
        <v>300000</v>
      </c>
      <c r="Z460" s="259">
        <v>0</v>
      </c>
      <c r="AA460" s="226">
        <v>0</v>
      </c>
      <c r="AB460" s="219"/>
      <c r="AC460" s="219"/>
      <c r="AD460" s="219"/>
      <c r="AE460" s="219"/>
      <c r="AF460" s="219"/>
      <c r="AG460" s="100"/>
      <c r="AH460" s="230"/>
    </row>
    <row r="461" spans="1:256" s="229" customFormat="1" ht="25.5" hidden="1">
      <c r="A461" s="101">
        <f t="shared" si="28"/>
        <v>90</v>
      </c>
      <c r="B461" s="103" t="s">
        <v>934</v>
      </c>
      <c r="C461" s="104" t="s">
        <v>140</v>
      </c>
      <c r="D461" s="103" t="s">
        <v>919</v>
      </c>
      <c r="E461" s="104" t="s">
        <v>114</v>
      </c>
      <c r="F461" s="103" t="s">
        <v>91</v>
      </c>
      <c r="G461" s="106" t="s">
        <v>580</v>
      </c>
      <c r="H461" s="102" t="s">
        <v>7</v>
      </c>
      <c r="I461" s="103" t="s">
        <v>238</v>
      </c>
      <c r="J461" s="224">
        <v>42522</v>
      </c>
      <c r="K461" s="224"/>
      <c r="L461" s="224">
        <f t="shared" si="26"/>
        <v>42522</v>
      </c>
      <c r="M461" s="224">
        <v>42766</v>
      </c>
      <c r="N461" s="224"/>
      <c r="O461" s="224">
        <f t="shared" si="31"/>
        <v>42766</v>
      </c>
      <c r="P461" s="105" t="s">
        <v>236</v>
      </c>
      <c r="Q461" s="103" t="s">
        <v>123</v>
      </c>
      <c r="R461" s="103"/>
      <c r="S461" s="104" t="s">
        <v>138</v>
      </c>
      <c r="T461" s="104"/>
      <c r="U461" s="110">
        <v>300000</v>
      </c>
      <c r="V461" s="109"/>
      <c r="W461" s="110">
        <v>0</v>
      </c>
      <c r="X461" s="259">
        <v>0</v>
      </c>
      <c r="Y461" s="260">
        <v>300000</v>
      </c>
      <c r="Z461" s="259">
        <v>0</v>
      </c>
      <c r="AA461" s="226">
        <v>0</v>
      </c>
      <c r="AB461" s="219"/>
      <c r="AC461" s="219"/>
      <c r="AD461" s="219"/>
      <c r="AE461" s="219"/>
      <c r="AF461" s="219"/>
      <c r="AG461" s="100"/>
      <c r="AH461" s="230"/>
    </row>
    <row r="462" spans="1:256" s="229" customFormat="1" ht="25.5" hidden="1">
      <c r="A462" s="101">
        <f t="shared" si="28"/>
        <v>91</v>
      </c>
      <c r="B462" s="103" t="s">
        <v>935</v>
      </c>
      <c r="C462" s="104" t="s">
        <v>140</v>
      </c>
      <c r="D462" s="103" t="s">
        <v>914</v>
      </c>
      <c r="E462" s="104" t="s">
        <v>114</v>
      </c>
      <c r="F462" s="103" t="s">
        <v>91</v>
      </c>
      <c r="G462" s="106" t="s">
        <v>284</v>
      </c>
      <c r="H462" s="102" t="s">
        <v>189</v>
      </c>
      <c r="I462" s="103" t="s">
        <v>238</v>
      </c>
      <c r="J462" s="224">
        <v>42522</v>
      </c>
      <c r="K462" s="224"/>
      <c r="L462" s="224">
        <f t="shared" si="26"/>
        <v>42522</v>
      </c>
      <c r="M462" s="224">
        <v>42766</v>
      </c>
      <c r="N462" s="224"/>
      <c r="O462" s="224">
        <f t="shared" si="31"/>
        <v>42766</v>
      </c>
      <c r="P462" s="105" t="s">
        <v>236</v>
      </c>
      <c r="Q462" s="103" t="s">
        <v>123</v>
      </c>
      <c r="R462" s="103"/>
      <c r="S462" s="104" t="s">
        <v>138</v>
      </c>
      <c r="T462" s="104"/>
      <c r="U462" s="110">
        <v>300000</v>
      </c>
      <c r="V462" s="109"/>
      <c r="W462" s="110">
        <v>0</v>
      </c>
      <c r="X462" s="259">
        <v>0</v>
      </c>
      <c r="Y462" s="260">
        <v>300000</v>
      </c>
      <c r="Z462" s="259">
        <v>0</v>
      </c>
      <c r="AA462" s="226">
        <v>0</v>
      </c>
      <c r="AB462" s="219"/>
      <c r="AC462" s="219"/>
      <c r="AD462" s="219"/>
      <c r="AE462" s="219"/>
      <c r="AF462" s="219"/>
      <c r="AG462" s="100"/>
      <c r="AH462" s="230"/>
    </row>
    <row r="463" spans="1:256" s="229" customFormat="1" ht="25.5" hidden="1">
      <c r="A463" s="101">
        <f t="shared" si="28"/>
        <v>92</v>
      </c>
      <c r="B463" s="103" t="s">
        <v>936</v>
      </c>
      <c r="C463" s="104" t="s">
        <v>302</v>
      </c>
      <c r="D463" s="103" t="s">
        <v>937</v>
      </c>
      <c r="E463" s="104" t="s">
        <v>114</v>
      </c>
      <c r="F463" s="103" t="s">
        <v>93</v>
      </c>
      <c r="G463" s="106" t="s">
        <v>93</v>
      </c>
      <c r="H463" s="102" t="s">
        <v>93</v>
      </c>
      <c r="I463" s="103" t="s">
        <v>90</v>
      </c>
      <c r="J463" s="224">
        <v>41730</v>
      </c>
      <c r="K463" s="224"/>
      <c r="L463" s="224">
        <f t="shared" si="26"/>
        <v>41730</v>
      </c>
      <c r="M463" s="224">
        <v>42094</v>
      </c>
      <c r="N463" s="224"/>
      <c r="O463" s="224">
        <f t="shared" si="31"/>
        <v>42094</v>
      </c>
      <c r="P463" s="105" t="s">
        <v>113</v>
      </c>
      <c r="Q463" s="103" t="s">
        <v>207</v>
      </c>
      <c r="R463" s="103"/>
      <c r="S463" s="104" t="s">
        <v>138</v>
      </c>
      <c r="T463" s="104"/>
      <c r="U463" s="110">
        <v>0</v>
      </c>
      <c r="V463" s="109">
        <v>0</v>
      </c>
      <c r="W463" s="110">
        <v>0</v>
      </c>
      <c r="X463" s="259">
        <v>0</v>
      </c>
      <c r="Y463" s="260">
        <v>0</v>
      </c>
      <c r="Z463" s="259">
        <v>0</v>
      </c>
      <c r="AA463" s="226"/>
      <c r="AB463" s="219"/>
      <c r="AC463" s="219"/>
      <c r="AD463" s="219"/>
      <c r="AE463" s="219"/>
      <c r="AF463" s="219"/>
      <c r="AG463" s="100"/>
      <c r="AH463" s="230"/>
    </row>
    <row r="464" spans="1:256" s="229" customFormat="1" ht="89.25" hidden="1">
      <c r="A464" s="101">
        <f t="shared" si="28"/>
        <v>93</v>
      </c>
      <c r="B464" s="103" t="s">
        <v>938</v>
      </c>
      <c r="C464" s="104" t="s">
        <v>939</v>
      </c>
      <c r="D464" s="103" t="s">
        <v>941</v>
      </c>
      <c r="E464" s="104" t="s">
        <v>114</v>
      </c>
      <c r="F464" s="103" t="s">
        <v>91</v>
      </c>
      <c r="G464" s="106" t="s">
        <v>940</v>
      </c>
      <c r="H464" s="102" t="s">
        <v>189</v>
      </c>
      <c r="I464" s="103" t="s">
        <v>162</v>
      </c>
      <c r="J464" s="224"/>
      <c r="K464" s="224"/>
      <c r="L464" s="224">
        <f t="shared" si="26"/>
        <v>0</v>
      </c>
      <c r="M464" s="224"/>
      <c r="N464" s="224"/>
      <c r="O464" s="224">
        <f t="shared" si="31"/>
        <v>0</v>
      </c>
      <c r="P464" s="105"/>
      <c r="Q464" s="103" t="s">
        <v>115</v>
      </c>
      <c r="R464" s="103"/>
      <c r="S464" s="104" t="s">
        <v>138</v>
      </c>
      <c r="T464" s="104"/>
      <c r="U464" s="110">
        <f>+(16*((1141850+1714473+2097122)/9+25000)+3658606+1293526+1350713+20*(1022001/14)+1350000+600000+350000+4298671+929210+1050000+150000)*1.23*1.07</f>
        <v>33819626.75007619</v>
      </c>
      <c r="V464" s="109"/>
      <c r="W464" s="110">
        <v>0</v>
      </c>
      <c r="X464" s="259">
        <v>0</v>
      </c>
      <c r="Y464" s="259">
        <v>0</v>
      </c>
      <c r="Z464" s="259">
        <f>+U464*0.235*0.3</f>
        <v>2384283.6858803714</v>
      </c>
      <c r="AA464" s="226">
        <f>+U464-Z464-AB464</f>
        <v>31435343.064195819</v>
      </c>
      <c r="AB464" s="219"/>
      <c r="AC464" s="219"/>
      <c r="AD464" s="219"/>
      <c r="AE464" s="219"/>
      <c r="AF464" s="219"/>
      <c r="AG464" s="100"/>
      <c r="AH464" s="230"/>
    </row>
    <row r="465" spans="1:34" s="229" customFormat="1" ht="102" hidden="1">
      <c r="A465" s="101">
        <f t="shared" si="28"/>
        <v>94</v>
      </c>
      <c r="B465" s="103" t="s">
        <v>942</v>
      </c>
      <c r="C465" s="104" t="s">
        <v>939</v>
      </c>
      <c r="D465" s="103" t="s">
        <v>943</v>
      </c>
      <c r="E465" s="104" t="s">
        <v>114</v>
      </c>
      <c r="F465" s="103" t="s">
        <v>91</v>
      </c>
      <c r="G465" s="106" t="s">
        <v>580</v>
      </c>
      <c r="H465" s="102" t="s">
        <v>581</v>
      </c>
      <c r="I465" s="103" t="s">
        <v>162</v>
      </c>
      <c r="J465" s="224"/>
      <c r="K465" s="224"/>
      <c r="L465" s="224">
        <f t="shared" si="26"/>
        <v>0</v>
      </c>
      <c r="M465" s="224"/>
      <c r="N465" s="224"/>
      <c r="O465" s="224">
        <f t="shared" si="31"/>
        <v>0</v>
      </c>
      <c r="P465" s="105"/>
      <c r="Q465" s="103" t="s">
        <v>115</v>
      </c>
      <c r="R465" s="103"/>
      <c r="S465" s="104" t="s">
        <v>138</v>
      </c>
      <c r="T465" s="104"/>
      <c r="U465" s="110">
        <f>+(1823640+18*((1141850+1714473+2097122)/9)+24*25000+3658606+1293526+1350713+36*(1022001/14)+1350000+600000+350000+4298671+929210+1050000+150000)*1.23*1.07</f>
        <v>39468863.205857143</v>
      </c>
      <c r="V465" s="109"/>
      <c r="W465" s="110">
        <v>0</v>
      </c>
      <c r="X465" s="259">
        <v>0</v>
      </c>
      <c r="Y465" s="259">
        <v>0</v>
      </c>
      <c r="Z465" s="259">
        <f>+U465*0.235*0.3</f>
        <v>2782554.8560129283</v>
      </c>
      <c r="AA465" s="226">
        <f>+U465-Z465-AB465</f>
        <v>36686308.349844217</v>
      </c>
      <c r="AB465" s="219"/>
      <c r="AC465" s="219"/>
      <c r="AD465" s="219"/>
      <c r="AE465" s="219"/>
      <c r="AF465" s="219"/>
      <c r="AG465" s="100"/>
      <c r="AH465" s="230"/>
    </row>
    <row r="466" spans="1:34" s="229" customFormat="1" ht="76.5" hidden="1">
      <c r="A466" s="101">
        <f t="shared" si="28"/>
        <v>95</v>
      </c>
      <c r="B466" s="103" t="s">
        <v>944</v>
      </c>
      <c r="C466" s="104" t="s">
        <v>945</v>
      </c>
      <c r="D466" s="103" t="s">
        <v>948</v>
      </c>
      <c r="E466" s="104" t="s">
        <v>114</v>
      </c>
      <c r="F466" s="103" t="s">
        <v>91</v>
      </c>
      <c r="G466" s="106" t="s">
        <v>946</v>
      </c>
      <c r="H466" s="102" t="s">
        <v>947</v>
      </c>
      <c r="I466" s="103" t="s">
        <v>162</v>
      </c>
      <c r="J466" s="224"/>
      <c r="K466" s="224"/>
      <c r="L466" s="224">
        <f t="shared" si="26"/>
        <v>0</v>
      </c>
      <c r="M466" s="224"/>
      <c r="N466" s="224"/>
      <c r="O466" s="224">
        <f t="shared" si="31"/>
        <v>0</v>
      </c>
      <c r="P466" s="105"/>
      <c r="Q466" s="103" t="s">
        <v>115</v>
      </c>
      <c r="R466" s="103"/>
      <c r="S466" s="104" t="s">
        <v>138</v>
      </c>
      <c r="T466" s="104"/>
      <c r="U466" s="110">
        <f>+(1823640+14*((1141850+1714473+2097122)/9)+17*25000+929210+1293526+1350713+12*(1022001/14)+1050000+150000)*1.23*1.07</f>
        <v>20535698.894652382</v>
      </c>
      <c r="V466" s="109"/>
      <c r="W466" s="110">
        <v>0</v>
      </c>
      <c r="X466" s="259">
        <v>0</v>
      </c>
      <c r="Y466" s="259">
        <v>0</v>
      </c>
      <c r="Z466" s="259">
        <v>0</v>
      </c>
      <c r="AA466" s="226">
        <v>0</v>
      </c>
      <c r="AB466" s="219"/>
      <c r="AC466" s="219"/>
      <c r="AD466" s="219"/>
      <c r="AE466" s="219"/>
      <c r="AF466" s="219"/>
      <c r="AG466" s="100"/>
      <c r="AH466" s="230"/>
    </row>
    <row r="467" spans="1:34" s="229" customFormat="1" ht="38.25" hidden="1">
      <c r="A467" s="101">
        <f t="shared" si="28"/>
        <v>96</v>
      </c>
      <c r="B467" s="103" t="s">
        <v>949</v>
      </c>
      <c r="C467" s="104" t="s">
        <v>950</v>
      </c>
      <c r="D467" s="103" t="s">
        <v>952</v>
      </c>
      <c r="E467" s="104" t="s">
        <v>114</v>
      </c>
      <c r="F467" s="103" t="s">
        <v>91</v>
      </c>
      <c r="G467" s="106" t="s">
        <v>951</v>
      </c>
      <c r="H467" s="102" t="s">
        <v>947</v>
      </c>
      <c r="I467" s="103" t="s">
        <v>162</v>
      </c>
      <c r="J467" s="224"/>
      <c r="K467" s="224"/>
      <c r="L467" s="224">
        <f t="shared" si="26"/>
        <v>0</v>
      </c>
      <c r="M467" s="224"/>
      <c r="N467" s="224"/>
      <c r="O467" s="224">
        <f t="shared" si="31"/>
        <v>0</v>
      </c>
      <c r="P467" s="105"/>
      <c r="Q467" s="103" t="s">
        <v>115</v>
      </c>
      <c r="R467" s="103"/>
      <c r="S467" s="104" t="s">
        <v>138</v>
      </c>
      <c r="T467" s="104"/>
      <c r="U467" s="110">
        <f>+(6*((1141850+1714473+2097122)/9)+7*25000)*1.23*1.07</f>
        <v>4576470.1429999992</v>
      </c>
      <c r="V467" s="109"/>
      <c r="W467" s="110">
        <v>0</v>
      </c>
      <c r="X467" s="259">
        <v>0</v>
      </c>
      <c r="Y467" s="259">
        <v>0</v>
      </c>
      <c r="Z467" s="259">
        <f>+U467*0.235*0.03</f>
        <v>32264.114508149989</v>
      </c>
      <c r="AA467" s="226">
        <f>+U467-Z467</f>
        <v>4544206.0284918491</v>
      </c>
      <c r="AB467" s="219"/>
      <c r="AC467" s="219"/>
      <c r="AD467" s="219"/>
      <c r="AE467" s="219"/>
      <c r="AF467" s="219"/>
      <c r="AG467" s="100"/>
      <c r="AH467" s="230"/>
    </row>
    <row r="468" spans="1:34" s="229" customFormat="1" ht="63.75" hidden="1">
      <c r="A468" s="101">
        <f t="shared" si="28"/>
        <v>97</v>
      </c>
      <c r="B468" s="103" t="s">
        <v>953</v>
      </c>
      <c r="C468" s="104" t="s">
        <v>945</v>
      </c>
      <c r="D468" s="103" t="s">
        <v>955</v>
      </c>
      <c r="E468" s="104" t="s">
        <v>114</v>
      </c>
      <c r="F468" s="103" t="s">
        <v>91</v>
      </c>
      <c r="G468" s="106" t="s">
        <v>954</v>
      </c>
      <c r="H468" s="102" t="s">
        <v>947</v>
      </c>
      <c r="I468" s="103" t="s">
        <v>162</v>
      </c>
      <c r="J468" s="224"/>
      <c r="K468" s="224"/>
      <c r="L468" s="224">
        <f t="shared" si="26"/>
        <v>0</v>
      </c>
      <c r="M468" s="224"/>
      <c r="N468" s="224"/>
      <c r="O468" s="224">
        <f t="shared" si="31"/>
        <v>0</v>
      </c>
      <c r="P468" s="105"/>
      <c r="Q468" s="103" t="s">
        <v>115</v>
      </c>
      <c r="R468" s="103"/>
      <c r="S468" s="104" t="s">
        <v>138</v>
      </c>
      <c r="T468" s="104"/>
      <c r="U468" s="110">
        <f>+(1823640+50000+929210+1350000+1293526+150000+1050000)*1.23*1.07</f>
        <v>8747295.4536000006</v>
      </c>
      <c r="V468" s="109"/>
      <c r="W468" s="110">
        <v>0</v>
      </c>
      <c r="X468" s="259">
        <v>0</v>
      </c>
      <c r="Y468" s="259">
        <v>0</v>
      </c>
      <c r="Z468" s="259">
        <v>0</v>
      </c>
      <c r="AA468" s="226">
        <v>0</v>
      </c>
      <c r="AB468" s="219"/>
      <c r="AC468" s="219"/>
      <c r="AD468" s="219"/>
      <c r="AE468" s="219"/>
      <c r="AF468" s="219"/>
      <c r="AG468" s="100"/>
      <c r="AH468" s="230"/>
    </row>
    <row r="469" spans="1:34" s="229" customFormat="1" ht="38.25" hidden="1">
      <c r="A469" s="101">
        <f t="shared" si="28"/>
        <v>98</v>
      </c>
      <c r="B469" s="103" t="s">
        <v>956</v>
      </c>
      <c r="C469" s="104" t="s">
        <v>945</v>
      </c>
      <c r="D469" s="103" t="s">
        <v>958</v>
      </c>
      <c r="E469" s="104" t="s">
        <v>114</v>
      </c>
      <c r="F469" s="103" t="s">
        <v>91</v>
      </c>
      <c r="G469" s="106" t="s">
        <v>957</v>
      </c>
      <c r="H469" s="102" t="s">
        <v>957</v>
      </c>
      <c r="I469" s="103" t="s">
        <v>162</v>
      </c>
      <c r="J469" s="224"/>
      <c r="K469" s="224"/>
      <c r="L469" s="224">
        <f t="shared" si="26"/>
        <v>0</v>
      </c>
      <c r="M469" s="224"/>
      <c r="N469" s="224"/>
      <c r="O469" s="224">
        <f t="shared" si="31"/>
        <v>0</v>
      </c>
      <c r="P469" s="105"/>
      <c r="Q469" s="103" t="s">
        <v>115</v>
      </c>
      <c r="R469" s="103"/>
      <c r="S469" s="104" t="s">
        <v>138</v>
      </c>
      <c r="T469" s="104"/>
      <c r="U469" s="110">
        <f>+(8*((1141850+1714473+2097122)/9)+8*25000)*1.23*1.07</f>
        <v>6058090.1906666672</v>
      </c>
      <c r="V469" s="109"/>
      <c r="W469" s="110">
        <v>0</v>
      </c>
      <c r="X469" s="259">
        <v>0</v>
      </c>
      <c r="Y469" s="259">
        <v>0</v>
      </c>
      <c r="Z469" s="259">
        <v>0</v>
      </c>
      <c r="AA469" s="226">
        <f>+U469*0.235*0.3</f>
        <v>427095.35844200006</v>
      </c>
      <c r="AB469" s="219"/>
      <c r="AC469" s="219"/>
      <c r="AD469" s="219"/>
      <c r="AE469" s="219"/>
      <c r="AF469" s="219"/>
      <c r="AG469" s="100"/>
      <c r="AH469" s="230"/>
    </row>
    <row r="470" spans="1:34" s="229" customFormat="1" ht="76.5" hidden="1">
      <c r="A470" s="101">
        <f t="shared" si="28"/>
        <v>99</v>
      </c>
      <c r="B470" s="103" t="s">
        <v>959</v>
      </c>
      <c r="C470" s="104" t="s">
        <v>945</v>
      </c>
      <c r="D470" s="103" t="s">
        <v>960</v>
      </c>
      <c r="E470" s="104" t="s">
        <v>114</v>
      </c>
      <c r="F470" s="103" t="s">
        <v>91</v>
      </c>
      <c r="G470" s="106" t="s">
        <v>228</v>
      </c>
      <c r="H470" s="102" t="s">
        <v>200</v>
      </c>
      <c r="I470" s="103" t="s">
        <v>162</v>
      </c>
      <c r="J470" s="224"/>
      <c r="K470" s="224"/>
      <c r="L470" s="224">
        <f t="shared" si="26"/>
        <v>0</v>
      </c>
      <c r="M470" s="224"/>
      <c r="N470" s="224"/>
      <c r="O470" s="224">
        <f t="shared" si="31"/>
        <v>0</v>
      </c>
      <c r="P470" s="105"/>
      <c r="Q470" s="103" t="s">
        <v>115</v>
      </c>
      <c r="R470" s="103"/>
      <c r="S470" s="104" t="s">
        <v>138</v>
      </c>
      <c r="T470" s="104"/>
      <c r="U470" s="110">
        <f>+(1823640+12*((1141850+1714473+2097122)/9)+3658606+1293526+1350713+18*(1022001/14)+1350000+600000+350000+929210+1050000+150000)*1.23*1.07</f>
        <v>26946212.567628574</v>
      </c>
      <c r="V470" s="109"/>
      <c r="W470" s="110">
        <v>0</v>
      </c>
      <c r="X470" s="259">
        <v>0</v>
      </c>
      <c r="Y470" s="259">
        <v>0</v>
      </c>
      <c r="Z470" s="259">
        <v>0</v>
      </c>
      <c r="AA470" s="226">
        <f>+U470*0.235*0.3</f>
        <v>1899707.9860178141</v>
      </c>
      <c r="AB470" s="219"/>
      <c r="AC470" s="219"/>
      <c r="AD470" s="219"/>
      <c r="AE470" s="219"/>
      <c r="AF470" s="219"/>
      <c r="AG470" s="100"/>
      <c r="AH470" s="230"/>
    </row>
    <row r="471" spans="1:34" s="229" customFormat="1" ht="89.25" hidden="1">
      <c r="A471" s="101">
        <f t="shared" si="28"/>
        <v>100</v>
      </c>
      <c r="B471" s="103" t="s">
        <v>961</v>
      </c>
      <c r="C471" s="104" t="s">
        <v>939</v>
      </c>
      <c r="D471" s="103" t="s">
        <v>963</v>
      </c>
      <c r="E471" s="104" t="s">
        <v>114</v>
      </c>
      <c r="F471" s="103" t="s">
        <v>91</v>
      </c>
      <c r="G471" s="106" t="s">
        <v>962</v>
      </c>
      <c r="H471" s="102" t="s">
        <v>588</v>
      </c>
      <c r="I471" s="103" t="s">
        <v>162</v>
      </c>
      <c r="J471" s="224"/>
      <c r="K471" s="224"/>
      <c r="L471" s="224">
        <f t="shared" si="26"/>
        <v>0</v>
      </c>
      <c r="M471" s="224"/>
      <c r="N471" s="224"/>
      <c r="O471" s="224">
        <f t="shared" si="31"/>
        <v>0</v>
      </c>
      <c r="P471" s="105"/>
      <c r="Q471" s="103" t="s">
        <v>115</v>
      </c>
      <c r="R471" s="103"/>
      <c r="S471" s="104" t="s">
        <v>138</v>
      </c>
      <c r="T471" s="104"/>
      <c r="U471" s="110">
        <f>+(12*((1141850+1714473+2097122)/9)+12*25000+3658606+1293526+1350713+18*(1022001/14)+1350000+600000+350000+4298671+929210+1050000+150000)*1.23*1.07</f>
        <v>30598430.86672857</v>
      </c>
      <c r="V471" s="109"/>
      <c r="W471" s="110">
        <v>0</v>
      </c>
      <c r="X471" s="259">
        <v>0</v>
      </c>
      <c r="Y471" s="259">
        <v>0</v>
      </c>
      <c r="Z471" s="259">
        <f>+U471*0.235*0.3</f>
        <v>2157189.3761043642</v>
      </c>
      <c r="AA471" s="226">
        <f>+U471-Z471-AB471</f>
        <v>28441241.490624204</v>
      </c>
      <c r="AB471" s="219"/>
      <c r="AC471" s="219"/>
      <c r="AD471" s="219"/>
      <c r="AE471" s="219"/>
      <c r="AF471" s="219"/>
      <c r="AG471" s="100"/>
      <c r="AH471" s="230"/>
    </row>
    <row r="472" spans="1:34" s="229" customFormat="1" ht="89.25" hidden="1">
      <c r="A472" s="101">
        <f t="shared" si="28"/>
        <v>101</v>
      </c>
      <c r="B472" s="103" t="s">
        <v>964</v>
      </c>
      <c r="C472" s="104" t="s">
        <v>945</v>
      </c>
      <c r="D472" s="103" t="s">
        <v>965</v>
      </c>
      <c r="E472" s="104" t="s">
        <v>114</v>
      </c>
      <c r="F472" s="103" t="s">
        <v>91</v>
      </c>
      <c r="G472" s="106" t="s">
        <v>957</v>
      </c>
      <c r="H472" s="102" t="s">
        <v>957</v>
      </c>
      <c r="I472" s="103" t="s">
        <v>162</v>
      </c>
      <c r="J472" s="224"/>
      <c r="K472" s="224"/>
      <c r="L472" s="224">
        <f t="shared" si="26"/>
        <v>0</v>
      </c>
      <c r="M472" s="224"/>
      <c r="N472" s="224"/>
      <c r="O472" s="224">
        <f t="shared" si="31"/>
        <v>0</v>
      </c>
      <c r="P472" s="105"/>
      <c r="Q472" s="103" t="s">
        <v>115</v>
      </c>
      <c r="R472" s="103"/>
      <c r="S472" s="104" t="s">
        <v>138</v>
      </c>
      <c r="T472" s="104"/>
      <c r="U472" s="110">
        <f>+(1823640+14*((1141850+1714473+2097122)/9)+17*25000+929210+1293526+1350713+12*(1022001/14)+1050000+150000)*1.23*1.07</f>
        <v>20535698.894652382</v>
      </c>
      <c r="V472" s="109"/>
      <c r="W472" s="110">
        <v>0</v>
      </c>
      <c r="X472" s="259">
        <v>0</v>
      </c>
      <c r="Y472" s="259">
        <v>0</v>
      </c>
      <c r="Z472" s="259">
        <v>0</v>
      </c>
      <c r="AA472" s="226">
        <f>+U472*0.235*0.3</f>
        <v>1447766.7720729928</v>
      </c>
      <c r="AB472" s="219"/>
      <c r="AC472" s="219"/>
      <c r="AD472" s="219"/>
      <c r="AE472" s="219"/>
      <c r="AF472" s="219"/>
      <c r="AG472" s="100"/>
      <c r="AH472" s="230"/>
    </row>
    <row r="473" spans="1:34" s="229" customFormat="1" ht="89.25" hidden="1">
      <c r="A473" s="101">
        <f t="shared" si="28"/>
        <v>102</v>
      </c>
      <c r="B473" s="103" t="s">
        <v>966</v>
      </c>
      <c r="C473" s="104" t="s">
        <v>939</v>
      </c>
      <c r="D473" s="103" t="s">
        <v>968</v>
      </c>
      <c r="E473" s="104" t="s">
        <v>114</v>
      </c>
      <c r="F473" s="103" t="s">
        <v>91</v>
      </c>
      <c r="G473" s="106" t="s">
        <v>967</v>
      </c>
      <c r="H473" s="102" t="s">
        <v>189</v>
      </c>
      <c r="I473" s="103" t="s">
        <v>162</v>
      </c>
      <c r="J473" s="224"/>
      <c r="K473" s="224"/>
      <c r="L473" s="224">
        <f t="shared" si="26"/>
        <v>0</v>
      </c>
      <c r="M473" s="224"/>
      <c r="N473" s="224"/>
      <c r="O473" s="224">
        <f t="shared" si="31"/>
        <v>0</v>
      </c>
      <c r="P473" s="105"/>
      <c r="Q473" s="103" t="s">
        <v>115</v>
      </c>
      <c r="R473" s="103"/>
      <c r="S473" s="104" t="s">
        <v>138</v>
      </c>
      <c r="T473" s="104"/>
      <c r="U473" s="110">
        <f>+(1823640+12*((1141850+1714473+2097122)/9)+1293526+1350713+18*(1022001/14)+1350000+600000+350000+4298671+929210+1050000+150000)*1.23*1.07</f>
        <v>27788602.114128571</v>
      </c>
      <c r="V473" s="109"/>
      <c r="W473" s="110">
        <v>0</v>
      </c>
      <c r="X473" s="259">
        <v>0</v>
      </c>
      <c r="Y473" s="259">
        <v>0</v>
      </c>
      <c r="Z473" s="259">
        <f>+U473*0.235*0.3</f>
        <v>1959096.4490460642</v>
      </c>
      <c r="AA473" s="226">
        <f>+U473-Z473-AB473</f>
        <v>25829505.665082507</v>
      </c>
      <c r="AB473" s="219"/>
      <c r="AC473" s="219"/>
      <c r="AD473" s="219"/>
      <c r="AE473" s="219"/>
      <c r="AF473" s="219"/>
      <c r="AG473" s="100"/>
      <c r="AH473" s="230"/>
    </row>
    <row r="474" spans="1:34" s="229" customFormat="1" ht="63.75" hidden="1">
      <c r="A474" s="101">
        <f t="shared" si="28"/>
        <v>103</v>
      </c>
      <c r="B474" s="103" t="s">
        <v>969</v>
      </c>
      <c r="C474" s="104" t="s">
        <v>945</v>
      </c>
      <c r="D474" s="103" t="s">
        <v>970</v>
      </c>
      <c r="E474" s="104" t="s">
        <v>114</v>
      </c>
      <c r="F474" s="103" t="s">
        <v>91</v>
      </c>
      <c r="G474" s="106" t="s">
        <v>594</v>
      </c>
      <c r="H474" s="102" t="s">
        <v>584</v>
      </c>
      <c r="I474" s="103" t="s">
        <v>162</v>
      </c>
      <c r="J474" s="224"/>
      <c r="K474" s="224"/>
      <c r="L474" s="224">
        <f t="shared" si="26"/>
        <v>0</v>
      </c>
      <c r="M474" s="224"/>
      <c r="N474" s="224"/>
      <c r="O474" s="224">
        <f t="shared" si="31"/>
        <v>0</v>
      </c>
      <c r="P474" s="105"/>
      <c r="Q474" s="103" t="s">
        <v>115</v>
      </c>
      <c r="R474" s="103"/>
      <c r="S474" s="104" t="s">
        <v>138</v>
      </c>
      <c r="T474" s="104"/>
      <c r="U474" s="110">
        <f>+(10*((1141850+1714473+2097122)/9)+11*25000+1247367+1050000)*1.23*1.07</f>
        <v>10629079.947033333</v>
      </c>
      <c r="V474" s="109"/>
      <c r="W474" s="110">
        <v>0</v>
      </c>
      <c r="X474" s="259">
        <v>0</v>
      </c>
      <c r="Y474" s="259">
        <v>0</v>
      </c>
      <c r="Z474" s="259">
        <v>0</v>
      </c>
      <c r="AA474" s="226">
        <f>+U474*0.235*0.3</f>
        <v>749350.13626584993</v>
      </c>
      <c r="AB474" s="219"/>
      <c r="AC474" s="219"/>
      <c r="AD474" s="219"/>
      <c r="AE474" s="219"/>
      <c r="AF474" s="219"/>
      <c r="AG474" s="100"/>
      <c r="AH474" s="230"/>
    </row>
    <row r="475" spans="1:34" s="229" customFormat="1" ht="38.25" hidden="1">
      <c r="A475" s="101">
        <f t="shared" si="28"/>
        <v>104</v>
      </c>
      <c r="B475" s="103" t="s">
        <v>971</v>
      </c>
      <c r="C475" s="104" t="s">
        <v>939</v>
      </c>
      <c r="D475" s="103" t="s">
        <v>972</v>
      </c>
      <c r="E475" s="104" t="s">
        <v>114</v>
      </c>
      <c r="F475" s="103" t="s">
        <v>91</v>
      </c>
      <c r="G475" s="106" t="s">
        <v>533</v>
      </c>
      <c r="H475" s="102" t="s">
        <v>584</v>
      </c>
      <c r="I475" s="103" t="s">
        <v>162</v>
      </c>
      <c r="J475" s="224"/>
      <c r="K475" s="224"/>
      <c r="L475" s="224">
        <f t="shared" si="26"/>
        <v>0</v>
      </c>
      <c r="M475" s="224"/>
      <c r="N475" s="224"/>
      <c r="O475" s="224">
        <f t="shared" si="31"/>
        <v>0</v>
      </c>
      <c r="P475" s="105"/>
      <c r="Q475" s="103" t="s">
        <v>115</v>
      </c>
      <c r="R475" s="103"/>
      <c r="S475" s="104" t="s">
        <v>138</v>
      </c>
      <c r="T475" s="104"/>
      <c r="U475" s="110">
        <f>+(8*((1141850+1714473+2097122)/9)+12*25000+150000)*1.23*1.07</f>
        <v>6387115.1906666672</v>
      </c>
      <c r="V475" s="109"/>
      <c r="W475" s="110">
        <v>0</v>
      </c>
      <c r="X475" s="259">
        <v>0</v>
      </c>
      <c r="Y475" s="259">
        <v>0</v>
      </c>
      <c r="Z475" s="259">
        <v>0</v>
      </c>
      <c r="AA475" s="226">
        <f>+U475*0.235*0.3</f>
        <v>450291.62094200001</v>
      </c>
      <c r="AB475" s="219"/>
      <c r="AC475" s="219"/>
      <c r="AD475" s="219"/>
      <c r="AE475" s="219"/>
      <c r="AF475" s="219"/>
      <c r="AG475" s="100"/>
      <c r="AH475" s="230"/>
    </row>
    <row r="476" spans="1:34" s="229" customFormat="1" ht="51" hidden="1">
      <c r="A476" s="101">
        <f t="shared" si="28"/>
        <v>105</v>
      </c>
      <c r="B476" s="103" t="s">
        <v>973</v>
      </c>
      <c r="C476" s="104" t="s">
        <v>939</v>
      </c>
      <c r="D476" s="103" t="s">
        <v>975</v>
      </c>
      <c r="E476" s="104" t="s">
        <v>114</v>
      </c>
      <c r="F476" s="103" t="s">
        <v>91</v>
      </c>
      <c r="G476" s="106" t="s">
        <v>974</v>
      </c>
      <c r="H476" s="102" t="s">
        <v>189</v>
      </c>
      <c r="I476" s="103" t="s">
        <v>162</v>
      </c>
      <c r="J476" s="224"/>
      <c r="K476" s="224"/>
      <c r="L476" s="224">
        <f t="shared" si="26"/>
        <v>0</v>
      </c>
      <c r="M476" s="224"/>
      <c r="N476" s="224"/>
      <c r="O476" s="224">
        <f t="shared" si="31"/>
        <v>0</v>
      </c>
      <c r="P476" s="105"/>
      <c r="Q476" s="103" t="s">
        <v>115</v>
      </c>
      <c r="R476" s="103"/>
      <c r="S476" s="104" t="s">
        <v>138</v>
      </c>
      <c r="T476" s="104"/>
      <c r="U476" s="110">
        <f>+(1823640+18*5000+1293526+929210+24*(1022001/14))*1.23*1.07</f>
        <v>7749693.9097714294</v>
      </c>
      <c r="V476" s="109"/>
      <c r="W476" s="110">
        <v>0</v>
      </c>
      <c r="X476" s="259">
        <v>0</v>
      </c>
      <c r="Y476" s="259">
        <v>0</v>
      </c>
      <c r="Z476" s="259">
        <f>+U476*0.235*0.3</f>
        <v>546353.4206388857</v>
      </c>
      <c r="AA476" s="226">
        <f>+U476-Z476-AB476</f>
        <v>7203340.489132544</v>
      </c>
      <c r="AB476" s="219"/>
      <c r="AC476" s="219"/>
      <c r="AD476" s="219"/>
      <c r="AE476" s="219"/>
      <c r="AF476" s="219"/>
      <c r="AG476" s="100"/>
      <c r="AH476" s="230"/>
    </row>
    <row r="477" spans="1:34" s="229" customFormat="1" ht="76.5" hidden="1">
      <c r="A477" s="101">
        <f t="shared" si="28"/>
        <v>106</v>
      </c>
      <c r="B477" s="103" t="s">
        <v>976</v>
      </c>
      <c r="C477" s="104" t="s">
        <v>134</v>
      </c>
      <c r="D477" s="103" t="s">
        <v>977</v>
      </c>
      <c r="E477" s="104" t="s">
        <v>114</v>
      </c>
      <c r="F477" s="103" t="s">
        <v>91</v>
      </c>
      <c r="G477" s="106" t="s">
        <v>908</v>
      </c>
      <c r="H477" s="102" t="s">
        <v>584</v>
      </c>
      <c r="I477" s="103" t="s">
        <v>162</v>
      </c>
      <c r="J477" s="224"/>
      <c r="K477" s="224"/>
      <c r="L477" s="224">
        <f t="shared" si="26"/>
        <v>0</v>
      </c>
      <c r="M477" s="224"/>
      <c r="N477" s="224"/>
      <c r="O477" s="224">
        <f t="shared" si="31"/>
        <v>0</v>
      </c>
      <c r="P477" s="105"/>
      <c r="Q477" s="103" t="s">
        <v>115</v>
      </c>
      <c r="R477" s="103"/>
      <c r="S477" s="104" t="s">
        <v>138</v>
      </c>
      <c r="T477" s="104"/>
      <c r="U477" s="110">
        <f>+(10*((1141850+1714473+2097122)/9)+5*25000+36*190000+450000+5*270000)*1.23*1.07</f>
        <v>18779204.238333337</v>
      </c>
      <c r="V477" s="109"/>
      <c r="W477" s="110">
        <v>0</v>
      </c>
      <c r="X477" s="259">
        <v>0</v>
      </c>
      <c r="Y477" s="259">
        <v>0</v>
      </c>
      <c r="Z477" s="259">
        <v>0</v>
      </c>
      <c r="AA477" s="226">
        <v>0</v>
      </c>
      <c r="AB477" s="219"/>
      <c r="AC477" s="219"/>
      <c r="AD477" s="219"/>
      <c r="AE477" s="219"/>
      <c r="AF477" s="219"/>
      <c r="AG477" s="100"/>
      <c r="AH477" s="230"/>
    </row>
    <row r="478" spans="1:34" s="229" customFormat="1" ht="89.25" hidden="1">
      <c r="A478" s="101">
        <f t="shared" si="28"/>
        <v>107</v>
      </c>
      <c r="B478" s="103" t="s">
        <v>978</v>
      </c>
      <c r="C478" s="104" t="s">
        <v>945</v>
      </c>
      <c r="D478" s="103" t="s">
        <v>979</v>
      </c>
      <c r="E478" s="104" t="s">
        <v>114</v>
      </c>
      <c r="F478" s="103" t="s">
        <v>91</v>
      </c>
      <c r="G478" s="106" t="s">
        <v>580</v>
      </c>
      <c r="H478" s="102" t="s">
        <v>584</v>
      </c>
      <c r="I478" s="103" t="s">
        <v>162</v>
      </c>
      <c r="J478" s="224"/>
      <c r="K478" s="224"/>
      <c r="L478" s="224">
        <f t="shared" ref="L478:L541" si="32">J478+(K478*22)</f>
        <v>0</v>
      </c>
      <c r="M478" s="224"/>
      <c r="N478" s="224"/>
      <c r="O478" s="224">
        <f t="shared" si="31"/>
        <v>0</v>
      </c>
      <c r="P478" s="105"/>
      <c r="Q478" s="103" t="s">
        <v>115</v>
      </c>
      <c r="R478" s="103"/>
      <c r="S478" s="104" t="s">
        <v>138</v>
      </c>
      <c r="T478" s="104"/>
      <c r="U478" s="110">
        <f>+(2*((1141850+1714473+2097122)/9)+2*25000+21*190000+450000+4*270000+49*5000)*1.23*1.07</f>
        <v>9101839.047666667</v>
      </c>
      <c r="V478" s="109"/>
      <c r="W478" s="110">
        <v>0</v>
      </c>
      <c r="X478" s="259">
        <v>0</v>
      </c>
      <c r="Y478" s="259">
        <v>0</v>
      </c>
      <c r="Z478" s="259">
        <v>0</v>
      </c>
      <c r="AA478" s="226">
        <f>+U478*0.235*0.3</f>
        <v>641679.65286050003</v>
      </c>
      <c r="AB478" s="219"/>
      <c r="AC478" s="219"/>
      <c r="AD478" s="219"/>
      <c r="AE478" s="219"/>
      <c r="AF478" s="219"/>
      <c r="AG478" s="100"/>
      <c r="AH478" s="230"/>
    </row>
    <row r="479" spans="1:34" s="229" customFormat="1" ht="63.75" hidden="1">
      <c r="A479" s="101">
        <f t="shared" si="28"/>
        <v>108</v>
      </c>
      <c r="B479" s="103" t="s">
        <v>980</v>
      </c>
      <c r="C479" s="104" t="s">
        <v>945</v>
      </c>
      <c r="D479" s="103" t="s">
        <v>981</v>
      </c>
      <c r="E479" s="104" t="s">
        <v>114</v>
      </c>
      <c r="F479" s="103" t="s">
        <v>91</v>
      </c>
      <c r="G479" s="106" t="s">
        <v>594</v>
      </c>
      <c r="H479" s="102" t="s">
        <v>584</v>
      </c>
      <c r="I479" s="103" t="s">
        <v>162</v>
      </c>
      <c r="J479" s="224"/>
      <c r="K479" s="224"/>
      <c r="L479" s="224">
        <f t="shared" si="32"/>
        <v>0</v>
      </c>
      <c r="M479" s="224"/>
      <c r="N479" s="224"/>
      <c r="O479" s="224">
        <f t="shared" si="31"/>
        <v>0</v>
      </c>
      <c r="P479" s="105"/>
      <c r="Q479" s="103" t="s">
        <v>115</v>
      </c>
      <c r="R479" s="103"/>
      <c r="S479" s="104" t="s">
        <v>138</v>
      </c>
      <c r="T479" s="104"/>
      <c r="U479" s="110">
        <f>+(3*((1141850+1714473+2097122)/9)+3*25000+50000+4298671+1000000)*1.23*1.07</f>
        <v>9311169.7246000003</v>
      </c>
      <c r="V479" s="109"/>
      <c r="W479" s="110">
        <v>0</v>
      </c>
      <c r="X479" s="259">
        <v>0</v>
      </c>
      <c r="Y479" s="259">
        <v>0</v>
      </c>
      <c r="Z479" s="259">
        <v>0</v>
      </c>
      <c r="AA479" s="226">
        <f>+U479*0.235*0.3</f>
        <v>656437.46558429988</v>
      </c>
      <c r="AB479" s="219"/>
      <c r="AC479" s="219"/>
      <c r="AD479" s="219"/>
      <c r="AE479" s="219"/>
      <c r="AF479" s="219"/>
      <c r="AG479" s="100"/>
      <c r="AH479" s="230"/>
    </row>
    <row r="480" spans="1:34" s="229" customFormat="1" ht="89.25" hidden="1">
      <c r="A480" s="101">
        <f t="shared" si="28"/>
        <v>109</v>
      </c>
      <c r="B480" s="103" t="s">
        <v>982</v>
      </c>
      <c r="C480" s="104" t="s">
        <v>134</v>
      </c>
      <c r="D480" s="103" t="s">
        <v>941</v>
      </c>
      <c r="E480" s="104" t="s">
        <v>114</v>
      </c>
      <c r="F480" s="103" t="s">
        <v>91</v>
      </c>
      <c r="G480" s="106" t="s">
        <v>983</v>
      </c>
      <c r="H480" s="102" t="s">
        <v>984</v>
      </c>
      <c r="I480" s="103" t="s">
        <v>173</v>
      </c>
      <c r="J480" s="224"/>
      <c r="K480" s="224"/>
      <c r="L480" s="224">
        <f t="shared" si="32"/>
        <v>0</v>
      </c>
      <c r="M480" s="224"/>
      <c r="N480" s="224"/>
      <c r="O480" s="224">
        <f t="shared" si="31"/>
        <v>0</v>
      </c>
      <c r="P480" s="105"/>
      <c r="Q480" s="103" t="s">
        <v>123</v>
      </c>
      <c r="R480" s="103"/>
      <c r="S480" s="104" t="s">
        <v>138</v>
      </c>
      <c r="T480" s="104"/>
      <c r="U480" s="110">
        <f>+(16*((1141850+1714473+2097122)/9)+16*25000+3658606+1293526+1350713+20*1022001/14+1350000+600000+350000+4298671+929210+1050000+150000)*1.23*1.07</f>
        <v>33819626.75007619</v>
      </c>
      <c r="V480" s="109"/>
      <c r="W480" s="110">
        <v>0</v>
      </c>
      <c r="X480" s="259">
        <v>0</v>
      </c>
      <c r="Y480" s="260">
        <f>+U480*0.235*0.3</f>
        <v>2384283.6858803714</v>
      </c>
      <c r="Z480" s="259">
        <f>+U480-Y480-AA480</f>
        <v>29067969.191690486</v>
      </c>
      <c r="AA480" s="226">
        <f>+U480*0.07</f>
        <v>2367373.8725053333</v>
      </c>
      <c r="AB480" s="219"/>
      <c r="AC480" s="219"/>
      <c r="AD480" s="219"/>
      <c r="AE480" s="219"/>
      <c r="AF480" s="219"/>
      <c r="AG480" s="100"/>
      <c r="AH480" s="230"/>
    </row>
    <row r="481" spans="1:34" s="229" customFormat="1" ht="51" hidden="1">
      <c r="A481" s="101">
        <f t="shared" si="28"/>
        <v>110</v>
      </c>
      <c r="B481" s="103" t="s">
        <v>985</v>
      </c>
      <c r="C481" s="104" t="s">
        <v>950</v>
      </c>
      <c r="D481" s="103" t="s">
        <v>987</v>
      </c>
      <c r="E481" s="104" t="s">
        <v>114</v>
      </c>
      <c r="F481" s="103" t="s">
        <v>91</v>
      </c>
      <c r="G481" s="106" t="s">
        <v>986</v>
      </c>
      <c r="H481" s="102" t="s">
        <v>200</v>
      </c>
      <c r="I481" s="103" t="s">
        <v>173</v>
      </c>
      <c r="J481" s="224"/>
      <c r="K481" s="224"/>
      <c r="L481" s="224">
        <f t="shared" si="32"/>
        <v>0</v>
      </c>
      <c r="M481" s="224"/>
      <c r="N481" s="224"/>
      <c r="O481" s="224">
        <f t="shared" si="31"/>
        <v>0</v>
      </c>
      <c r="P481" s="105"/>
      <c r="Q481" s="103" t="s">
        <v>123</v>
      </c>
      <c r="R481" s="103"/>
      <c r="S481" s="104" t="s">
        <v>138</v>
      </c>
      <c r="T481" s="104"/>
      <c r="U481" s="110">
        <f>+(5*((1141850+1714473+2097122)/9)+10*1022001/14+929210+1000000)*1.23*1.07</f>
        <v>7121581.0902380962</v>
      </c>
      <c r="V481" s="109"/>
      <c r="W481" s="110">
        <v>0</v>
      </c>
      <c r="X481" s="259">
        <v>0</v>
      </c>
      <c r="Y481" s="259">
        <v>0</v>
      </c>
      <c r="Z481" s="259">
        <v>0</v>
      </c>
      <c r="AA481" s="226">
        <f>+U481*0.235*0.3</f>
        <v>502071.46686178574</v>
      </c>
      <c r="AB481" s="219"/>
      <c r="AC481" s="219"/>
      <c r="AD481" s="219"/>
      <c r="AE481" s="219"/>
      <c r="AF481" s="219"/>
      <c r="AG481" s="100"/>
      <c r="AH481" s="230"/>
    </row>
    <row r="482" spans="1:34" s="229" customFormat="1" ht="76.5" hidden="1">
      <c r="A482" s="101">
        <f t="shared" si="28"/>
        <v>111</v>
      </c>
      <c r="B482" s="103" t="s">
        <v>988</v>
      </c>
      <c r="C482" s="104" t="s">
        <v>939</v>
      </c>
      <c r="D482" s="103" t="s">
        <v>990</v>
      </c>
      <c r="E482" s="104" t="s">
        <v>114</v>
      </c>
      <c r="F482" s="103" t="s">
        <v>91</v>
      </c>
      <c r="G482" s="106" t="s">
        <v>989</v>
      </c>
      <c r="H482" s="102" t="s">
        <v>984</v>
      </c>
      <c r="I482" s="103" t="s">
        <v>173</v>
      </c>
      <c r="J482" s="224"/>
      <c r="K482" s="224"/>
      <c r="L482" s="224">
        <f t="shared" si="32"/>
        <v>0</v>
      </c>
      <c r="M482" s="224"/>
      <c r="N482" s="224"/>
      <c r="O482" s="224">
        <f t="shared" si="31"/>
        <v>0</v>
      </c>
      <c r="P482" s="105"/>
      <c r="Q482" s="103" t="s">
        <v>123</v>
      </c>
      <c r="R482" s="103"/>
      <c r="S482" s="104" t="s">
        <v>138</v>
      </c>
      <c r="T482" s="104"/>
      <c r="U482" s="110">
        <f>+(1823640+5*((1141850+1714473+2097122)/9)+3658606+1293526+929210+4298671+1350000+12*1022001/14+750000+150000+1000000)*1.23*1.07</f>
        <v>24850031.310552381</v>
      </c>
      <c r="V482" s="109"/>
      <c r="W482" s="110">
        <v>0</v>
      </c>
      <c r="X482" s="259">
        <v>0</v>
      </c>
      <c r="Y482" s="259">
        <v>0</v>
      </c>
      <c r="Z482" s="259">
        <f>+U482*0.235*0.3</f>
        <v>1751927.2073939426</v>
      </c>
      <c r="AA482" s="226">
        <f>+U482-Z482-AB482</f>
        <v>23098104.103158437</v>
      </c>
      <c r="AB482" s="219"/>
      <c r="AC482" s="219"/>
      <c r="AD482" s="219"/>
      <c r="AE482" s="219"/>
      <c r="AF482" s="219"/>
      <c r="AG482" s="100"/>
      <c r="AH482" s="230"/>
    </row>
    <row r="483" spans="1:34" s="229" customFormat="1" ht="63.75" hidden="1">
      <c r="A483" s="101">
        <f t="shared" si="28"/>
        <v>112</v>
      </c>
      <c r="B483" s="103" t="s">
        <v>991</v>
      </c>
      <c r="C483" s="104" t="s">
        <v>939</v>
      </c>
      <c r="D483" s="103" t="s">
        <v>993</v>
      </c>
      <c r="E483" s="104" t="s">
        <v>114</v>
      </c>
      <c r="F483" s="103" t="s">
        <v>91</v>
      </c>
      <c r="G483" s="106" t="s">
        <v>992</v>
      </c>
      <c r="H483" s="102" t="s">
        <v>200</v>
      </c>
      <c r="I483" s="103" t="s">
        <v>173</v>
      </c>
      <c r="J483" s="224"/>
      <c r="K483" s="224"/>
      <c r="L483" s="224">
        <f t="shared" si="32"/>
        <v>0</v>
      </c>
      <c r="M483" s="224"/>
      <c r="N483" s="224"/>
      <c r="O483" s="224">
        <f t="shared" si="31"/>
        <v>0</v>
      </c>
      <c r="P483" s="105"/>
      <c r="Q483" s="103" t="s">
        <v>123</v>
      </c>
      <c r="R483" s="103"/>
      <c r="S483" s="104" t="s">
        <v>138</v>
      </c>
      <c r="T483" s="104"/>
      <c r="U483" s="110">
        <f>+(1823640+20*((1141850+1714473+2097122)/9)+3658606+1293526+929210+1350000+12*1022001/14+1050000+150000)*1.23*1.07</f>
        <v>29136662.014952384</v>
      </c>
      <c r="V483" s="109"/>
      <c r="W483" s="110">
        <v>0</v>
      </c>
      <c r="X483" s="259">
        <v>0</v>
      </c>
      <c r="Y483" s="259">
        <v>0</v>
      </c>
      <c r="Z483" s="259">
        <f>+U483*0.235*0.3</f>
        <v>2054134.6720541427</v>
      </c>
      <c r="AA483" s="226">
        <f>+U483-Z483-AB483</f>
        <v>27082527.342898242</v>
      </c>
      <c r="AB483" s="219"/>
      <c r="AC483" s="219"/>
      <c r="AD483" s="219"/>
      <c r="AE483" s="219"/>
      <c r="AF483" s="219"/>
      <c r="AG483" s="100"/>
      <c r="AH483" s="230"/>
    </row>
    <row r="484" spans="1:34" s="229" customFormat="1" ht="76.5" hidden="1">
      <c r="A484" s="101">
        <f t="shared" si="28"/>
        <v>113</v>
      </c>
      <c r="B484" s="103" t="s">
        <v>994</v>
      </c>
      <c r="C484" s="104" t="s">
        <v>390</v>
      </c>
      <c r="D484" s="103" t="s">
        <v>996</v>
      </c>
      <c r="E484" s="104" t="s">
        <v>114</v>
      </c>
      <c r="F484" s="103" t="s">
        <v>91</v>
      </c>
      <c r="G484" s="106" t="s">
        <v>995</v>
      </c>
      <c r="H484" s="102" t="s">
        <v>31</v>
      </c>
      <c r="I484" s="103" t="s">
        <v>173</v>
      </c>
      <c r="J484" s="224"/>
      <c r="K484" s="224"/>
      <c r="L484" s="224">
        <f t="shared" si="32"/>
        <v>0</v>
      </c>
      <c r="M484" s="224"/>
      <c r="N484" s="224"/>
      <c r="O484" s="224">
        <f t="shared" si="31"/>
        <v>0</v>
      </c>
      <c r="P484" s="105"/>
      <c r="Q484" s="103" t="s">
        <v>123</v>
      </c>
      <c r="R484" s="103"/>
      <c r="S484" s="104" t="s">
        <v>138</v>
      </c>
      <c r="T484" s="104"/>
      <c r="U484" s="110">
        <f>+(1823640+5*((1141850+1714473+2097122)/9)+3658606+1293526+929210+1350000+12*1022001/14+750000+150000+1000000)*1.23*1.07</f>
        <v>19192550.407452378</v>
      </c>
      <c r="V484" s="109"/>
      <c r="W484" s="110">
        <v>0</v>
      </c>
      <c r="X484" s="259">
        <v>0</v>
      </c>
      <c r="Y484" s="259">
        <v>0</v>
      </c>
      <c r="Z484" s="259">
        <v>0</v>
      </c>
      <c r="AA484" s="226">
        <f>+U484*0.235*0.3</f>
        <v>1353074.8037253926</v>
      </c>
      <c r="AB484" s="219"/>
      <c r="AC484" s="219"/>
      <c r="AD484" s="219"/>
      <c r="AE484" s="219"/>
      <c r="AF484" s="219"/>
      <c r="AG484" s="100"/>
      <c r="AH484" s="230"/>
    </row>
    <row r="485" spans="1:34" s="229" customFormat="1" ht="89.25" hidden="1">
      <c r="A485" s="101">
        <f t="shared" si="28"/>
        <v>114</v>
      </c>
      <c r="B485" s="103" t="s">
        <v>997</v>
      </c>
      <c r="C485" s="104" t="s">
        <v>945</v>
      </c>
      <c r="D485" s="103" t="s">
        <v>999</v>
      </c>
      <c r="E485" s="104" t="s">
        <v>114</v>
      </c>
      <c r="F485" s="103" t="s">
        <v>91</v>
      </c>
      <c r="G485" s="106" t="s">
        <v>998</v>
      </c>
      <c r="H485" s="102" t="s">
        <v>984</v>
      </c>
      <c r="I485" s="103" t="s">
        <v>173</v>
      </c>
      <c r="J485" s="224"/>
      <c r="K485" s="224"/>
      <c r="L485" s="224">
        <f t="shared" si="32"/>
        <v>0</v>
      </c>
      <c r="M485" s="224"/>
      <c r="N485" s="224"/>
      <c r="O485" s="224">
        <f t="shared" si="31"/>
        <v>0</v>
      </c>
      <c r="P485" s="105"/>
      <c r="Q485" s="103" t="s">
        <v>123</v>
      </c>
      <c r="R485" s="103"/>
      <c r="S485" s="104" t="s">
        <v>138</v>
      </c>
      <c r="T485" s="104"/>
      <c r="U485" s="110">
        <f>+(6*((1141850+1714473+2097122)/9)+3658606+1293526+929210+1247367+1350000+12*1022001/14+16*190000)*1.23*1.07</f>
        <v>20658830.285985712</v>
      </c>
      <c r="V485" s="109"/>
      <c r="W485" s="110">
        <v>0</v>
      </c>
      <c r="X485" s="259">
        <v>0</v>
      </c>
      <c r="Y485" s="259">
        <v>0</v>
      </c>
      <c r="Z485" s="259">
        <f>+U485*0.235*0.3</f>
        <v>1456447.5351619928</v>
      </c>
      <c r="AA485" s="226">
        <f>+U485-Z485-AB485</f>
        <v>19202382.750823718</v>
      </c>
      <c r="AB485" s="219"/>
      <c r="AC485" s="219"/>
      <c r="AD485" s="219"/>
      <c r="AE485" s="219"/>
      <c r="AF485" s="219"/>
      <c r="AG485" s="100"/>
      <c r="AH485" s="230"/>
    </row>
    <row r="486" spans="1:34" s="229" customFormat="1" ht="51" hidden="1">
      <c r="A486" s="101">
        <f t="shared" si="28"/>
        <v>115</v>
      </c>
      <c r="B486" s="103" t="s">
        <v>1000</v>
      </c>
      <c r="C486" s="104" t="s">
        <v>950</v>
      </c>
      <c r="D486" s="103" t="s">
        <v>1001</v>
      </c>
      <c r="E486" s="104" t="s">
        <v>114</v>
      </c>
      <c r="F486" s="103" t="s">
        <v>91</v>
      </c>
      <c r="G486" s="106" t="s">
        <v>243</v>
      </c>
      <c r="H486" s="102" t="s">
        <v>984</v>
      </c>
      <c r="I486" s="103" t="s">
        <v>173</v>
      </c>
      <c r="J486" s="224"/>
      <c r="K486" s="224"/>
      <c r="L486" s="224">
        <f t="shared" si="32"/>
        <v>0</v>
      </c>
      <c r="M486" s="224"/>
      <c r="N486" s="224"/>
      <c r="O486" s="224">
        <f t="shared" si="31"/>
        <v>0</v>
      </c>
      <c r="P486" s="105"/>
      <c r="Q486" s="103" t="s">
        <v>123</v>
      </c>
      <c r="R486" s="103"/>
      <c r="S486" s="104" t="s">
        <v>138</v>
      </c>
      <c r="T486" s="104"/>
      <c r="U486" s="110">
        <f>+(8*((1141850+1714473+2097122)/9)+1247367+929210+1293526+1350000+12*1022001/14+1050000)*1.23*1.07</f>
        <v>14673417.477052381</v>
      </c>
      <c r="V486" s="109"/>
      <c r="W486" s="110">
        <v>0</v>
      </c>
      <c r="X486" s="259">
        <v>0</v>
      </c>
      <c r="Y486" s="259">
        <v>0</v>
      </c>
      <c r="Z486" s="259">
        <v>0</v>
      </c>
      <c r="AA486" s="226">
        <f>+U486*0.235*0.3</f>
        <v>1034475.9321321929</v>
      </c>
      <c r="AB486" s="219"/>
      <c r="AC486" s="219"/>
      <c r="AD486" s="219"/>
      <c r="AE486" s="219"/>
      <c r="AF486" s="219"/>
      <c r="AG486" s="100"/>
      <c r="AH486" s="230"/>
    </row>
    <row r="487" spans="1:34" s="229" customFormat="1" ht="63.75" hidden="1">
      <c r="A487" s="101">
        <f t="shared" si="28"/>
        <v>116</v>
      </c>
      <c r="B487" s="103" t="s">
        <v>1002</v>
      </c>
      <c r="C487" s="104" t="s">
        <v>950</v>
      </c>
      <c r="D487" s="103" t="s">
        <v>1004</v>
      </c>
      <c r="E487" s="104" t="s">
        <v>114</v>
      </c>
      <c r="F487" s="103" t="s">
        <v>91</v>
      </c>
      <c r="G487" s="106" t="s">
        <v>1003</v>
      </c>
      <c r="H487" s="102" t="s">
        <v>200</v>
      </c>
      <c r="I487" s="103" t="s">
        <v>173</v>
      </c>
      <c r="J487" s="224"/>
      <c r="K487" s="224"/>
      <c r="L487" s="224">
        <f t="shared" si="32"/>
        <v>0</v>
      </c>
      <c r="M487" s="224"/>
      <c r="N487" s="224"/>
      <c r="O487" s="224">
        <f t="shared" si="31"/>
        <v>0</v>
      </c>
      <c r="P487" s="105"/>
      <c r="Q487" s="103" t="s">
        <v>123</v>
      </c>
      <c r="R487" s="103"/>
      <c r="S487" s="104" t="s">
        <v>138</v>
      </c>
      <c r="T487" s="104"/>
      <c r="U487" s="110">
        <f>+(3658606+1293526+1350000+1247367+929210+1050000+150000+16*190000)*1.23*1.07</f>
        <v>16739092.914900001</v>
      </c>
      <c r="V487" s="109"/>
      <c r="W487" s="110">
        <v>0</v>
      </c>
      <c r="X487" s="259">
        <v>0</v>
      </c>
      <c r="Y487" s="259">
        <v>0</v>
      </c>
      <c r="Z487" s="259">
        <v>0</v>
      </c>
      <c r="AA487" s="226">
        <v>0</v>
      </c>
      <c r="AB487" s="219"/>
      <c r="AC487" s="219"/>
      <c r="AD487" s="219"/>
      <c r="AE487" s="219"/>
      <c r="AF487" s="219"/>
      <c r="AG487" s="100"/>
      <c r="AH487" s="230"/>
    </row>
    <row r="488" spans="1:34" s="229" customFormat="1" ht="63.75" hidden="1">
      <c r="A488" s="101">
        <f t="shared" si="28"/>
        <v>117</v>
      </c>
      <c r="B488" s="103" t="s">
        <v>1005</v>
      </c>
      <c r="C488" s="104" t="s">
        <v>939</v>
      </c>
      <c r="D488" s="103" t="s">
        <v>1006</v>
      </c>
      <c r="E488" s="104" t="s">
        <v>114</v>
      </c>
      <c r="F488" s="103" t="s">
        <v>91</v>
      </c>
      <c r="G488" s="106" t="s">
        <v>986</v>
      </c>
      <c r="H488" s="102" t="s">
        <v>200</v>
      </c>
      <c r="I488" s="103" t="s">
        <v>173</v>
      </c>
      <c r="J488" s="224"/>
      <c r="K488" s="224"/>
      <c r="L488" s="224">
        <f t="shared" si="32"/>
        <v>0</v>
      </c>
      <c r="M488" s="224"/>
      <c r="N488" s="224"/>
      <c r="O488" s="224">
        <f t="shared" si="31"/>
        <v>0</v>
      </c>
      <c r="P488" s="105"/>
      <c r="Q488" s="103" t="s">
        <v>123</v>
      </c>
      <c r="R488" s="103"/>
      <c r="S488" s="104" t="s">
        <v>138</v>
      </c>
      <c r="T488" s="104"/>
      <c r="U488" s="110">
        <f>+(3658606+1293526+1350713+929210+750000+150000+1823640)*1.23*1.07</f>
        <v>13102690.1895</v>
      </c>
      <c r="V488" s="109"/>
      <c r="W488" s="110">
        <v>0</v>
      </c>
      <c r="X488" s="259">
        <v>0</v>
      </c>
      <c r="Y488" s="259">
        <v>0</v>
      </c>
      <c r="Z488" s="259">
        <v>0</v>
      </c>
      <c r="AA488" s="226">
        <f>+U488*0.235*0.3</f>
        <v>923739.65835975006</v>
      </c>
      <c r="AB488" s="219"/>
      <c r="AC488" s="219"/>
      <c r="AD488" s="219"/>
      <c r="AE488" s="219"/>
      <c r="AF488" s="219"/>
      <c r="AG488" s="100"/>
      <c r="AH488" s="230"/>
    </row>
    <row r="489" spans="1:34" s="229" customFormat="1" ht="51" hidden="1">
      <c r="A489" s="101">
        <f t="shared" si="28"/>
        <v>118</v>
      </c>
      <c r="B489" s="103" t="s">
        <v>1007</v>
      </c>
      <c r="C489" s="104" t="s">
        <v>945</v>
      </c>
      <c r="D489" s="103" t="s">
        <v>1008</v>
      </c>
      <c r="E489" s="104" t="s">
        <v>114</v>
      </c>
      <c r="F489" s="103" t="s">
        <v>91</v>
      </c>
      <c r="G489" s="106" t="s">
        <v>594</v>
      </c>
      <c r="H489" s="102" t="s">
        <v>584</v>
      </c>
      <c r="I489" s="103" t="s">
        <v>173</v>
      </c>
      <c r="J489" s="224"/>
      <c r="K489" s="224"/>
      <c r="L489" s="224">
        <f t="shared" si="32"/>
        <v>0</v>
      </c>
      <c r="M489" s="224"/>
      <c r="N489" s="224"/>
      <c r="O489" s="224">
        <f t="shared" si="31"/>
        <v>0</v>
      </c>
      <c r="P489" s="105"/>
      <c r="Q489" s="103" t="s">
        <v>123</v>
      </c>
      <c r="R489" s="103"/>
      <c r="S489" s="104" t="s">
        <v>138</v>
      </c>
      <c r="T489" s="104"/>
      <c r="U489" s="110">
        <f>+(3658606+1293526+1350713+929210+750000+150000+1823640)*1.23*1.07</f>
        <v>13102690.1895</v>
      </c>
      <c r="V489" s="109"/>
      <c r="W489" s="110">
        <v>0</v>
      </c>
      <c r="X489" s="259">
        <v>0</v>
      </c>
      <c r="Y489" s="259">
        <v>0</v>
      </c>
      <c r="Z489" s="259">
        <v>0</v>
      </c>
      <c r="AA489" s="226">
        <v>0</v>
      </c>
      <c r="AB489" s="219"/>
      <c r="AC489" s="219"/>
      <c r="AD489" s="219"/>
      <c r="AE489" s="219"/>
      <c r="AF489" s="219"/>
      <c r="AG489" s="100"/>
      <c r="AH489" s="230"/>
    </row>
    <row r="490" spans="1:34" s="229" customFormat="1" ht="63.75" hidden="1">
      <c r="A490" s="101">
        <f t="shared" si="28"/>
        <v>119</v>
      </c>
      <c r="B490" s="103" t="s">
        <v>1009</v>
      </c>
      <c r="C490" s="104" t="s">
        <v>939</v>
      </c>
      <c r="D490" s="103" t="s">
        <v>1010</v>
      </c>
      <c r="E490" s="104" t="s">
        <v>114</v>
      </c>
      <c r="F490" s="103" t="s">
        <v>91</v>
      </c>
      <c r="G490" s="106" t="s">
        <v>1003</v>
      </c>
      <c r="H490" s="102" t="s">
        <v>200</v>
      </c>
      <c r="I490" s="103" t="s">
        <v>173</v>
      </c>
      <c r="J490" s="224"/>
      <c r="K490" s="224"/>
      <c r="L490" s="224">
        <f t="shared" si="32"/>
        <v>0</v>
      </c>
      <c r="M490" s="224"/>
      <c r="N490" s="224"/>
      <c r="O490" s="224">
        <f t="shared" si="31"/>
        <v>0</v>
      </c>
      <c r="P490" s="105"/>
      <c r="Q490" s="103" t="s">
        <v>123</v>
      </c>
      <c r="R490" s="103"/>
      <c r="S490" s="104" t="s">
        <v>138</v>
      </c>
      <c r="T490" s="104"/>
      <c r="U490" s="110">
        <f>+(3658606+1350713+929210+1050000+150000+1823640+16*190000)*1.23*1.07</f>
        <v>15796054.6209</v>
      </c>
      <c r="V490" s="109"/>
      <c r="W490" s="110">
        <v>0</v>
      </c>
      <c r="X490" s="259">
        <v>0</v>
      </c>
      <c r="Y490" s="259">
        <v>0</v>
      </c>
      <c r="Z490" s="259">
        <v>0</v>
      </c>
      <c r="AA490" s="226">
        <v>0</v>
      </c>
      <c r="AB490" s="219"/>
      <c r="AC490" s="219"/>
      <c r="AD490" s="219"/>
      <c r="AE490" s="219"/>
      <c r="AF490" s="219"/>
      <c r="AG490" s="100"/>
      <c r="AH490" s="230"/>
    </row>
    <row r="491" spans="1:34" s="229" customFormat="1" ht="76.5" hidden="1">
      <c r="A491" s="101">
        <f t="shared" si="28"/>
        <v>120</v>
      </c>
      <c r="B491" s="103" t="s">
        <v>1011</v>
      </c>
      <c r="C491" s="104" t="s">
        <v>950</v>
      </c>
      <c r="D491" s="103" t="s">
        <v>1012</v>
      </c>
      <c r="E491" s="104" t="s">
        <v>114</v>
      </c>
      <c r="F491" s="103" t="s">
        <v>91</v>
      </c>
      <c r="G491" s="106" t="s">
        <v>294</v>
      </c>
      <c r="H491" s="102" t="s">
        <v>200</v>
      </c>
      <c r="I491" s="103" t="s">
        <v>173</v>
      </c>
      <c r="J491" s="224"/>
      <c r="K491" s="224"/>
      <c r="L491" s="224">
        <f t="shared" si="32"/>
        <v>0</v>
      </c>
      <c r="M491" s="224"/>
      <c r="N491" s="224"/>
      <c r="O491" s="224">
        <f t="shared" si="31"/>
        <v>0</v>
      </c>
      <c r="P491" s="105"/>
      <c r="Q491" s="103" t="s">
        <v>123</v>
      </c>
      <c r="R491" s="103"/>
      <c r="S491" s="104" t="s">
        <v>138</v>
      </c>
      <c r="T491" s="104"/>
      <c r="U491" s="110">
        <f>+((3658606*0.35+929210+1350713+150000+1050000)*1.07+16*190000)*1.23</f>
        <v>10004408.63511</v>
      </c>
      <c r="V491" s="109"/>
      <c r="W491" s="110">
        <v>0</v>
      </c>
      <c r="X491" s="259">
        <v>0</v>
      </c>
      <c r="Y491" s="259">
        <v>0</v>
      </c>
      <c r="Z491" s="259">
        <v>0</v>
      </c>
      <c r="AA491" s="226">
        <v>0</v>
      </c>
      <c r="AB491" s="219"/>
      <c r="AC491" s="219"/>
      <c r="AD491" s="219"/>
      <c r="AE491" s="219"/>
      <c r="AF491" s="219"/>
      <c r="AG491" s="100"/>
      <c r="AH491" s="230"/>
    </row>
    <row r="492" spans="1:34" s="229" customFormat="1" ht="76.5" hidden="1">
      <c r="A492" s="101">
        <f t="shared" si="28"/>
        <v>121</v>
      </c>
      <c r="B492" s="103" t="s">
        <v>1013</v>
      </c>
      <c r="C492" s="104" t="s">
        <v>945</v>
      </c>
      <c r="D492" s="103" t="s">
        <v>1015</v>
      </c>
      <c r="E492" s="104" t="s">
        <v>114</v>
      </c>
      <c r="F492" s="103" t="s">
        <v>91</v>
      </c>
      <c r="G492" s="106" t="s">
        <v>1014</v>
      </c>
      <c r="H492" s="102" t="s">
        <v>984</v>
      </c>
      <c r="I492" s="103" t="s">
        <v>173</v>
      </c>
      <c r="J492" s="224"/>
      <c r="K492" s="224"/>
      <c r="L492" s="224">
        <f t="shared" si="32"/>
        <v>0</v>
      </c>
      <c r="M492" s="224"/>
      <c r="N492" s="224"/>
      <c r="O492" s="224">
        <f t="shared" si="31"/>
        <v>0</v>
      </c>
      <c r="P492" s="105"/>
      <c r="Q492" s="103" t="s">
        <v>123</v>
      </c>
      <c r="R492" s="103"/>
      <c r="S492" s="104" t="s">
        <v>138</v>
      </c>
      <c r="T492" s="104"/>
      <c r="U492" s="110">
        <f>+((1823640+1293526+929210+1350000+12*1022001/14)*1.07+16*190000+450000)*1.23</f>
        <v>12547775.181685714</v>
      </c>
      <c r="V492" s="109"/>
      <c r="W492" s="110">
        <v>0</v>
      </c>
      <c r="X492" s="259">
        <v>0</v>
      </c>
      <c r="Y492" s="259">
        <v>0</v>
      </c>
      <c r="Z492" s="259">
        <v>0</v>
      </c>
      <c r="AA492" s="226">
        <f>+U492*0.235*0.3</f>
        <v>884618.15030884277</v>
      </c>
      <c r="AB492" s="219"/>
      <c r="AC492" s="219"/>
      <c r="AD492" s="219"/>
      <c r="AE492" s="219"/>
      <c r="AF492" s="219"/>
      <c r="AG492" s="100"/>
      <c r="AH492" s="230"/>
    </row>
    <row r="493" spans="1:34" s="229" customFormat="1" ht="89.25" hidden="1">
      <c r="A493" s="101">
        <f t="shared" si="28"/>
        <v>122</v>
      </c>
      <c r="B493" s="103" t="s">
        <v>1016</v>
      </c>
      <c r="C493" s="104" t="s">
        <v>950</v>
      </c>
      <c r="D493" s="103" t="s">
        <v>275</v>
      </c>
      <c r="E493" s="104" t="s">
        <v>114</v>
      </c>
      <c r="F493" s="103" t="s">
        <v>91</v>
      </c>
      <c r="G493" s="106" t="s">
        <v>962</v>
      </c>
      <c r="H493" s="102" t="s">
        <v>200</v>
      </c>
      <c r="I493" s="103" t="s">
        <v>173</v>
      </c>
      <c r="J493" s="224"/>
      <c r="K493" s="224"/>
      <c r="L493" s="224">
        <f t="shared" si="32"/>
        <v>0</v>
      </c>
      <c r="M493" s="224"/>
      <c r="N493" s="224"/>
      <c r="O493" s="224">
        <f t="shared" si="31"/>
        <v>0</v>
      </c>
      <c r="P493" s="105"/>
      <c r="Q493" s="103" t="s">
        <v>123</v>
      </c>
      <c r="R493" s="103"/>
      <c r="S493" s="104" t="s">
        <v>138</v>
      </c>
      <c r="T493" s="104"/>
      <c r="U493" s="110">
        <f>+((3658606+1350713+4298671+929210+1247367+12*1022001/14+1050000+150000)*1.07+16*190000)*1.23</f>
        <v>21586263.356785715</v>
      </c>
      <c r="V493" s="109"/>
      <c r="W493" s="110">
        <v>0</v>
      </c>
      <c r="X493" s="259">
        <v>0</v>
      </c>
      <c r="Y493" s="259">
        <v>0</v>
      </c>
      <c r="Z493" s="259">
        <f>+U493*0.235*0.3</f>
        <v>1521831.5666533927</v>
      </c>
      <c r="AA493" s="226">
        <f>+U493-Z493-AB493</f>
        <v>20064431.790132321</v>
      </c>
      <c r="AB493" s="219"/>
      <c r="AC493" s="219"/>
      <c r="AD493" s="219"/>
      <c r="AE493" s="219"/>
      <c r="AF493" s="219"/>
      <c r="AG493" s="100"/>
      <c r="AH493" s="230"/>
    </row>
    <row r="494" spans="1:34" s="229" customFormat="1" ht="76.5" hidden="1">
      <c r="A494" s="101">
        <f t="shared" si="28"/>
        <v>123</v>
      </c>
      <c r="B494" s="103" t="s">
        <v>1017</v>
      </c>
      <c r="C494" s="104" t="s">
        <v>950</v>
      </c>
      <c r="D494" s="103" t="s">
        <v>1018</v>
      </c>
      <c r="E494" s="104" t="s">
        <v>114</v>
      </c>
      <c r="F494" s="103" t="s">
        <v>91</v>
      </c>
      <c r="G494" s="106" t="s">
        <v>989</v>
      </c>
      <c r="H494" s="102" t="s">
        <v>984</v>
      </c>
      <c r="I494" s="103" t="s">
        <v>173</v>
      </c>
      <c r="J494" s="224"/>
      <c r="K494" s="224"/>
      <c r="L494" s="224">
        <f t="shared" si="32"/>
        <v>0</v>
      </c>
      <c r="M494" s="224"/>
      <c r="N494" s="224"/>
      <c r="O494" s="224">
        <f t="shared" si="31"/>
        <v>0</v>
      </c>
      <c r="P494" s="105"/>
      <c r="Q494" s="103" t="s">
        <v>123</v>
      </c>
      <c r="R494" s="103"/>
      <c r="S494" s="104" t="s">
        <v>138</v>
      </c>
      <c r="T494" s="104"/>
      <c r="U494" s="110">
        <f>+((2097122*4+1293526+1350000+1247367+929210+300000+350000+600000+1050000+150000)*1.07+16*190000)*1.23</f>
        <v>24347471.6151</v>
      </c>
      <c r="V494" s="109"/>
      <c r="W494" s="110">
        <v>0</v>
      </c>
      <c r="X494" s="259">
        <v>0</v>
      </c>
      <c r="Y494" s="259">
        <v>0</v>
      </c>
      <c r="Z494" s="259">
        <v>0</v>
      </c>
      <c r="AA494" s="226">
        <v>0</v>
      </c>
      <c r="AB494" s="219"/>
      <c r="AC494" s="219"/>
      <c r="AD494" s="219"/>
      <c r="AE494" s="219"/>
      <c r="AF494" s="219"/>
      <c r="AG494" s="100"/>
      <c r="AH494" s="230"/>
    </row>
    <row r="495" spans="1:34" s="229" customFormat="1" ht="63.75" hidden="1">
      <c r="A495" s="101">
        <f t="shared" si="28"/>
        <v>124</v>
      </c>
      <c r="B495" s="103" t="s">
        <v>1019</v>
      </c>
      <c r="C495" s="104" t="s">
        <v>140</v>
      </c>
      <c r="D495" s="103" t="s">
        <v>595</v>
      </c>
      <c r="E495" s="104" t="s">
        <v>114</v>
      </c>
      <c r="F495" s="103" t="s">
        <v>91</v>
      </c>
      <c r="G495" s="106" t="s">
        <v>1020</v>
      </c>
      <c r="H495" s="102" t="s">
        <v>984</v>
      </c>
      <c r="I495" s="103" t="s">
        <v>173</v>
      </c>
      <c r="J495" s="224"/>
      <c r="K495" s="224"/>
      <c r="L495" s="224">
        <f t="shared" si="32"/>
        <v>0</v>
      </c>
      <c r="M495" s="224"/>
      <c r="N495" s="224"/>
      <c r="O495" s="224">
        <f t="shared" si="31"/>
        <v>0</v>
      </c>
      <c r="P495" s="105"/>
      <c r="Q495" s="103" t="s">
        <v>123</v>
      </c>
      <c r="R495" s="103"/>
      <c r="S495" s="104" t="s">
        <v>138</v>
      </c>
      <c r="T495" s="104"/>
      <c r="U495" s="110">
        <f>+((3658606+1293526+1350000+1247367+929210+1050000+150000)*1.07+16*190000)*1.23</f>
        <v>16477348.914900001</v>
      </c>
      <c r="V495" s="109"/>
      <c r="W495" s="110">
        <v>0</v>
      </c>
      <c r="X495" s="259">
        <v>0</v>
      </c>
      <c r="Y495" s="259">
        <v>0</v>
      </c>
      <c r="Z495" s="259">
        <v>0</v>
      </c>
      <c r="AA495" s="226">
        <f>+U495*0.235*0.3</f>
        <v>1161653.0985004499</v>
      </c>
      <c r="AB495" s="219"/>
      <c r="AC495" s="219"/>
      <c r="AD495" s="219"/>
      <c r="AE495" s="219"/>
      <c r="AF495" s="219"/>
      <c r="AG495" s="100"/>
      <c r="AH495" s="230"/>
    </row>
    <row r="496" spans="1:34" s="229" customFormat="1" ht="63.75" hidden="1">
      <c r="A496" s="101">
        <f t="shared" si="28"/>
        <v>125</v>
      </c>
      <c r="B496" s="103" t="s">
        <v>1021</v>
      </c>
      <c r="C496" s="104" t="s">
        <v>939</v>
      </c>
      <c r="D496" s="103" t="s">
        <v>595</v>
      </c>
      <c r="E496" s="104" t="s">
        <v>114</v>
      </c>
      <c r="F496" s="103" t="s">
        <v>91</v>
      </c>
      <c r="G496" s="106" t="s">
        <v>989</v>
      </c>
      <c r="H496" s="102" t="s">
        <v>984</v>
      </c>
      <c r="I496" s="103" t="s">
        <v>173</v>
      </c>
      <c r="J496" s="224"/>
      <c r="K496" s="224"/>
      <c r="L496" s="224">
        <f t="shared" si="32"/>
        <v>0</v>
      </c>
      <c r="M496" s="224"/>
      <c r="N496" s="224"/>
      <c r="O496" s="224">
        <f t="shared" si="31"/>
        <v>0</v>
      </c>
      <c r="P496" s="105"/>
      <c r="Q496" s="103" t="s">
        <v>123</v>
      </c>
      <c r="R496" s="103"/>
      <c r="S496" s="104" t="s">
        <v>138</v>
      </c>
      <c r="T496" s="104"/>
      <c r="U496" s="110">
        <f>+((3658606+1293526+1350000+1247367+929210+1050000+150000)*1.07+16*190000)*1.23</f>
        <v>16477348.914900001</v>
      </c>
      <c r="V496" s="109"/>
      <c r="W496" s="110">
        <v>0</v>
      </c>
      <c r="X496" s="259">
        <v>0</v>
      </c>
      <c r="Y496" s="260">
        <f>+U496*0.235*0.3</f>
        <v>1161653.0985004499</v>
      </c>
      <c r="Z496" s="259">
        <f>+U496-Y496-AA496</f>
        <v>14491828.370654551</v>
      </c>
      <c r="AA496" s="226">
        <f>+U496*0.05</f>
        <v>823867.44574500015</v>
      </c>
      <c r="AB496" s="219"/>
      <c r="AC496" s="219"/>
      <c r="AD496" s="219"/>
      <c r="AE496" s="219"/>
      <c r="AF496" s="219"/>
      <c r="AG496" s="100"/>
      <c r="AH496" s="230"/>
    </row>
    <row r="497" spans="1:34" s="229" customFormat="1" ht="63.75" hidden="1">
      <c r="A497" s="101">
        <f t="shared" si="28"/>
        <v>126</v>
      </c>
      <c r="B497" s="103" t="s">
        <v>1022</v>
      </c>
      <c r="C497" s="104" t="s">
        <v>950</v>
      </c>
      <c r="D497" s="103" t="s">
        <v>1023</v>
      </c>
      <c r="E497" s="104" t="s">
        <v>114</v>
      </c>
      <c r="F497" s="103" t="s">
        <v>91</v>
      </c>
      <c r="G497" s="106" t="s">
        <v>951</v>
      </c>
      <c r="H497" s="102" t="s">
        <v>31</v>
      </c>
      <c r="I497" s="103" t="s">
        <v>173</v>
      </c>
      <c r="J497" s="224"/>
      <c r="K497" s="224"/>
      <c r="L497" s="224">
        <f t="shared" si="32"/>
        <v>0</v>
      </c>
      <c r="M497" s="224"/>
      <c r="N497" s="224"/>
      <c r="O497" s="224">
        <f t="shared" si="31"/>
        <v>0</v>
      </c>
      <c r="P497" s="105"/>
      <c r="Q497" s="103" t="s">
        <v>123</v>
      </c>
      <c r="R497" s="103"/>
      <c r="S497" s="104" t="s">
        <v>138</v>
      </c>
      <c r="T497" s="104"/>
      <c r="U497" s="110">
        <f>+(2097122*2+1247367+929210+1293526+12*1022001/14+1350000+1050000)*1.07*1.23</f>
        <v>14398591.814785715</v>
      </c>
      <c r="V497" s="109"/>
      <c r="W497" s="110">
        <v>0</v>
      </c>
      <c r="X497" s="259">
        <v>0</v>
      </c>
      <c r="Y497" s="259">
        <v>0</v>
      </c>
      <c r="Z497" s="259">
        <v>0</v>
      </c>
      <c r="AA497" s="226">
        <f>+U497*0.235*0.3</f>
        <v>1015100.7229423928</v>
      </c>
      <c r="AB497" s="219"/>
      <c r="AC497" s="219"/>
      <c r="AD497" s="219"/>
      <c r="AE497" s="219"/>
      <c r="AF497" s="219"/>
      <c r="AG497" s="100"/>
      <c r="AH497" s="230"/>
    </row>
    <row r="498" spans="1:34" s="229" customFormat="1" ht="89.25" hidden="1">
      <c r="A498" s="101">
        <f t="shared" si="28"/>
        <v>127</v>
      </c>
      <c r="B498" s="103" t="s">
        <v>1024</v>
      </c>
      <c r="C498" s="104" t="s">
        <v>939</v>
      </c>
      <c r="D498" s="103" t="s">
        <v>1025</v>
      </c>
      <c r="E498" s="104" t="s">
        <v>114</v>
      </c>
      <c r="F498" s="103" t="s">
        <v>91</v>
      </c>
      <c r="G498" s="106" t="s">
        <v>294</v>
      </c>
      <c r="H498" s="102" t="s">
        <v>200</v>
      </c>
      <c r="I498" s="103" t="s">
        <v>173</v>
      </c>
      <c r="J498" s="224"/>
      <c r="K498" s="224"/>
      <c r="L498" s="224">
        <f t="shared" si="32"/>
        <v>0</v>
      </c>
      <c r="M498" s="224"/>
      <c r="N498" s="224"/>
      <c r="O498" s="224">
        <f t="shared" si="31"/>
        <v>0</v>
      </c>
      <c r="P498" s="105"/>
      <c r="Q498" s="103" t="s">
        <v>123</v>
      </c>
      <c r="R498" s="103"/>
      <c r="S498" s="104" t="s">
        <v>138</v>
      </c>
      <c r="T498" s="104"/>
      <c r="U498" s="110">
        <f>+((1141850+1714473+3658606+1293526+1247367+929210+12*1022001/14+1350000+150000+750000)*1.07+8*190000)*1.23</f>
        <v>19125030.343285713</v>
      </c>
      <c r="V498" s="109"/>
      <c r="W498" s="110">
        <v>0</v>
      </c>
      <c r="X498" s="259">
        <v>0</v>
      </c>
      <c r="Y498" s="259">
        <v>0</v>
      </c>
      <c r="Z498" s="259">
        <f>+U498*0.235*0.3</f>
        <v>1348314.6392016427</v>
      </c>
      <c r="AA498" s="226">
        <f>+U498-Z498-AB498</f>
        <v>17776715.704084072</v>
      </c>
      <c r="AB498" s="219"/>
      <c r="AC498" s="219"/>
      <c r="AD498" s="219"/>
      <c r="AE498" s="219"/>
      <c r="AF498" s="219"/>
      <c r="AG498" s="100"/>
      <c r="AH498" s="230">
        <f>+U498*0.06</f>
        <v>1147501.8205971427</v>
      </c>
    </row>
    <row r="499" spans="1:34" s="229" customFormat="1" ht="63.75" hidden="1">
      <c r="A499" s="101">
        <f t="shared" si="28"/>
        <v>128</v>
      </c>
      <c r="B499" s="103" t="s">
        <v>1026</v>
      </c>
      <c r="C499" s="104" t="s">
        <v>140</v>
      </c>
      <c r="D499" s="103" t="s">
        <v>1028</v>
      </c>
      <c r="E499" s="104" t="s">
        <v>114</v>
      </c>
      <c r="F499" s="103" t="s">
        <v>91</v>
      </c>
      <c r="G499" s="106" t="s">
        <v>1027</v>
      </c>
      <c r="H499" s="102" t="s">
        <v>984</v>
      </c>
      <c r="I499" s="103" t="s">
        <v>173</v>
      </c>
      <c r="J499" s="224"/>
      <c r="K499" s="224"/>
      <c r="L499" s="224">
        <f t="shared" si="32"/>
        <v>0</v>
      </c>
      <c r="M499" s="224"/>
      <c r="N499" s="224"/>
      <c r="O499" s="224">
        <f t="shared" si="31"/>
        <v>0</v>
      </c>
      <c r="P499" s="105"/>
      <c r="Q499" s="103" t="s">
        <v>123</v>
      </c>
      <c r="R499" s="103"/>
      <c r="S499" s="104" t="s">
        <v>138</v>
      </c>
      <c r="T499" s="104"/>
      <c r="U499" s="110">
        <f>+((3658606+1293526+929210+12*1022001/14+150000+750000)*1.07+16*190000)*1.23</f>
        <v>13817028.934285715</v>
      </c>
      <c r="V499" s="109"/>
      <c r="W499" s="110">
        <v>0</v>
      </c>
      <c r="X499" s="259">
        <v>0</v>
      </c>
      <c r="Y499" s="259">
        <v>0</v>
      </c>
      <c r="Z499" s="259">
        <v>0</v>
      </c>
      <c r="AA499" s="226">
        <v>0</v>
      </c>
      <c r="AB499" s="219"/>
      <c r="AC499" s="219"/>
      <c r="AD499" s="219"/>
      <c r="AE499" s="219"/>
      <c r="AF499" s="219"/>
      <c r="AG499" s="100"/>
      <c r="AH499" s="230"/>
    </row>
    <row r="500" spans="1:34" s="229" customFormat="1" ht="89.25" hidden="1">
      <c r="A500" s="101">
        <f t="shared" si="28"/>
        <v>129</v>
      </c>
      <c r="B500" s="103" t="s">
        <v>1029</v>
      </c>
      <c r="C500" s="104" t="s">
        <v>140</v>
      </c>
      <c r="D500" s="103" t="s">
        <v>1031</v>
      </c>
      <c r="E500" s="104" t="s">
        <v>114</v>
      </c>
      <c r="F500" s="103" t="s">
        <v>91</v>
      </c>
      <c r="G500" s="106" t="s">
        <v>1030</v>
      </c>
      <c r="H500" s="102" t="s">
        <v>984</v>
      </c>
      <c r="I500" s="103" t="s">
        <v>173</v>
      </c>
      <c r="J500" s="224"/>
      <c r="K500" s="224"/>
      <c r="L500" s="224">
        <f t="shared" si="32"/>
        <v>0</v>
      </c>
      <c r="M500" s="224"/>
      <c r="N500" s="224"/>
      <c r="O500" s="224">
        <f t="shared" si="31"/>
        <v>0</v>
      </c>
      <c r="P500" s="105"/>
      <c r="Q500" s="103" t="s">
        <v>123</v>
      </c>
      <c r="R500" s="103"/>
      <c r="S500" s="104" t="s">
        <v>138</v>
      </c>
      <c r="T500" s="104"/>
      <c r="U500" s="110">
        <f>+(16*190000+270000*2+(1714473+3658606+929210+1293526+4298671+1050000+150000)*1.07)*1.23</f>
        <v>21637053.024600003</v>
      </c>
      <c r="V500" s="109"/>
      <c r="W500" s="110">
        <v>0</v>
      </c>
      <c r="X500" s="259">
        <v>0</v>
      </c>
      <c r="Y500" s="259">
        <v>0</v>
      </c>
      <c r="Z500" s="259">
        <v>0</v>
      </c>
      <c r="AA500" s="226">
        <f>+U500*0.235*0.3</f>
        <v>1525412.2382343002</v>
      </c>
      <c r="AB500" s="219"/>
      <c r="AC500" s="219"/>
      <c r="AD500" s="219"/>
      <c r="AE500" s="219"/>
      <c r="AF500" s="219"/>
      <c r="AG500" s="100"/>
      <c r="AH500" s="230"/>
    </row>
    <row r="501" spans="1:34" s="229" customFormat="1" ht="76.5" hidden="1">
      <c r="A501" s="101">
        <f t="shared" si="28"/>
        <v>130</v>
      </c>
      <c r="B501" s="103" t="s">
        <v>1032</v>
      </c>
      <c r="C501" s="104" t="s">
        <v>134</v>
      </c>
      <c r="D501" s="103" t="s">
        <v>1033</v>
      </c>
      <c r="E501" s="104" t="s">
        <v>114</v>
      </c>
      <c r="F501" s="103" t="s">
        <v>91</v>
      </c>
      <c r="G501" s="106" t="s">
        <v>587</v>
      </c>
      <c r="H501" s="102" t="s">
        <v>200</v>
      </c>
      <c r="I501" s="103" t="s">
        <v>173</v>
      </c>
      <c r="J501" s="224"/>
      <c r="K501" s="224"/>
      <c r="L501" s="224">
        <f t="shared" si="32"/>
        <v>0</v>
      </c>
      <c r="M501" s="224"/>
      <c r="N501" s="224"/>
      <c r="O501" s="224">
        <f t="shared" si="31"/>
        <v>0</v>
      </c>
      <c r="P501" s="105"/>
      <c r="Q501" s="103" t="s">
        <v>123</v>
      </c>
      <c r="R501" s="103"/>
      <c r="S501" s="104" t="s">
        <v>138</v>
      </c>
      <c r="T501" s="104"/>
      <c r="U501" s="110">
        <f>+(7*190000+(3658606+1293526+1350713+1823640+1350000+12*1022001/14)*1.07)*1.23</f>
        <v>15260806.636585712</v>
      </c>
      <c r="V501" s="109"/>
      <c r="W501" s="110">
        <v>0</v>
      </c>
      <c r="X501" s="259">
        <v>0</v>
      </c>
      <c r="Y501" s="259">
        <v>0</v>
      </c>
      <c r="Z501" s="259">
        <v>0</v>
      </c>
      <c r="AA501" s="226">
        <v>0</v>
      </c>
      <c r="AB501" s="219"/>
      <c r="AC501" s="219"/>
      <c r="AD501" s="219"/>
      <c r="AE501" s="219"/>
      <c r="AF501" s="219"/>
      <c r="AG501" s="100"/>
      <c r="AH501" s="230"/>
    </row>
    <row r="502" spans="1:34" s="229" customFormat="1" ht="76.5" hidden="1">
      <c r="A502" s="101">
        <f t="shared" si="28"/>
        <v>131</v>
      </c>
      <c r="B502" s="103" t="s">
        <v>1034</v>
      </c>
      <c r="C502" s="104" t="s">
        <v>945</v>
      </c>
      <c r="D502" s="103" t="s">
        <v>1035</v>
      </c>
      <c r="E502" s="104" t="s">
        <v>114</v>
      </c>
      <c r="F502" s="103" t="s">
        <v>91</v>
      </c>
      <c r="G502" s="106" t="s">
        <v>989</v>
      </c>
      <c r="H502" s="102" t="s">
        <v>984</v>
      </c>
      <c r="I502" s="103" t="s">
        <v>173</v>
      </c>
      <c r="J502" s="224"/>
      <c r="K502" s="224"/>
      <c r="L502" s="224">
        <f t="shared" si="32"/>
        <v>0</v>
      </c>
      <c r="M502" s="224"/>
      <c r="N502" s="224"/>
      <c r="O502" s="224">
        <f t="shared" si="31"/>
        <v>0</v>
      </c>
      <c r="P502" s="105"/>
      <c r="Q502" s="103" t="s">
        <v>123</v>
      </c>
      <c r="R502" s="103"/>
      <c r="S502" s="104" t="s">
        <v>138</v>
      </c>
      <c r="T502" s="104"/>
      <c r="U502" s="110">
        <f>+(16*190000+(3658606+1293526+929210+1350713+1823640+1350000+12*1022001/14)*1.07)*1.23</f>
        <v>18587039.917585716</v>
      </c>
      <c r="V502" s="109"/>
      <c r="W502" s="110">
        <v>0</v>
      </c>
      <c r="X502" s="259">
        <v>0</v>
      </c>
      <c r="Y502" s="259">
        <v>0</v>
      </c>
      <c r="Z502" s="259">
        <v>0</v>
      </c>
      <c r="AA502" s="226">
        <f>+U502*0.235*0.3</f>
        <v>1310386.3141897928</v>
      </c>
      <c r="AB502" s="219"/>
      <c r="AC502" s="219"/>
      <c r="AD502" s="219"/>
      <c r="AE502" s="219"/>
      <c r="AF502" s="219"/>
      <c r="AG502" s="100"/>
      <c r="AH502" s="230"/>
    </row>
    <row r="503" spans="1:34" s="229" customFormat="1" ht="63.75" hidden="1">
      <c r="A503" s="101">
        <f t="shared" ref="A503:A558" si="33">+A502+1</f>
        <v>132</v>
      </c>
      <c r="B503" s="103" t="s">
        <v>1036</v>
      </c>
      <c r="C503" s="104" t="s">
        <v>390</v>
      </c>
      <c r="D503" s="103" t="s">
        <v>1037</v>
      </c>
      <c r="E503" s="104" t="s">
        <v>114</v>
      </c>
      <c r="F503" s="103" t="s">
        <v>91</v>
      </c>
      <c r="G503" s="106" t="s">
        <v>954</v>
      </c>
      <c r="H503" s="102" t="s">
        <v>31</v>
      </c>
      <c r="I503" s="103" t="s">
        <v>173</v>
      </c>
      <c r="J503" s="224"/>
      <c r="K503" s="224"/>
      <c r="L503" s="224">
        <f t="shared" si="32"/>
        <v>0</v>
      </c>
      <c r="M503" s="224"/>
      <c r="N503" s="224"/>
      <c r="O503" s="224">
        <f t="shared" si="31"/>
        <v>0</v>
      </c>
      <c r="P503" s="105"/>
      <c r="Q503" s="103" t="s">
        <v>123</v>
      </c>
      <c r="R503" s="103"/>
      <c r="S503" s="104" t="s">
        <v>138</v>
      </c>
      <c r="T503" s="104"/>
      <c r="U503" s="110">
        <f>+(13*190000+(1714473+1141850+3658606+1247367+1293526+929210+1350000+150000+750000)*1.07)*1.23</f>
        <v>19140625.615200002</v>
      </c>
      <c r="V503" s="109"/>
      <c r="W503" s="110">
        <v>0</v>
      </c>
      <c r="X503" s="259">
        <v>0</v>
      </c>
      <c r="Y503" s="259">
        <v>0</v>
      </c>
      <c r="Z503" s="259">
        <v>0</v>
      </c>
      <c r="AA503" s="226">
        <f>+U503*0.235*0.3</f>
        <v>1349414.1058715999</v>
      </c>
      <c r="AB503" s="219"/>
      <c r="AC503" s="219"/>
      <c r="AD503" s="219"/>
      <c r="AE503" s="219"/>
      <c r="AF503" s="219"/>
      <c r="AG503" s="100"/>
      <c r="AH503" s="230"/>
    </row>
    <row r="504" spans="1:34" s="229" customFormat="1" ht="76.5" hidden="1">
      <c r="A504" s="101">
        <f t="shared" si="33"/>
        <v>133</v>
      </c>
      <c r="B504" s="103" t="s">
        <v>1038</v>
      </c>
      <c r="C504" s="104" t="s">
        <v>945</v>
      </c>
      <c r="D504" s="103" t="s">
        <v>1039</v>
      </c>
      <c r="E504" s="104" t="s">
        <v>114</v>
      </c>
      <c r="F504" s="103" t="s">
        <v>91</v>
      </c>
      <c r="G504" s="106" t="s">
        <v>294</v>
      </c>
      <c r="H504" s="102" t="s">
        <v>200</v>
      </c>
      <c r="I504" s="103" t="s">
        <v>173</v>
      </c>
      <c r="J504" s="224"/>
      <c r="K504" s="224"/>
      <c r="L504" s="224">
        <f t="shared" si="32"/>
        <v>0</v>
      </c>
      <c r="M504" s="224"/>
      <c r="N504" s="224"/>
      <c r="O504" s="224">
        <f t="shared" si="31"/>
        <v>0</v>
      </c>
      <c r="P504" s="105"/>
      <c r="Q504" s="103" t="s">
        <v>123</v>
      </c>
      <c r="R504" s="103"/>
      <c r="S504" s="104" t="s">
        <v>138</v>
      </c>
      <c r="T504" s="104"/>
      <c r="U504" s="110">
        <f>+(16*190000+(3658606+929210+1293526+1350713+1350000+12*1022001/14)*1.07)*1.23</f>
        <v>16186947.313585714</v>
      </c>
      <c r="V504" s="109"/>
      <c r="W504" s="110">
        <v>0</v>
      </c>
      <c r="X504" s="259">
        <v>0</v>
      </c>
      <c r="Y504" s="259">
        <v>0</v>
      </c>
      <c r="Z504" s="259">
        <v>0</v>
      </c>
      <c r="AA504" s="226">
        <v>0</v>
      </c>
      <c r="AB504" s="219"/>
      <c r="AC504" s="219"/>
      <c r="AD504" s="219"/>
      <c r="AE504" s="219"/>
      <c r="AF504" s="219"/>
      <c r="AG504" s="100"/>
      <c r="AH504" s="230"/>
    </row>
    <row r="505" spans="1:34" s="229" customFormat="1" ht="76.5" hidden="1">
      <c r="A505" s="101">
        <f t="shared" si="33"/>
        <v>134</v>
      </c>
      <c r="B505" s="103" t="s">
        <v>1040</v>
      </c>
      <c r="C505" s="104" t="s">
        <v>950</v>
      </c>
      <c r="D505" s="103" t="s">
        <v>1041</v>
      </c>
      <c r="E505" s="104" t="s">
        <v>114</v>
      </c>
      <c r="F505" s="103" t="s">
        <v>91</v>
      </c>
      <c r="G505" s="106" t="s">
        <v>998</v>
      </c>
      <c r="H505" s="102" t="s">
        <v>984</v>
      </c>
      <c r="I505" s="103" t="s">
        <v>173</v>
      </c>
      <c r="J505" s="224"/>
      <c r="K505" s="224"/>
      <c r="L505" s="224">
        <f t="shared" si="32"/>
        <v>0</v>
      </c>
      <c r="M505" s="224"/>
      <c r="N505" s="224"/>
      <c r="O505" s="224">
        <f t="shared" si="31"/>
        <v>0</v>
      </c>
      <c r="P505" s="105"/>
      <c r="Q505" s="103" t="s">
        <v>123</v>
      </c>
      <c r="R505" s="103"/>
      <c r="S505" s="104" t="s">
        <v>138</v>
      </c>
      <c r="T505" s="104"/>
      <c r="U505" s="110">
        <f>(2097122+3658606+929210+1293526+1350713+1247367+4298671+1350000+12*1022001/14+750000+150000)*1.07*1.23</f>
        <v>23691400.189585716</v>
      </c>
      <c r="V505" s="109"/>
      <c r="W505" s="110">
        <v>0</v>
      </c>
      <c r="X505" s="259">
        <v>0</v>
      </c>
      <c r="Y505" s="259">
        <v>0</v>
      </c>
      <c r="Z505" s="259">
        <v>0</v>
      </c>
      <c r="AA505" s="226">
        <v>0</v>
      </c>
      <c r="AB505" s="219"/>
      <c r="AC505" s="219"/>
      <c r="AD505" s="219"/>
      <c r="AE505" s="219"/>
      <c r="AF505" s="219"/>
      <c r="AG505" s="100"/>
      <c r="AH505" s="230"/>
    </row>
    <row r="506" spans="1:34" s="229" customFormat="1" ht="38.25" hidden="1">
      <c r="A506" s="101">
        <f t="shared" si="33"/>
        <v>135</v>
      </c>
      <c r="B506" s="103" t="s">
        <v>1042</v>
      </c>
      <c r="C506" s="104" t="s">
        <v>945</v>
      </c>
      <c r="D506" s="103" t="s">
        <v>1043</v>
      </c>
      <c r="E506" s="104" t="s">
        <v>114</v>
      </c>
      <c r="F506" s="103" t="s">
        <v>91</v>
      </c>
      <c r="G506" s="106" t="s">
        <v>974</v>
      </c>
      <c r="H506" s="102" t="s">
        <v>984</v>
      </c>
      <c r="I506" s="103" t="s">
        <v>173</v>
      </c>
      <c r="J506" s="224"/>
      <c r="K506" s="224"/>
      <c r="L506" s="224">
        <f t="shared" si="32"/>
        <v>0</v>
      </c>
      <c r="M506" s="224"/>
      <c r="N506" s="224"/>
      <c r="O506" s="224">
        <f t="shared" si="31"/>
        <v>0</v>
      </c>
      <c r="P506" s="105"/>
      <c r="Q506" s="103" t="s">
        <v>123</v>
      </c>
      <c r="R506" s="103"/>
      <c r="S506" s="104" t="s">
        <v>138</v>
      </c>
      <c r="T506" s="104"/>
      <c r="U506" s="110">
        <f>+(3658606+1293526+929210+1350713+1823640+1350000+300000)*1.07*1.23</f>
        <v>14089765.1895</v>
      </c>
      <c r="V506" s="109"/>
      <c r="W506" s="110">
        <v>0</v>
      </c>
      <c r="X506" s="259">
        <v>0</v>
      </c>
      <c r="Y506" s="259">
        <v>0</v>
      </c>
      <c r="Z506" s="259">
        <v>0</v>
      </c>
      <c r="AA506" s="226">
        <f>+U506*0.235*0.3</f>
        <v>993328.44585975003</v>
      </c>
      <c r="AB506" s="219"/>
      <c r="AC506" s="219"/>
      <c r="AD506" s="219"/>
      <c r="AE506" s="219"/>
      <c r="AF506" s="219"/>
      <c r="AG506" s="100"/>
      <c r="AH506" s="230"/>
    </row>
    <row r="507" spans="1:34" s="229" customFormat="1" ht="51" hidden="1">
      <c r="A507" s="101">
        <f t="shared" si="33"/>
        <v>136</v>
      </c>
      <c r="B507" s="103" t="s">
        <v>1044</v>
      </c>
      <c r="C507" s="104" t="s">
        <v>945</v>
      </c>
      <c r="D507" s="103" t="s">
        <v>1045</v>
      </c>
      <c r="E507" s="104" t="s">
        <v>114</v>
      </c>
      <c r="F507" s="103" t="s">
        <v>91</v>
      </c>
      <c r="G507" s="106" t="s">
        <v>986</v>
      </c>
      <c r="H507" s="102" t="s">
        <v>200</v>
      </c>
      <c r="I507" s="103" t="s">
        <v>173</v>
      </c>
      <c r="J507" s="224"/>
      <c r="K507" s="224"/>
      <c r="L507" s="224">
        <f t="shared" si="32"/>
        <v>0</v>
      </c>
      <c r="M507" s="224"/>
      <c r="N507" s="224"/>
      <c r="O507" s="224">
        <f t="shared" si="31"/>
        <v>0</v>
      </c>
      <c r="P507" s="105"/>
      <c r="Q507" s="103" t="s">
        <v>123</v>
      </c>
      <c r="R507" s="103"/>
      <c r="S507" s="104" t="s">
        <v>138</v>
      </c>
      <c r="T507" s="104"/>
      <c r="U507" s="110">
        <f>+(1714473+3658606+1293526+929210+1350000+12*1022001/14+150000+750000)*1.07*1.23</f>
        <v>14110981.849585714</v>
      </c>
      <c r="V507" s="109"/>
      <c r="W507" s="110">
        <v>0</v>
      </c>
      <c r="X507" s="259">
        <v>0</v>
      </c>
      <c r="Y507" s="260">
        <v>0</v>
      </c>
      <c r="Z507" s="259">
        <f>+U507*0.235*0.3</f>
        <v>994824.22039579274</v>
      </c>
      <c r="AA507" s="226">
        <f>+U507-AB507</f>
        <v>14110981.849585714</v>
      </c>
      <c r="AB507" s="219"/>
      <c r="AC507" s="219"/>
      <c r="AD507" s="219"/>
      <c r="AE507" s="219"/>
      <c r="AF507" s="219"/>
      <c r="AG507" s="100"/>
      <c r="AH507" s="230"/>
    </row>
    <row r="508" spans="1:34" s="229" customFormat="1" ht="51" hidden="1">
      <c r="A508" s="101">
        <f t="shared" si="33"/>
        <v>137</v>
      </c>
      <c r="B508" s="103" t="s">
        <v>1046</v>
      </c>
      <c r="C508" s="104" t="s">
        <v>950</v>
      </c>
      <c r="D508" s="103" t="s">
        <v>1047</v>
      </c>
      <c r="E508" s="104" t="s">
        <v>114</v>
      </c>
      <c r="F508" s="103" t="s">
        <v>91</v>
      </c>
      <c r="G508" s="106" t="s">
        <v>957</v>
      </c>
      <c r="H508" s="102" t="s">
        <v>957</v>
      </c>
      <c r="I508" s="103" t="s">
        <v>173</v>
      </c>
      <c r="J508" s="224"/>
      <c r="K508" s="224"/>
      <c r="L508" s="224">
        <f t="shared" si="32"/>
        <v>0</v>
      </c>
      <c r="M508" s="224"/>
      <c r="N508" s="224"/>
      <c r="O508" s="224">
        <f t="shared" si="31"/>
        <v>0</v>
      </c>
      <c r="P508" s="105"/>
      <c r="Q508" s="103" t="s">
        <v>123</v>
      </c>
      <c r="R508" s="103"/>
      <c r="S508" s="104" t="s">
        <v>138</v>
      </c>
      <c r="T508" s="104"/>
      <c r="U508" s="110">
        <f>+(1714473+1247367+1293526+929210+1350000+12*1022001/14+150000+750000)*1.07*1.23</f>
        <v>10937550.201685714</v>
      </c>
      <c r="V508" s="109"/>
      <c r="W508" s="110">
        <v>0</v>
      </c>
      <c r="X508" s="259">
        <v>0</v>
      </c>
      <c r="Y508" s="259">
        <v>0</v>
      </c>
      <c r="Z508" s="259">
        <v>0</v>
      </c>
      <c r="AA508" s="226">
        <v>0</v>
      </c>
      <c r="AB508" s="219"/>
      <c r="AC508" s="219"/>
      <c r="AD508" s="219"/>
      <c r="AE508" s="219"/>
      <c r="AF508" s="219"/>
      <c r="AG508" s="100"/>
      <c r="AH508" s="230"/>
    </row>
    <row r="509" spans="1:34" s="229" customFormat="1" ht="76.5" hidden="1">
      <c r="A509" s="101">
        <f t="shared" si="33"/>
        <v>138</v>
      </c>
      <c r="B509" s="103" t="s">
        <v>1048</v>
      </c>
      <c r="C509" s="104" t="s">
        <v>939</v>
      </c>
      <c r="D509" s="103" t="s">
        <v>1049</v>
      </c>
      <c r="E509" s="104" t="s">
        <v>114</v>
      </c>
      <c r="F509" s="103" t="s">
        <v>91</v>
      </c>
      <c r="G509" s="106" t="s">
        <v>294</v>
      </c>
      <c r="H509" s="102" t="s">
        <v>200</v>
      </c>
      <c r="I509" s="103" t="s">
        <v>173</v>
      </c>
      <c r="J509" s="224"/>
      <c r="K509" s="224"/>
      <c r="L509" s="224">
        <f t="shared" si="32"/>
        <v>0</v>
      </c>
      <c r="M509" s="224"/>
      <c r="N509" s="224"/>
      <c r="O509" s="224">
        <f t="shared" si="31"/>
        <v>0</v>
      </c>
      <c r="P509" s="105"/>
      <c r="Q509" s="103" t="s">
        <v>123</v>
      </c>
      <c r="R509" s="103"/>
      <c r="S509" s="104" t="s">
        <v>138</v>
      </c>
      <c r="T509" s="104"/>
      <c r="U509" s="110">
        <f>+(5*25000+8*190000+(1141850+1714473+3658606+929210+1350000+12*1022001/14+150000+750000)*1.07)*1.23</f>
        <v>15934711.065985715</v>
      </c>
      <c r="V509" s="109"/>
      <c r="W509" s="110">
        <v>0</v>
      </c>
      <c r="X509" s="259">
        <v>0</v>
      </c>
      <c r="Y509" s="259">
        <v>0</v>
      </c>
      <c r="Z509" s="259">
        <v>0</v>
      </c>
      <c r="AA509" s="226">
        <v>0</v>
      </c>
      <c r="AB509" s="219"/>
      <c r="AC509" s="219"/>
      <c r="AD509" s="219"/>
      <c r="AE509" s="219"/>
      <c r="AF509" s="219"/>
      <c r="AG509" s="100"/>
      <c r="AH509" s="230"/>
    </row>
    <row r="510" spans="1:34" s="229" customFormat="1" ht="76.5" hidden="1">
      <c r="A510" s="101">
        <f t="shared" si="33"/>
        <v>139</v>
      </c>
      <c r="B510" s="103" t="s">
        <v>1050</v>
      </c>
      <c r="C510" s="104" t="s">
        <v>945</v>
      </c>
      <c r="D510" s="103" t="s">
        <v>1051</v>
      </c>
      <c r="E510" s="104" t="s">
        <v>114</v>
      </c>
      <c r="F510" s="103" t="s">
        <v>91</v>
      </c>
      <c r="G510" s="106" t="s">
        <v>243</v>
      </c>
      <c r="H510" s="102" t="s">
        <v>984</v>
      </c>
      <c r="I510" s="103" t="s">
        <v>173</v>
      </c>
      <c r="J510" s="224"/>
      <c r="K510" s="224"/>
      <c r="L510" s="224">
        <f t="shared" si="32"/>
        <v>0</v>
      </c>
      <c r="M510" s="224"/>
      <c r="N510" s="224"/>
      <c r="O510" s="224">
        <f t="shared" si="31"/>
        <v>0</v>
      </c>
      <c r="P510" s="105"/>
      <c r="Q510" s="103" t="s">
        <v>123</v>
      </c>
      <c r="R510" s="103"/>
      <c r="S510" s="104" t="s">
        <v>138</v>
      </c>
      <c r="T510" s="104"/>
      <c r="U510" s="110">
        <f>+(16*190000+450000+(1293526+929210+1350000+12*1022001/14)*1.07)*1.23</f>
        <v>10147682.577685714</v>
      </c>
      <c r="V510" s="109"/>
      <c r="W510" s="110">
        <v>0</v>
      </c>
      <c r="X510" s="259">
        <v>0</v>
      </c>
      <c r="Y510" s="259">
        <v>0</v>
      </c>
      <c r="Z510" s="259">
        <v>0</v>
      </c>
      <c r="AA510" s="226">
        <v>0</v>
      </c>
      <c r="AB510" s="219"/>
      <c r="AC510" s="219"/>
      <c r="AD510" s="219"/>
      <c r="AE510" s="219"/>
      <c r="AF510" s="219"/>
      <c r="AG510" s="100"/>
      <c r="AH510" s="230"/>
    </row>
    <row r="511" spans="1:34" s="229" customFormat="1" ht="102" hidden="1">
      <c r="A511" s="101">
        <f t="shared" si="33"/>
        <v>140</v>
      </c>
      <c r="B511" s="103" t="s">
        <v>1052</v>
      </c>
      <c r="C511" s="104" t="s">
        <v>140</v>
      </c>
      <c r="D511" s="103" t="s">
        <v>1053</v>
      </c>
      <c r="E511" s="104" t="s">
        <v>114</v>
      </c>
      <c r="F511" s="103" t="s">
        <v>91</v>
      </c>
      <c r="G511" s="106" t="s">
        <v>989</v>
      </c>
      <c r="H511" s="102" t="s">
        <v>984</v>
      </c>
      <c r="I511" s="103" t="s">
        <v>173</v>
      </c>
      <c r="J511" s="224"/>
      <c r="K511" s="224"/>
      <c r="L511" s="224">
        <f t="shared" si="32"/>
        <v>0</v>
      </c>
      <c r="M511" s="224"/>
      <c r="N511" s="224"/>
      <c r="O511" s="224">
        <f t="shared" si="31"/>
        <v>0</v>
      </c>
      <c r="P511" s="105"/>
      <c r="Q511" s="103" t="s">
        <v>123</v>
      </c>
      <c r="R511" s="103"/>
      <c r="S511" s="104" t="s">
        <v>138</v>
      </c>
      <c r="T511" s="104"/>
      <c r="U511" s="110">
        <f>+(16*190000+450000+270000+(2097122+1293526+929210+1350713+1350000+12*1022001/14+150000+1050000)*1.07)*1.23</f>
        <v>16596798.221185718</v>
      </c>
      <c r="V511" s="109"/>
      <c r="W511" s="110">
        <v>0</v>
      </c>
      <c r="X511" s="259">
        <v>0</v>
      </c>
      <c r="Y511" s="259">
        <v>0</v>
      </c>
      <c r="Z511" s="259">
        <v>0</v>
      </c>
      <c r="AA511" s="226">
        <f>+U511*0.235*0.3</f>
        <v>1170074.2745935929</v>
      </c>
      <c r="AB511" s="219"/>
      <c r="AC511" s="219"/>
      <c r="AD511" s="219"/>
      <c r="AE511" s="219"/>
      <c r="AF511" s="219"/>
      <c r="AG511" s="100"/>
      <c r="AH511" s="230"/>
    </row>
    <row r="512" spans="1:34" s="229" customFormat="1" ht="63.75" hidden="1">
      <c r="A512" s="101">
        <f t="shared" si="33"/>
        <v>141</v>
      </c>
      <c r="B512" s="103" t="s">
        <v>1054</v>
      </c>
      <c r="C512" s="104" t="s">
        <v>939</v>
      </c>
      <c r="D512" s="103" t="s">
        <v>1055</v>
      </c>
      <c r="E512" s="104" t="s">
        <v>114</v>
      </c>
      <c r="F512" s="103" t="s">
        <v>91</v>
      </c>
      <c r="G512" s="106" t="s">
        <v>243</v>
      </c>
      <c r="H512" s="102" t="s">
        <v>984</v>
      </c>
      <c r="I512" s="103" t="s">
        <v>173</v>
      </c>
      <c r="J512" s="224"/>
      <c r="K512" s="224"/>
      <c r="L512" s="224">
        <f t="shared" si="32"/>
        <v>0</v>
      </c>
      <c r="M512" s="224"/>
      <c r="N512" s="224"/>
      <c r="O512" s="224">
        <f t="shared" si="31"/>
        <v>0</v>
      </c>
      <c r="P512" s="105"/>
      <c r="Q512" s="103" t="s">
        <v>123</v>
      </c>
      <c r="R512" s="103"/>
      <c r="S512" s="104" t="s">
        <v>138</v>
      </c>
      <c r="T512" s="104"/>
      <c r="U512" s="110">
        <f>+(16*190000+(1823640+3658606+1293526+929210+1350000+12*1022001/14)*1.07)*1.23</f>
        <v>16809366.538285714</v>
      </c>
      <c r="V512" s="109"/>
      <c r="W512" s="110">
        <v>0</v>
      </c>
      <c r="X512" s="259">
        <v>0</v>
      </c>
      <c r="Y512" s="259">
        <v>0</v>
      </c>
      <c r="Z512" s="259">
        <v>0</v>
      </c>
      <c r="AA512" s="226">
        <v>0</v>
      </c>
      <c r="AB512" s="219"/>
      <c r="AC512" s="219"/>
      <c r="AD512" s="219"/>
      <c r="AE512" s="219"/>
      <c r="AF512" s="219"/>
      <c r="AG512" s="100"/>
      <c r="AH512" s="230">
        <f>+U512*0.06</f>
        <v>1008561.9922971427</v>
      </c>
    </row>
    <row r="513" spans="1:34" s="229" customFormat="1" ht="76.5" hidden="1">
      <c r="A513" s="101">
        <f t="shared" si="33"/>
        <v>142</v>
      </c>
      <c r="B513" s="103" t="s">
        <v>1056</v>
      </c>
      <c r="C513" s="104" t="s">
        <v>945</v>
      </c>
      <c r="D513" s="103" t="s">
        <v>1059</v>
      </c>
      <c r="E513" s="104" t="s">
        <v>114</v>
      </c>
      <c r="F513" s="103" t="s">
        <v>91</v>
      </c>
      <c r="G513" s="106" t="s">
        <v>1057</v>
      </c>
      <c r="H513" s="102" t="s">
        <v>1058</v>
      </c>
      <c r="I513" s="103" t="s">
        <v>173</v>
      </c>
      <c r="J513" s="224"/>
      <c r="K513" s="224"/>
      <c r="L513" s="224">
        <f t="shared" si="32"/>
        <v>0</v>
      </c>
      <c r="M513" s="224"/>
      <c r="N513" s="224"/>
      <c r="O513" s="224">
        <f t="shared" si="31"/>
        <v>0</v>
      </c>
      <c r="P513" s="105"/>
      <c r="Q513" s="103" t="s">
        <v>123</v>
      </c>
      <c r="R513" s="103"/>
      <c r="S513" s="104" t="s">
        <v>138</v>
      </c>
      <c r="T513" s="104"/>
      <c r="U513" s="110">
        <f>+(20*190000+24*10000+(1823640+3658606+1293526+929210+1350000)*1.07)*1.23</f>
        <v>16886461.810199998</v>
      </c>
      <c r="V513" s="109"/>
      <c r="W513" s="110">
        <v>0</v>
      </c>
      <c r="X513" s="259">
        <v>0</v>
      </c>
      <c r="Y513" s="259">
        <v>0</v>
      </c>
      <c r="Z513" s="259">
        <v>0</v>
      </c>
      <c r="AA513" s="226">
        <f>+U513*0.235*0.3</f>
        <v>1190495.5576190997</v>
      </c>
      <c r="AB513" s="219"/>
      <c r="AC513" s="219"/>
      <c r="AD513" s="219"/>
      <c r="AE513" s="219"/>
      <c r="AF513" s="219"/>
      <c r="AG513" s="100"/>
      <c r="AH513" s="230"/>
    </row>
    <row r="514" spans="1:34" s="229" customFormat="1" ht="51" hidden="1">
      <c r="A514" s="101">
        <f t="shared" si="33"/>
        <v>143</v>
      </c>
      <c r="B514" s="103" t="s">
        <v>1060</v>
      </c>
      <c r="C514" s="104" t="s">
        <v>945</v>
      </c>
      <c r="D514" s="103" t="s">
        <v>1061</v>
      </c>
      <c r="E514" s="104" t="s">
        <v>114</v>
      </c>
      <c r="F514" s="103" t="s">
        <v>91</v>
      </c>
      <c r="G514" s="106" t="s">
        <v>594</v>
      </c>
      <c r="H514" s="102" t="s">
        <v>584</v>
      </c>
      <c r="I514" s="103" t="s">
        <v>173</v>
      </c>
      <c r="J514" s="224"/>
      <c r="K514" s="224"/>
      <c r="L514" s="224">
        <f t="shared" si="32"/>
        <v>0</v>
      </c>
      <c r="M514" s="224"/>
      <c r="N514" s="224"/>
      <c r="O514" s="224">
        <f t="shared" ref="O514:O560" si="34">M514+(N514*31)</f>
        <v>0</v>
      </c>
      <c r="P514" s="105"/>
      <c r="Q514" s="103" t="s">
        <v>123</v>
      </c>
      <c r="R514" s="103"/>
      <c r="S514" s="104" t="s">
        <v>138</v>
      </c>
      <c r="T514" s="104"/>
      <c r="U514" s="110">
        <f>+(23*190000+18*10000+(929210+1350000)*1.07)*1.23</f>
        <v>8596168.2809999995</v>
      </c>
      <c r="V514" s="109"/>
      <c r="W514" s="110">
        <v>0</v>
      </c>
      <c r="X514" s="259">
        <v>0</v>
      </c>
      <c r="Y514" s="259">
        <v>0</v>
      </c>
      <c r="Z514" s="259">
        <v>0</v>
      </c>
      <c r="AA514" s="226">
        <f>+U514*0.235*0.3</f>
        <v>606029.8638104999</v>
      </c>
      <c r="AB514" s="219"/>
      <c r="AC514" s="219"/>
      <c r="AD514" s="219"/>
      <c r="AE514" s="219"/>
      <c r="AF514" s="219"/>
      <c r="AG514" s="100"/>
      <c r="AH514" s="230"/>
    </row>
    <row r="515" spans="1:34" s="229" customFormat="1" ht="76.5" hidden="1">
      <c r="A515" s="101">
        <f t="shared" si="33"/>
        <v>144</v>
      </c>
      <c r="B515" s="103" t="s">
        <v>1062</v>
      </c>
      <c r="C515" s="104" t="s">
        <v>945</v>
      </c>
      <c r="D515" s="103" t="s">
        <v>1063</v>
      </c>
      <c r="E515" s="104" t="s">
        <v>114</v>
      </c>
      <c r="F515" s="103" t="s">
        <v>91</v>
      </c>
      <c r="G515" s="106" t="s">
        <v>594</v>
      </c>
      <c r="H515" s="102" t="s">
        <v>584</v>
      </c>
      <c r="I515" s="103" t="s">
        <v>173</v>
      </c>
      <c r="J515" s="224"/>
      <c r="K515" s="224"/>
      <c r="L515" s="224">
        <f t="shared" si="32"/>
        <v>0</v>
      </c>
      <c r="M515" s="224"/>
      <c r="N515" s="224"/>
      <c r="O515" s="224">
        <f t="shared" si="34"/>
        <v>0</v>
      </c>
      <c r="P515" s="105"/>
      <c r="Q515" s="103" t="s">
        <v>123</v>
      </c>
      <c r="R515" s="103"/>
      <c r="S515" s="104" t="s">
        <v>138</v>
      </c>
      <c r="T515" s="104"/>
      <c r="U515" s="110">
        <f>+(20*190000+24*10000+(1823640+1714473+1293526+929210+16*1022001/14)*1.07)*1.23</f>
        <v>14088259.673014287</v>
      </c>
      <c r="V515" s="109"/>
      <c r="W515" s="110">
        <v>0</v>
      </c>
      <c r="X515" s="259">
        <v>0</v>
      </c>
      <c r="Y515" s="259">
        <v>0</v>
      </c>
      <c r="Z515" s="259">
        <v>0</v>
      </c>
      <c r="AA515" s="226">
        <v>0</v>
      </c>
      <c r="AB515" s="219"/>
      <c r="AC515" s="219"/>
      <c r="AD515" s="219"/>
      <c r="AE515" s="219"/>
      <c r="AF515" s="219"/>
      <c r="AG515" s="100"/>
      <c r="AH515" s="230"/>
    </row>
    <row r="516" spans="1:34" s="229" customFormat="1" ht="63.75" hidden="1">
      <c r="A516" s="101">
        <v>133</v>
      </c>
      <c r="B516" s="103" t="s">
        <v>1064</v>
      </c>
      <c r="C516" s="104" t="s">
        <v>1065</v>
      </c>
      <c r="D516" s="103" t="s">
        <v>1066</v>
      </c>
      <c r="E516" s="104" t="s">
        <v>114</v>
      </c>
      <c r="F516" s="103" t="s">
        <v>91</v>
      </c>
      <c r="G516" s="106" t="s">
        <v>580</v>
      </c>
      <c r="H516" s="102" t="s">
        <v>584</v>
      </c>
      <c r="I516" s="103" t="s">
        <v>278</v>
      </c>
      <c r="J516" s="224">
        <v>42278</v>
      </c>
      <c r="K516" s="224"/>
      <c r="L516" s="224">
        <f t="shared" si="32"/>
        <v>42278</v>
      </c>
      <c r="M516" s="224">
        <v>42643</v>
      </c>
      <c r="N516" s="224"/>
      <c r="O516" s="224">
        <f t="shared" si="34"/>
        <v>42643</v>
      </c>
      <c r="P516" s="105"/>
      <c r="Q516" s="103" t="s">
        <v>251</v>
      </c>
      <c r="R516" s="103"/>
      <c r="S516" s="104" t="s">
        <v>143</v>
      </c>
      <c r="T516" s="104"/>
      <c r="U516" s="110">
        <f>+(16*190000+270000*3+(929210+1050000+150000+1350000)*1.07)*1.23</f>
        <v>9314488.2809999995</v>
      </c>
      <c r="V516" s="109"/>
      <c r="W516" s="110">
        <v>0</v>
      </c>
      <c r="X516" s="259">
        <f>+U516*0.35</f>
        <v>3260070.8983499995</v>
      </c>
      <c r="Y516" s="259">
        <f>+U516-X516</f>
        <v>6054417.38265</v>
      </c>
      <c r="Z516" s="259">
        <v>0</v>
      </c>
      <c r="AA516" s="226">
        <f>+U516*0.01</f>
        <v>93144.882809999996</v>
      </c>
      <c r="AB516" s="219"/>
      <c r="AC516" s="219"/>
      <c r="AD516" s="219"/>
      <c r="AE516" s="219"/>
      <c r="AF516" s="219"/>
      <c r="AG516" s="100"/>
      <c r="AH516" s="230"/>
    </row>
    <row r="517" spans="1:34" s="229" customFormat="1" ht="63.75" hidden="1">
      <c r="A517" s="101">
        <f t="shared" si="33"/>
        <v>134</v>
      </c>
      <c r="B517" s="103" t="s">
        <v>1067</v>
      </c>
      <c r="C517" s="104" t="s">
        <v>945</v>
      </c>
      <c r="D517" s="103" t="s">
        <v>1069</v>
      </c>
      <c r="E517" s="104" t="s">
        <v>114</v>
      </c>
      <c r="F517" s="103" t="s">
        <v>91</v>
      </c>
      <c r="G517" s="106" t="s">
        <v>1068</v>
      </c>
      <c r="H517" s="102" t="s">
        <v>984</v>
      </c>
      <c r="I517" s="103" t="s">
        <v>278</v>
      </c>
      <c r="J517" s="224"/>
      <c r="K517" s="224"/>
      <c r="L517" s="224">
        <f t="shared" si="32"/>
        <v>0</v>
      </c>
      <c r="M517" s="224"/>
      <c r="N517" s="224"/>
      <c r="O517" s="224">
        <f t="shared" si="34"/>
        <v>0</v>
      </c>
      <c r="P517" s="105"/>
      <c r="Q517" s="103" t="s">
        <v>251</v>
      </c>
      <c r="R517" s="103"/>
      <c r="S517" s="104" t="s">
        <v>138</v>
      </c>
      <c r="T517" s="104"/>
      <c r="U517" s="110">
        <f>+(16*190000+450000+(12*1022001/14+750000+150000+1350000)*1.07)*1.23</f>
        <v>8406829.7280857135</v>
      </c>
      <c r="V517" s="109"/>
      <c r="W517" s="110">
        <v>0</v>
      </c>
      <c r="X517" s="259">
        <v>0</v>
      </c>
      <c r="Y517" s="259">
        <v>0</v>
      </c>
      <c r="Z517" s="259">
        <v>0</v>
      </c>
      <c r="AA517" s="226">
        <v>0</v>
      </c>
      <c r="AB517" s="219"/>
      <c r="AC517" s="219"/>
      <c r="AD517" s="219"/>
      <c r="AE517" s="219"/>
      <c r="AF517" s="219"/>
      <c r="AG517" s="100"/>
      <c r="AH517" s="230"/>
    </row>
    <row r="518" spans="1:34" s="229" customFormat="1" ht="89.25" hidden="1">
      <c r="A518" s="101">
        <v>134</v>
      </c>
      <c r="B518" s="103" t="s">
        <v>1070</v>
      </c>
      <c r="C518" s="104" t="s">
        <v>950</v>
      </c>
      <c r="D518" s="103" t="s">
        <v>1072</v>
      </c>
      <c r="E518" s="104" t="s">
        <v>114</v>
      </c>
      <c r="F518" s="103" t="s">
        <v>91</v>
      </c>
      <c r="G518" s="106" t="s">
        <v>1071</v>
      </c>
      <c r="H518" s="102" t="s">
        <v>588</v>
      </c>
      <c r="I518" s="103" t="s">
        <v>278</v>
      </c>
      <c r="J518" s="224">
        <v>42278</v>
      </c>
      <c r="K518" s="224"/>
      <c r="L518" s="224">
        <f t="shared" si="32"/>
        <v>42278</v>
      </c>
      <c r="M518" s="224">
        <v>42643</v>
      </c>
      <c r="N518" s="224"/>
      <c r="O518" s="224">
        <f t="shared" si="34"/>
        <v>42643</v>
      </c>
      <c r="P518" s="105"/>
      <c r="Q518" s="103" t="s">
        <v>251</v>
      </c>
      <c r="R518" s="103"/>
      <c r="S518" s="104" t="s">
        <v>143</v>
      </c>
      <c r="T518" s="104"/>
      <c r="U518" s="110">
        <f>+(16*190000+450000*2+270000*2+(929210+12*1022001/14+750000+150000+1350000)*1.07)*1.23</f>
        <v>10847463.009085715</v>
      </c>
      <c r="V518" s="109"/>
      <c r="W518" s="110">
        <v>0</v>
      </c>
      <c r="X518" s="259">
        <f>+U518*0.35</f>
        <v>3796612.0531799998</v>
      </c>
      <c r="Y518" s="259">
        <f>+U518-X518</f>
        <v>7050850.955905715</v>
      </c>
      <c r="Z518" s="259">
        <v>0</v>
      </c>
      <c r="AA518" s="226">
        <f>+U518*0.01</f>
        <v>108474.63009085716</v>
      </c>
      <c r="AB518" s="219"/>
      <c r="AC518" s="219"/>
      <c r="AD518" s="219"/>
      <c r="AE518" s="219"/>
      <c r="AF518" s="219"/>
      <c r="AG518" s="100"/>
      <c r="AH518" s="230"/>
    </row>
    <row r="519" spans="1:34" s="229" customFormat="1" ht="89.25" hidden="1">
      <c r="A519" s="101">
        <f t="shared" si="33"/>
        <v>135</v>
      </c>
      <c r="B519" s="103" t="s">
        <v>1073</v>
      </c>
      <c r="C519" s="104" t="s">
        <v>140</v>
      </c>
      <c r="D519" s="103" t="s">
        <v>1074</v>
      </c>
      <c r="E519" s="104" t="s">
        <v>114</v>
      </c>
      <c r="F519" s="103" t="s">
        <v>91</v>
      </c>
      <c r="G519" s="106" t="s">
        <v>957</v>
      </c>
      <c r="H519" s="102" t="s">
        <v>957</v>
      </c>
      <c r="I519" s="103" t="s">
        <v>278</v>
      </c>
      <c r="J519" s="224">
        <v>42278</v>
      </c>
      <c r="K519" s="224"/>
      <c r="L519" s="224">
        <f t="shared" si="32"/>
        <v>42278</v>
      </c>
      <c r="M519" s="224">
        <v>42643</v>
      </c>
      <c r="N519" s="224"/>
      <c r="O519" s="224">
        <f t="shared" si="34"/>
        <v>42643</v>
      </c>
      <c r="P519" s="105"/>
      <c r="Q519" s="103" t="s">
        <v>251</v>
      </c>
      <c r="R519" s="103"/>
      <c r="S519" s="104" t="s">
        <v>143</v>
      </c>
      <c r="T519" s="104"/>
      <c r="U519" s="110">
        <f>+(33*190000+450000*2+270000+35*10000+(1823640+929210+1350000+150000+750000)*1.07)*1.23</f>
        <v>16165950.885</v>
      </c>
      <c r="V519" s="109"/>
      <c r="W519" s="110">
        <v>0</v>
      </c>
      <c r="X519" s="259">
        <f>+U519*0.35</f>
        <v>5658082.80975</v>
      </c>
      <c r="Y519" s="259">
        <f>+U519-X519</f>
        <v>10507868.07525</v>
      </c>
      <c r="Z519" s="259">
        <v>0</v>
      </c>
      <c r="AA519" s="226">
        <f>+U519*0.01</f>
        <v>161659.50885000001</v>
      </c>
      <c r="AB519" s="219"/>
      <c r="AC519" s="219"/>
      <c r="AD519" s="219"/>
      <c r="AE519" s="219"/>
      <c r="AF519" s="219"/>
      <c r="AG519" s="100"/>
      <c r="AH519" s="230"/>
    </row>
    <row r="520" spans="1:34" s="229" customFormat="1" ht="76.5" hidden="1">
      <c r="A520" s="101">
        <f t="shared" si="33"/>
        <v>136</v>
      </c>
      <c r="B520" s="103" t="s">
        <v>1075</v>
      </c>
      <c r="C520" s="104" t="s">
        <v>945</v>
      </c>
      <c r="D520" s="103" t="s">
        <v>1076</v>
      </c>
      <c r="E520" s="104" t="s">
        <v>114</v>
      </c>
      <c r="F520" s="103" t="s">
        <v>91</v>
      </c>
      <c r="G520" s="106" t="s">
        <v>908</v>
      </c>
      <c r="H520" s="102" t="s">
        <v>584</v>
      </c>
      <c r="I520" s="103" t="s">
        <v>278</v>
      </c>
      <c r="J520" s="224"/>
      <c r="K520" s="224"/>
      <c r="L520" s="224">
        <f t="shared" si="32"/>
        <v>0</v>
      </c>
      <c r="M520" s="224"/>
      <c r="N520" s="224"/>
      <c r="O520" s="224">
        <f t="shared" si="34"/>
        <v>0</v>
      </c>
      <c r="P520" s="105"/>
      <c r="Q520" s="103" t="s">
        <v>251</v>
      </c>
      <c r="R520" s="103"/>
      <c r="S520" s="104" t="s">
        <v>138</v>
      </c>
      <c r="T520" s="104"/>
      <c r="U520" s="110">
        <f>+(25*190000+450000*2+270000+35*10000+(1823640+929210+1350000+150000+750000)*1.07)*1.23</f>
        <v>14296350.885</v>
      </c>
      <c r="V520" s="109"/>
      <c r="W520" s="110">
        <v>0</v>
      </c>
      <c r="X520" s="259">
        <v>0</v>
      </c>
      <c r="Y520" s="259">
        <v>0</v>
      </c>
      <c r="Z520" s="259">
        <v>0</v>
      </c>
      <c r="AA520" s="226">
        <v>0</v>
      </c>
      <c r="AB520" s="219"/>
      <c r="AC520" s="219"/>
      <c r="AD520" s="219"/>
      <c r="AE520" s="219"/>
      <c r="AF520" s="219"/>
      <c r="AG520" s="100"/>
      <c r="AH520" s="230"/>
    </row>
    <row r="521" spans="1:34" s="229" customFormat="1" ht="63.75" hidden="1">
      <c r="A521" s="101">
        <f t="shared" si="33"/>
        <v>137</v>
      </c>
      <c r="B521" s="103" t="s">
        <v>1077</v>
      </c>
      <c r="C521" s="104" t="s">
        <v>945</v>
      </c>
      <c r="D521" s="103" t="s">
        <v>1078</v>
      </c>
      <c r="E521" s="104" t="s">
        <v>114</v>
      </c>
      <c r="F521" s="103" t="s">
        <v>91</v>
      </c>
      <c r="G521" s="106" t="s">
        <v>1030</v>
      </c>
      <c r="H521" s="102" t="s">
        <v>984</v>
      </c>
      <c r="I521" s="103" t="s">
        <v>278</v>
      </c>
      <c r="J521" s="224"/>
      <c r="K521" s="224"/>
      <c r="L521" s="224">
        <f t="shared" si="32"/>
        <v>0</v>
      </c>
      <c r="M521" s="224"/>
      <c r="N521" s="224"/>
      <c r="O521" s="224">
        <f t="shared" si="34"/>
        <v>0</v>
      </c>
      <c r="P521" s="105"/>
      <c r="Q521" s="103" t="s">
        <v>251</v>
      </c>
      <c r="R521" s="103"/>
      <c r="S521" s="104" t="s">
        <v>138</v>
      </c>
      <c r="T521" s="104"/>
      <c r="U521" s="110">
        <f>+(16*190000+450000+(1293526+929210+750000+150000+1350000)*1.07)*1.23</f>
        <v>10179267.8496</v>
      </c>
      <c r="V521" s="109"/>
      <c r="W521" s="110">
        <v>0</v>
      </c>
      <c r="X521" s="259">
        <v>0</v>
      </c>
      <c r="Y521" s="259">
        <v>0</v>
      </c>
      <c r="Z521" s="259">
        <v>0</v>
      </c>
      <c r="AA521" s="226">
        <v>0</v>
      </c>
      <c r="AB521" s="219"/>
      <c r="AC521" s="219"/>
      <c r="AD521" s="219"/>
      <c r="AE521" s="219"/>
      <c r="AF521" s="219"/>
      <c r="AG521" s="100"/>
      <c r="AH521" s="230"/>
    </row>
    <row r="522" spans="1:34" s="229" customFormat="1" ht="63.75" hidden="1">
      <c r="A522" s="101">
        <v>136</v>
      </c>
      <c r="B522" s="103" t="s">
        <v>1079</v>
      </c>
      <c r="C522" s="104" t="s">
        <v>945</v>
      </c>
      <c r="D522" s="103" t="s">
        <v>1080</v>
      </c>
      <c r="E522" s="104" t="s">
        <v>114</v>
      </c>
      <c r="F522" s="103" t="s">
        <v>91</v>
      </c>
      <c r="G522" s="106" t="s">
        <v>1057</v>
      </c>
      <c r="H522" s="102" t="s">
        <v>1057</v>
      </c>
      <c r="I522" s="103" t="s">
        <v>278</v>
      </c>
      <c r="J522" s="224">
        <v>42278</v>
      </c>
      <c r="K522" s="224"/>
      <c r="L522" s="224">
        <f t="shared" si="32"/>
        <v>42278</v>
      </c>
      <c r="M522" s="224">
        <v>42643</v>
      </c>
      <c r="N522" s="224"/>
      <c r="O522" s="224">
        <f t="shared" si="34"/>
        <v>42643</v>
      </c>
      <c r="P522" s="105"/>
      <c r="Q522" s="103" t="s">
        <v>251</v>
      </c>
      <c r="R522" s="103"/>
      <c r="S522" s="104" t="s">
        <v>143</v>
      </c>
      <c r="T522" s="104"/>
      <c r="U522" s="110">
        <f>+(35*190000+450000+270000+17*10000+(929210+1350713+1350000+150000+1050000)*1.07)*1.23</f>
        <v>15630861.6603</v>
      </c>
      <c r="V522" s="109"/>
      <c r="W522" s="110">
        <v>0</v>
      </c>
      <c r="X522" s="259">
        <f>+U522*0.35</f>
        <v>5470801.5811049994</v>
      </c>
      <c r="Y522" s="259">
        <f>+U522-X522</f>
        <v>10160060.079195</v>
      </c>
      <c r="Z522" s="259">
        <v>0</v>
      </c>
      <c r="AA522" s="226">
        <f>+U522*0.01</f>
        <v>156308.616603</v>
      </c>
      <c r="AB522" s="219"/>
      <c r="AC522" s="219"/>
      <c r="AD522" s="219"/>
      <c r="AE522" s="219"/>
      <c r="AF522" s="219"/>
      <c r="AG522" s="100"/>
      <c r="AH522" s="230"/>
    </row>
    <row r="523" spans="1:34" s="229" customFormat="1" ht="76.5" hidden="1">
      <c r="A523" s="101">
        <f t="shared" si="33"/>
        <v>137</v>
      </c>
      <c r="B523" s="103" t="s">
        <v>1081</v>
      </c>
      <c r="C523" s="104" t="s">
        <v>134</v>
      </c>
      <c r="D523" s="103" t="s">
        <v>1082</v>
      </c>
      <c r="E523" s="104" t="s">
        <v>114</v>
      </c>
      <c r="F523" s="103" t="s">
        <v>91</v>
      </c>
      <c r="G523" s="106" t="s">
        <v>992</v>
      </c>
      <c r="H523" s="102" t="s">
        <v>588</v>
      </c>
      <c r="I523" s="103" t="s">
        <v>278</v>
      </c>
      <c r="J523" s="224"/>
      <c r="K523" s="224"/>
      <c r="L523" s="224">
        <f t="shared" si="32"/>
        <v>0</v>
      </c>
      <c r="M523" s="224"/>
      <c r="N523" s="224"/>
      <c r="O523" s="224">
        <f t="shared" si="34"/>
        <v>0</v>
      </c>
      <c r="P523" s="105"/>
      <c r="Q523" s="103" t="s">
        <v>251</v>
      </c>
      <c r="R523" s="103"/>
      <c r="S523" s="104" t="s">
        <v>138</v>
      </c>
      <c r="T523" s="104"/>
      <c r="U523" s="110">
        <f>+(10*190000+(3658606+1293526+929210+12*1022001/14+750000+150000+1350000)*1.07)*1.23</f>
        <v>14191563.934285715</v>
      </c>
      <c r="V523" s="109"/>
      <c r="W523" s="110">
        <v>0</v>
      </c>
      <c r="X523" s="259">
        <v>0</v>
      </c>
      <c r="Y523" s="260">
        <f>+U523*0.235*0.3</f>
        <v>1000505.2573671428</v>
      </c>
      <c r="Z523" s="259">
        <f>+U523-Y523-AA523</f>
        <v>12481480.480204286</v>
      </c>
      <c r="AA523" s="226">
        <f>+U523*0.05</f>
        <v>709578.19671428576</v>
      </c>
      <c r="AB523" s="219"/>
      <c r="AC523" s="219"/>
      <c r="AD523" s="219"/>
      <c r="AE523" s="219"/>
      <c r="AF523" s="219"/>
      <c r="AG523" s="100"/>
      <c r="AH523" s="230"/>
    </row>
    <row r="524" spans="1:34" s="229" customFormat="1" ht="51" hidden="1">
      <c r="A524" s="101">
        <f t="shared" si="33"/>
        <v>138</v>
      </c>
      <c r="B524" s="103" t="s">
        <v>1083</v>
      </c>
      <c r="C524" s="104" t="s">
        <v>945</v>
      </c>
      <c r="D524" s="103" t="s">
        <v>1084</v>
      </c>
      <c r="E524" s="104" t="s">
        <v>114</v>
      </c>
      <c r="F524" s="103" t="s">
        <v>91</v>
      </c>
      <c r="G524" s="106" t="s">
        <v>594</v>
      </c>
      <c r="H524" s="102" t="s">
        <v>584</v>
      </c>
      <c r="I524" s="103" t="s">
        <v>278</v>
      </c>
      <c r="J524" s="224"/>
      <c r="K524" s="224"/>
      <c r="L524" s="224">
        <f t="shared" si="32"/>
        <v>0</v>
      </c>
      <c r="M524" s="224"/>
      <c r="N524" s="224"/>
      <c r="O524" s="224">
        <f t="shared" si="34"/>
        <v>0</v>
      </c>
      <c r="P524" s="105"/>
      <c r="Q524" s="103" t="s">
        <v>251</v>
      </c>
      <c r="R524" s="103"/>
      <c r="S524" s="104" t="s">
        <v>138</v>
      </c>
      <c r="T524" s="104"/>
      <c r="U524" s="110">
        <f>+(24*190000+(3658606+929210+1293526+750000+150000)*1.07)*1.23</f>
        <v>14533724.206200002</v>
      </c>
      <c r="V524" s="109"/>
      <c r="W524" s="110">
        <v>0</v>
      </c>
      <c r="X524" s="259">
        <v>0</v>
      </c>
      <c r="Y524" s="259">
        <v>0</v>
      </c>
      <c r="Z524" s="259">
        <v>0</v>
      </c>
      <c r="AA524" s="226">
        <v>0</v>
      </c>
      <c r="AB524" s="219"/>
      <c r="AC524" s="219"/>
      <c r="AD524" s="219"/>
      <c r="AE524" s="219"/>
      <c r="AF524" s="219"/>
      <c r="AG524" s="100"/>
      <c r="AH524" s="230"/>
    </row>
    <row r="525" spans="1:34" s="229" customFormat="1" ht="63.75" hidden="1">
      <c r="A525" s="101">
        <f t="shared" si="33"/>
        <v>139</v>
      </c>
      <c r="B525" s="103" t="s">
        <v>1085</v>
      </c>
      <c r="C525" s="104" t="s">
        <v>950</v>
      </c>
      <c r="D525" s="103" t="s">
        <v>1086</v>
      </c>
      <c r="E525" s="104" t="s">
        <v>114</v>
      </c>
      <c r="F525" s="103" t="s">
        <v>91</v>
      </c>
      <c r="G525" s="106" t="s">
        <v>1068</v>
      </c>
      <c r="H525" s="102" t="s">
        <v>984</v>
      </c>
      <c r="I525" s="103" t="s">
        <v>278</v>
      </c>
      <c r="J525" s="224"/>
      <c r="K525" s="224"/>
      <c r="L525" s="224">
        <f t="shared" si="32"/>
        <v>0</v>
      </c>
      <c r="M525" s="224"/>
      <c r="N525" s="224"/>
      <c r="O525" s="224">
        <f t="shared" si="34"/>
        <v>0</v>
      </c>
      <c r="P525" s="105"/>
      <c r="Q525" s="103" t="s">
        <v>251</v>
      </c>
      <c r="R525" s="103"/>
      <c r="S525" s="104" t="s">
        <v>138</v>
      </c>
      <c r="T525" s="104"/>
      <c r="U525" s="110">
        <f>+((16*190000+450000+24*10000+270000)+(1293526+750000+150000+1350000)*1.07)*1.23</f>
        <v>9583634.5686000008</v>
      </c>
      <c r="V525" s="109"/>
      <c r="W525" s="110">
        <v>0</v>
      </c>
      <c r="X525" s="259">
        <v>0</v>
      </c>
      <c r="Y525" s="259">
        <v>0</v>
      </c>
      <c r="Z525" s="259">
        <v>0</v>
      </c>
      <c r="AA525" s="226">
        <f>+U525*0.235*0.3</f>
        <v>675646.23708629992</v>
      </c>
      <c r="AB525" s="219"/>
      <c r="AC525" s="219"/>
      <c r="AD525" s="219"/>
      <c r="AE525" s="219"/>
      <c r="AF525" s="219"/>
      <c r="AG525" s="100"/>
      <c r="AH525" s="230"/>
    </row>
    <row r="526" spans="1:34" s="229" customFormat="1" ht="51" hidden="1">
      <c r="A526" s="101">
        <f t="shared" si="33"/>
        <v>140</v>
      </c>
      <c r="B526" s="103" t="s">
        <v>1087</v>
      </c>
      <c r="C526" s="104" t="s">
        <v>950</v>
      </c>
      <c r="D526" s="103" t="s">
        <v>1088</v>
      </c>
      <c r="E526" s="104" t="s">
        <v>114</v>
      </c>
      <c r="F526" s="103" t="s">
        <v>91</v>
      </c>
      <c r="G526" s="106" t="s">
        <v>197</v>
      </c>
      <c r="H526" s="102" t="s">
        <v>584</v>
      </c>
      <c r="I526" s="103" t="s">
        <v>278</v>
      </c>
      <c r="J526" s="224"/>
      <c r="K526" s="224"/>
      <c r="L526" s="224">
        <f t="shared" si="32"/>
        <v>0</v>
      </c>
      <c r="M526" s="224"/>
      <c r="N526" s="224"/>
      <c r="O526" s="224">
        <f t="shared" si="34"/>
        <v>0</v>
      </c>
      <c r="P526" s="105"/>
      <c r="Q526" s="103" t="s">
        <v>251</v>
      </c>
      <c r="R526" s="103"/>
      <c r="S526" s="104" t="s">
        <v>138</v>
      </c>
      <c r="T526" s="104"/>
      <c r="U526" s="110">
        <f>+(28*190000+450000+270000*2+24*10000)*1.23</f>
        <v>8056500</v>
      </c>
      <c r="V526" s="109"/>
      <c r="W526" s="110">
        <v>0</v>
      </c>
      <c r="X526" s="259">
        <v>0</v>
      </c>
      <c r="Y526" s="259">
        <v>0</v>
      </c>
      <c r="Z526" s="259">
        <v>0</v>
      </c>
      <c r="AA526" s="226">
        <v>0</v>
      </c>
      <c r="AB526" s="219"/>
      <c r="AC526" s="219"/>
      <c r="AD526" s="219"/>
      <c r="AE526" s="219"/>
      <c r="AF526" s="219"/>
      <c r="AG526" s="100"/>
      <c r="AH526" s="230"/>
    </row>
    <row r="527" spans="1:34" s="229" customFormat="1" ht="76.5" hidden="1">
      <c r="A527" s="101">
        <f t="shared" si="33"/>
        <v>141</v>
      </c>
      <c r="B527" s="103" t="s">
        <v>1089</v>
      </c>
      <c r="C527" s="104" t="s">
        <v>945</v>
      </c>
      <c r="D527" s="103" t="s">
        <v>1090</v>
      </c>
      <c r="E527" s="104" t="s">
        <v>114</v>
      </c>
      <c r="F527" s="103" t="s">
        <v>91</v>
      </c>
      <c r="G527" s="106" t="s">
        <v>908</v>
      </c>
      <c r="H527" s="102" t="s">
        <v>584</v>
      </c>
      <c r="I527" s="103" t="s">
        <v>278</v>
      </c>
      <c r="J527" s="224"/>
      <c r="K527" s="224"/>
      <c r="L527" s="224">
        <f t="shared" si="32"/>
        <v>0</v>
      </c>
      <c r="M527" s="224"/>
      <c r="N527" s="224"/>
      <c r="O527" s="224">
        <f t="shared" si="34"/>
        <v>0</v>
      </c>
      <c r="P527" s="105"/>
      <c r="Q527" s="103" t="s">
        <v>251</v>
      </c>
      <c r="R527" s="103"/>
      <c r="S527" s="104" t="s">
        <v>138</v>
      </c>
      <c r="T527" s="104"/>
      <c r="U527" s="110">
        <f>+((18*190000+450000+22*10000)+1350000+(1293526+929210+750000+150000)*1.07)*1.23</f>
        <v>10801032.849599998</v>
      </c>
      <c r="V527" s="109"/>
      <c r="W527" s="110">
        <v>0</v>
      </c>
      <c r="X527" s="259">
        <v>0</v>
      </c>
      <c r="Y527" s="259">
        <f>+U527*0.235*0.3</f>
        <v>761472.81589679979</v>
      </c>
      <c r="Z527" s="259">
        <f>+U527-Y527</f>
        <v>10039560.033703199</v>
      </c>
      <c r="AA527" s="226">
        <v>0</v>
      </c>
      <c r="AB527" s="219"/>
      <c r="AC527" s="219"/>
      <c r="AD527" s="219"/>
      <c r="AE527" s="219"/>
      <c r="AF527" s="219"/>
      <c r="AG527" s="100"/>
      <c r="AH527" s="230"/>
    </row>
    <row r="528" spans="1:34" s="229" customFormat="1" ht="76.5" hidden="1">
      <c r="A528" s="101">
        <f t="shared" si="33"/>
        <v>142</v>
      </c>
      <c r="B528" s="103" t="s">
        <v>1091</v>
      </c>
      <c r="C528" s="104" t="s">
        <v>945</v>
      </c>
      <c r="D528" s="103" t="s">
        <v>1092</v>
      </c>
      <c r="E528" s="104" t="s">
        <v>114</v>
      </c>
      <c r="F528" s="103" t="s">
        <v>91</v>
      </c>
      <c r="G528" s="106" t="s">
        <v>594</v>
      </c>
      <c r="H528" s="102" t="s">
        <v>584</v>
      </c>
      <c r="I528" s="103" t="s">
        <v>278</v>
      </c>
      <c r="J528" s="224"/>
      <c r="K528" s="224"/>
      <c r="L528" s="224">
        <f t="shared" si="32"/>
        <v>0</v>
      </c>
      <c r="M528" s="224"/>
      <c r="N528" s="224"/>
      <c r="O528" s="224">
        <f t="shared" si="34"/>
        <v>0</v>
      </c>
      <c r="P528" s="105"/>
      <c r="Q528" s="103" t="s">
        <v>251</v>
      </c>
      <c r="R528" s="103"/>
      <c r="S528" s="104" t="s">
        <v>138</v>
      </c>
      <c r="T528" s="104"/>
      <c r="U528" s="110">
        <f>+((23*190000+450000+18*10000)+1350000+(929210+750000+150000)*1.07)*1.23</f>
        <v>10217923.280999999</v>
      </c>
      <c r="V528" s="109"/>
      <c r="W528" s="110">
        <v>0</v>
      </c>
      <c r="X528" s="259">
        <v>0</v>
      </c>
      <c r="Y528" s="259">
        <v>0</v>
      </c>
      <c r="Z528" s="259">
        <v>0</v>
      </c>
      <c r="AA528" s="226">
        <f>+U528*0.235*0.3</f>
        <v>720363.59131049993</v>
      </c>
      <c r="AB528" s="219"/>
      <c r="AC528" s="219"/>
      <c r="AD528" s="219"/>
      <c r="AE528" s="219"/>
      <c r="AF528" s="219"/>
      <c r="AG528" s="100"/>
      <c r="AH528" s="230"/>
    </row>
    <row r="529" spans="1:34" s="229" customFormat="1" ht="76.5" hidden="1">
      <c r="A529" s="101">
        <f t="shared" si="33"/>
        <v>143</v>
      </c>
      <c r="B529" s="103" t="s">
        <v>1093</v>
      </c>
      <c r="C529" s="104" t="s">
        <v>134</v>
      </c>
      <c r="D529" s="103" t="s">
        <v>1082</v>
      </c>
      <c r="E529" s="104" t="s">
        <v>114</v>
      </c>
      <c r="F529" s="103" t="s">
        <v>91</v>
      </c>
      <c r="G529" s="106" t="s">
        <v>1030</v>
      </c>
      <c r="H529" s="102" t="s">
        <v>984</v>
      </c>
      <c r="I529" s="103" t="s">
        <v>278</v>
      </c>
      <c r="J529" s="224"/>
      <c r="K529" s="224"/>
      <c r="L529" s="224">
        <f t="shared" si="32"/>
        <v>0</v>
      </c>
      <c r="M529" s="224"/>
      <c r="N529" s="224"/>
      <c r="O529" s="224">
        <f t="shared" si="34"/>
        <v>0</v>
      </c>
      <c r="P529" s="105"/>
      <c r="Q529" s="103" t="s">
        <v>251</v>
      </c>
      <c r="R529" s="103"/>
      <c r="S529" s="104" t="s">
        <v>138</v>
      </c>
      <c r="T529" s="104"/>
      <c r="U529" s="110">
        <f>+((10*190000)+(3658606+1293526+929210+12*1022001/14+750000+150000+13500000)*1.07)*1.23</f>
        <v>30182178.934285715</v>
      </c>
      <c r="V529" s="109"/>
      <c r="W529" s="110">
        <v>0</v>
      </c>
      <c r="X529" s="259">
        <v>0</v>
      </c>
      <c r="Y529" s="259">
        <v>0</v>
      </c>
      <c r="Z529" s="259">
        <v>0</v>
      </c>
      <c r="AA529" s="226">
        <v>0</v>
      </c>
      <c r="AB529" s="219"/>
      <c r="AC529" s="219"/>
      <c r="AD529" s="219"/>
      <c r="AE529" s="219"/>
      <c r="AF529" s="219"/>
      <c r="AG529" s="100"/>
      <c r="AH529" s="230"/>
    </row>
    <row r="530" spans="1:34" s="229" customFormat="1" ht="63.75" hidden="1">
      <c r="A530" s="101">
        <v>137</v>
      </c>
      <c r="B530" s="103" t="s">
        <v>1094</v>
      </c>
      <c r="C530" s="104" t="s">
        <v>950</v>
      </c>
      <c r="D530" s="103" t="s">
        <v>1095</v>
      </c>
      <c r="E530" s="104" t="s">
        <v>114</v>
      </c>
      <c r="F530" s="103" t="s">
        <v>91</v>
      </c>
      <c r="G530" s="106" t="s">
        <v>946</v>
      </c>
      <c r="H530" s="102" t="s">
        <v>31</v>
      </c>
      <c r="I530" s="103" t="s">
        <v>278</v>
      </c>
      <c r="J530" s="224">
        <v>42278</v>
      </c>
      <c r="K530" s="224"/>
      <c r="L530" s="224">
        <f t="shared" si="32"/>
        <v>42278</v>
      </c>
      <c r="M530" s="224">
        <v>42643</v>
      </c>
      <c r="N530" s="224"/>
      <c r="O530" s="224">
        <f t="shared" si="34"/>
        <v>42643</v>
      </c>
      <c r="P530" s="105"/>
      <c r="Q530" s="103" t="s">
        <v>251</v>
      </c>
      <c r="R530" s="103"/>
      <c r="S530" s="104" t="s">
        <v>143</v>
      </c>
      <c r="T530" s="104"/>
      <c r="U530" s="110">
        <f>+((16*190000+450000+1350000+18*10000)+9292101.07*1.07)*1.23</f>
        <v>18403934.218227003</v>
      </c>
      <c r="V530" s="109"/>
      <c r="W530" s="110">
        <v>0</v>
      </c>
      <c r="X530" s="259">
        <f>+U530*0.35</f>
        <v>6441376.9763794504</v>
      </c>
      <c r="Y530" s="259">
        <f>+U530-X530</f>
        <v>11962557.241847552</v>
      </c>
      <c r="Z530" s="259">
        <v>0</v>
      </c>
      <c r="AA530" s="226">
        <f>+U530*0.01</f>
        <v>184039.34218227002</v>
      </c>
      <c r="AB530" s="219"/>
      <c r="AC530" s="219"/>
      <c r="AD530" s="219"/>
      <c r="AE530" s="219"/>
      <c r="AF530" s="219"/>
      <c r="AG530" s="100"/>
      <c r="AH530" s="230"/>
    </row>
    <row r="531" spans="1:34" s="229" customFormat="1" ht="76.5" hidden="1">
      <c r="A531" s="101">
        <f t="shared" si="33"/>
        <v>138</v>
      </c>
      <c r="B531" s="103" t="s">
        <v>1096</v>
      </c>
      <c r="C531" s="104" t="s">
        <v>945</v>
      </c>
      <c r="D531" s="103" t="s">
        <v>1097</v>
      </c>
      <c r="E531" s="104" t="s">
        <v>114</v>
      </c>
      <c r="F531" s="103" t="s">
        <v>91</v>
      </c>
      <c r="G531" s="106" t="s">
        <v>1057</v>
      </c>
      <c r="H531" s="102" t="s">
        <v>1057</v>
      </c>
      <c r="I531" s="103" t="s">
        <v>278</v>
      </c>
      <c r="J531" s="224">
        <v>42278</v>
      </c>
      <c r="K531" s="224"/>
      <c r="L531" s="224">
        <f t="shared" si="32"/>
        <v>42278</v>
      </c>
      <c r="M531" s="224">
        <v>42643</v>
      </c>
      <c r="N531" s="224"/>
      <c r="O531" s="224">
        <f t="shared" si="34"/>
        <v>42643</v>
      </c>
      <c r="P531" s="105"/>
      <c r="Q531" s="103" t="s">
        <v>251</v>
      </c>
      <c r="R531" s="103"/>
      <c r="S531" s="104" t="s">
        <v>143</v>
      </c>
      <c r="T531" s="104"/>
      <c r="U531" s="110">
        <f>+((30*190000+450000+22*10000)+(1823640+1293526+929210+750000+150000)*1.07)*1.23</f>
        <v>14345025.453600001</v>
      </c>
      <c r="V531" s="109"/>
      <c r="W531" s="110">
        <v>0</v>
      </c>
      <c r="X531" s="259">
        <f>+U531*0.35</f>
        <v>5020758.90876</v>
      </c>
      <c r="Y531" s="259">
        <f>+U531-X531</f>
        <v>9324266.5448400006</v>
      </c>
      <c r="Z531" s="259">
        <v>0</v>
      </c>
      <c r="AA531" s="226">
        <f>+U531*0.01</f>
        <v>143450.25453600002</v>
      </c>
      <c r="AB531" s="219"/>
      <c r="AC531" s="219"/>
      <c r="AD531" s="219"/>
      <c r="AE531" s="219"/>
      <c r="AF531" s="219"/>
      <c r="AG531" s="100"/>
      <c r="AH531" s="230"/>
    </row>
    <row r="532" spans="1:34" s="229" customFormat="1" ht="63.75" hidden="1">
      <c r="A532" s="101">
        <f t="shared" si="33"/>
        <v>139</v>
      </c>
      <c r="B532" s="103" t="s">
        <v>1098</v>
      </c>
      <c r="C532" s="104" t="s">
        <v>945</v>
      </c>
      <c r="D532" s="103" t="s">
        <v>1100</v>
      </c>
      <c r="E532" s="104" t="s">
        <v>114</v>
      </c>
      <c r="F532" s="103" t="s">
        <v>91</v>
      </c>
      <c r="G532" s="106" t="s">
        <v>1099</v>
      </c>
      <c r="H532" s="102" t="s">
        <v>984</v>
      </c>
      <c r="I532" s="103" t="s">
        <v>278</v>
      </c>
      <c r="J532" s="224"/>
      <c r="K532" s="224"/>
      <c r="L532" s="224">
        <f t="shared" si="32"/>
        <v>0</v>
      </c>
      <c r="M532" s="224"/>
      <c r="N532" s="224"/>
      <c r="O532" s="224">
        <f t="shared" si="34"/>
        <v>0</v>
      </c>
      <c r="P532" s="105"/>
      <c r="Q532" s="103" t="s">
        <v>251</v>
      </c>
      <c r="R532" s="103"/>
      <c r="S532" s="104" t="s">
        <v>138</v>
      </c>
      <c r="T532" s="104"/>
      <c r="U532" s="110">
        <f>+((16*190000+450000)+(1293526+12*1022001/14+750000+150000+1350000)*1.07)*1.23</f>
        <v>10109239.296685714</v>
      </c>
      <c r="V532" s="109"/>
      <c r="W532" s="110">
        <v>0</v>
      </c>
      <c r="X532" s="259">
        <v>0</v>
      </c>
      <c r="Y532" s="259">
        <v>0</v>
      </c>
      <c r="Z532" s="259">
        <v>0</v>
      </c>
      <c r="AA532" s="226">
        <v>0</v>
      </c>
      <c r="AB532" s="219"/>
      <c r="AC532" s="219"/>
      <c r="AD532" s="219"/>
      <c r="AE532" s="219"/>
      <c r="AF532" s="219"/>
      <c r="AG532" s="100"/>
      <c r="AH532" s="230"/>
    </row>
    <row r="533" spans="1:34" s="229" customFormat="1" ht="63.75" hidden="1">
      <c r="A533" s="101">
        <v>139</v>
      </c>
      <c r="B533" s="103" t="s">
        <v>1101</v>
      </c>
      <c r="C533" s="104" t="s">
        <v>945</v>
      </c>
      <c r="D533" s="103" t="s">
        <v>1102</v>
      </c>
      <c r="E533" s="104" t="s">
        <v>114</v>
      </c>
      <c r="F533" s="103" t="s">
        <v>91</v>
      </c>
      <c r="G533" s="106" t="s">
        <v>1068</v>
      </c>
      <c r="H533" s="102" t="s">
        <v>984</v>
      </c>
      <c r="I533" s="103" t="s">
        <v>278</v>
      </c>
      <c r="J533" s="224">
        <v>42278</v>
      </c>
      <c r="K533" s="224"/>
      <c r="L533" s="224">
        <f t="shared" si="32"/>
        <v>42278</v>
      </c>
      <c r="M533" s="224">
        <v>42643</v>
      </c>
      <c r="N533" s="224"/>
      <c r="O533" s="224">
        <f t="shared" si="34"/>
        <v>42643</v>
      </c>
      <c r="P533" s="105"/>
      <c r="Q533" s="103" t="s">
        <v>251</v>
      </c>
      <c r="R533" s="103"/>
      <c r="S533" s="104" t="s">
        <v>143</v>
      </c>
      <c r="T533" s="104"/>
      <c r="U533" s="110">
        <f>+((16*190000)+(3658606+1823640+24*1022001/14+1293526+750000+150000+1350000)*1.07)*1.23</f>
        <v>17923827.985371429</v>
      </c>
      <c r="V533" s="109"/>
      <c r="W533" s="110">
        <v>0</v>
      </c>
      <c r="X533" s="259">
        <f>+U533*0.35</f>
        <v>6273339.7948799999</v>
      </c>
      <c r="Y533" s="259">
        <f>+U533-X533</f>
        <v>11650488.19049143</v>
      </c>
      <c r="Z533" s="259">
        <v>0</v>
      </c>
      <c r="AA533" s="226">
        <f>+U533*0.01</f>
        <v>179238.27985371431</v>
      </c>
      <c r="AB533" s="219"/>
      <c r="AC533" s="219"/>
      <c r="AD533" s="219"/>
      <c r="AE533" s="219"/>
      <c r="AF533" s="219"/>
      <c r="AG533" s="100"/>
      <c r="AH533" s="230"/>
    </row>
    <row r="534" spans="1:34" s="229" customFormat="1" ht="63.75" hidden="1">
      <c r="A534" s="101">
        <f t="shared" si="33"/>
        <v>140</v>
      </c>
      <c r="B534" s="103" t="s">
        <v>1103</v>
      </c>
      <c r="C534" s="104" t="s">
        <v>945</v>
      </c>
      <c r="D534" s="103" t="s">
        <v>1104</v>
      </c>
      <c r="E534" s="104" t="s">
        <v>114</v>
      </c>
      <c r="F534" s="103" t="s">
        <v>91</v>
      </c>
      <c r="G534" s="106" t="s">
        <v>992</v>
      </c>
      <c r="H534" s="102" t="s">
        <v>588</v>
      </c>
      <c r="I534" s="103" t="s">
        <v>278</v>
      </c>
      <c r="J534" s="224">
        <v>42278</v>
      </c>
      <c r="K534" s="224"/>
      <c r="L534" s="224">
        <f t="shared" si="32"/>
        <v>42278</v>
      </c>
      <c r="M534" s="224">
        <v>42643</v>
      </c>
      <c r="N534" s="224"/>
      <c r="O534" s="224">
        <f t="shared" si="34"/>
        <v>42643</v>
      </c>
      <c r="P534" s="105"/>
      <c r="Q534" s="103" t="s">
        <v>251</v>
      </c>
      <c r="R534" s="103"/>
      <c r="S534" s="104" t="s">
        <v>143</v>
      </c>
      <c r="T534" s="104"/>
      <c r="U534" s="110">
        <f>+((15*190000+450000)+(929210+1293526+1350713+750000+150000+1350000)*1.07)*1.23</f>
        <v>11723241.228899999</v>
      </c>
      <c r="V534" s="109"/>
      <c r="W534" s="110">
        <v>0</v>
      </c>
      <c r="X534" s="259">
        <f>+U534*0.35</f>
        <v>4103134.4301149994</v>
      </c>
      <c r="Y534" s="259">
        <f>+U534-X534</f>
        <v>7620106.7987849992</v>
      </c>
      <c r="Z534" s="259">
        <v>0</v>
      </c>
      <c r="AA534" s="226">
        <f>+U534*0.01</f>
        <v>117232.41228899999</v>
      </c>
      <c r="AB534" s="219"/>
      <c r="AC534" s="219"/>
      <c r="AD534" s="219"/>
      <c r="AE534" s="219"/>
      <c r="AF534" s="219"/>
      <c r="AG534" s="100"/>
      <c r="AH534" s="230"/>
    </row>
    <row r="535" spans="1:34" s="229" customFormat="1" ht="51" hidden="1">
      <c r="A535" s="101">
        <f t="shared" si="33"/>
        <v>141</v>
      </c>
      <c r="B535" s="103" t="s">
        <v>1105</v>
      </c>
      <c r="C535" s="104" t="s">
        <v>138</v>
      </c>
      <c r="D535" s="103" t="s">
        <v>1106</v>
      </c>
      <c r="E535" s="104" t="s">
        <v>114</v>
      </c>
      <c r="F535" s="103" t="s">
        <v>91</v>
      </c>
      <c r="G535" s="106" t="s">
        <v>908</v>
      </c>
      <c r="H535" s="102" t="s">
        <v>584</v>
      </c>
      <c r="I535" s="103" t="s">
        <v>278</v>
      </c>
      <c r="J535" s="224"/>
      <c r="K535" s="224"/>
      <c r="L535" s="224">
        <f t="shared" si="32"/>
        <v>0</v>
      </c>
      <c r="M535" s="224"/>
      <c r="N535" s="224"/>
      <c r="O535" s="224">
        <f t="shared" si="34"/>
        <v>0</v>
      </c>
      <c r="P535" s="105"/>
      <c r="Q535" s="103" t="s">
        <v>251</v>
      </c>
      <c r="R535" s="103"/>
      <c r="S535" s="104" t="s">
        <v>138</v>
      </c>
      <c r="T535" s="104"/>
      <c r="U535" s="110">
        <f>+(24*190000+450000*2+270000+140000+24*10000)*1.23</f>
        <v>7515300</v>
      </c>
      <c r="V535" s="109"/>
      <c r="W535" s="110">
        <v>0</v>
      </c>
      <c r="X535" s="259">
        <v>0</v>
      </c>
      <c r="Y535" s="259">
        <v>0</v>
      </c>
      <c r="Z535" s="259">
        <v>0</v>
      </c>
      <c r="AA535" s="226">
        <f>+U535*0.235*0.3</f>
        <v>529828.65</v>
      </c>
      <c r="AB535" s="219"/>
      <c r="AC535" s="219"/>
      <c r="AD535" s="219"/>
      <c r="AE535" s="219"/>
      <c r="AF535" s="219"/>
      <c r="AG535" s="100"/>
      <c r="AH535" s="230"/>
    </row>
    <row r="536" spans="1:34" s="229" customFormat="1" ht="51" hidden="1">
      <c r="A536" s="101">
        <f t="shared" si="33"/>
        <v>142</v>
      </c>
      <c r="B536" s="103" t="s">
        <v>1107</v>
      </c>
      <c r="C536" s="104" t="s">
        <v>950</v>
      </c>
      <c r="D536" s="103" t="s">
        <v>1109</v>
      </c>
      <c r="E536" s="104" t="s">
        <v>114</v>
      </c>
      <c r="F536" s="103" t="s">
        <v>91</v>
      </c>
      <c r="G536" s="106" t="s">
        <v>1108</v>
      </c>
      <c r="H536" s="102" t="s">
        <v>984</v>
      </c>
      <c r="I536" s="103" t="s">
        <v>278</v>
      </c>
      <c r="J536" s="224"/>
      <c r="K536" s="224"/>
      <c r="L536" s="224">
        <f t="shared" si="32"/>
        <v>0</v>
      </c>
      <c r="M536" s="224"/>
      <c r="N536" s="224"/>
      <c r="O536" s="224">
        <f t="shared" si="34"/>
        <v>0</v>
      </c>
      <c r="P536" s="105"/>
      <c r="Q536" s="103" t="s">
        <v>251</v>
      </c>
      <c r="R536" s="103"/>
      <c r="S536" s="104" t="s">
        <v>138</v>
      </c>
      <c r="T536" s="104"/>
      <c r="U536" s="110">
        <f>+(16*190000+450000+270000*2+12*10000)*1.23</f>
        <v>5104500</v>
      </c>
      <c r="V536" s="109"/>
      <c r="W536" s="110">
        <v>0</v>
      </c>
      <c r="X536" s="259">
        <v>0</v>
      </c>
      <c r="Y536" s="259">
        <v>0</v>
      </c>
      <c r="Z536" s="259">
        <v>0</v>
      </c>
      <c r="AA536" s="226">
        <f>+U536*0.235*0.3</f>
        <v>359867.25</v>
      </c>
      <c r="AB536" s="219"/>
      <c r="AC536" s="219"/>
      <c r="AD536" s="219"/>
      <c r="AE536" s="219"/>
      <c r="AF536" s="219"/>
      <c r="AG536" s="100"/>
      <c r="AH536" s="230"/>
    </row>
    <row r="537" spans="1:34" s="229" customFormat="1" ht="63.75" hidden="1">
      <c r="A537" s="101">
        <v>141</v>
      </c>
      <c r="B537" s="103" t="s">
        <v>1110</v>
      </c>
      <c r="C537" s="104" t="s">
        <v>950</v>
      </c>
      <c r="D537" s="103" t="s">
        <v>1111</v>
      </c>
      <c r="E537" s="104" t="s">
        <v>114</v>
      </c>
      <c r="F537" s="103" t="s">
        <v>91</v>
      </c>
      <c r="G537" s="106" t="s">
        <v>957</v>
      </c>
      <c r="H537" s="102" t="s">
        <v>957</v>
      </c>
      <c r="I537" s="103" t="s">
        <v>278</v>
      </c>
      <c r="J537" s="224">
        <v>42278</v>
      </c>
      <c r="K537" s="224"/>
      <c r="L537" s="224">
        <f t="shared" si="32"/>
        <v>42278</v>
      </c>
      <c r="M537" s="224">
        <v>42643</v>
      </c>
      <c r="N537" s="224"/>
      <c r="O537" s="224">
        <f t="shared" si="34"/>
        <v>42643</v>
      </c>
      <c r="P537" s="105"/>
      <c r="Q537" s="103" t="s">
        <v>251</v>
      </c>
      <c r="R537" s="103"/>
      <c r="S537" s="104" t="s">
        <v>143</v>
      </c>
      <c r="T537" s="104"/>
      <c r="U537" s="110">
        <f>+(17*190000+450000*2+270000*3+140000+1800000)*1.23</f>
        <v>8462400</v>
      </c>
      <c r="V537" s="109"/>
      <c r="W537" s="110">
        <v>0</v>
      </c>
      <c r="X537" s="259">
        <f>+U537*0.35</f>
        <v>2961840</v>
      </c>
      <c r="Y537" s="259">
        <f>+U537-X537</f>
        <v>5500560</v>
      </c>
      <c r="Z537" s="259">
        <v>0</v>
      </c>
      <c r="AA537" s="226">
        <f>+U537*0.01</f>
        <v>84624</v>
      </c>
      <c r="AB537" s="219"/>
      <c r="AC537" s="219"/>
      <c r="AD537" s="219"/>
      <c r="AE537" s="219"/>
      <c r="AF537" s="219"/>
      <c r="AG537" s="100"/>
      <c r="AH537" s="230"/>
    </row>
    <row r="538" spans="1:34" s="229" customFormat="1" ht="63.75" hidden="1">
      <c r="A538" s="101">
        <f t="shared" si="33"/>
        <v>142</v>
      </c>
      <c r="B538" s="103" t="s">
        <v>1112</v>
      </c>
      <c r="C538" s="104" t="s">
        <v>950</v>
      </c>
      <c r="D538" s="103" t="s">
        <v>1111</v>
      </c>
      <c r="E538" s="104" t="s">
        <v>114</v>
      </c>
      <c r="F538" s="103" t="s">
        <v>91</v>
      </c>
      <c r="G538" s="106" t="s">
        <v>1113</v>
      </c>
      <c r="H538" s="102" t="s">
        <v>31</v>
      </c>
      <c r="I538" s="103" t="s">
        <v>278</v>
      </c>
      <c r="J538" s="224">
        <v>42278</v>
      </c>
      <c r="K538" s="224"/>
      <c r="L538" s="224">
        <f t="shared" si="32"/>
        <v>42278</v>
      </c>
      <c r="M538" s="224">
        <v>42643</v>
      </c>
      <c r="N538" s="224"/>
      <c r="O538" s="224">
        <f t="shared" si="34"/>
        <v>42643</v>
      </c>
      <c r="P538" s="105"/>
      <c r="Q538" s="103" t="s">
        <v>251</v>
      </c>
      <c r="R538" s="103"/>
      <c r="S538" s="104" t="s">
        <v>143</v>
      </c>
      <c r="T538" s="104"/>
      <c r="U538" s="110">
        <f>+(17*190000+450000+270000*3+140000+450000+200000)*1.23</f>
        <v>6494400</v>
      </c>
      <c r="V538" s="109"/>
      <c r="W538" s="110">
        <v>0</v>
      </c>
      <c r="X538" s="259">
        <f>+U538*0.35</f>
        <v>2273040</v>
      </c>
      <c r="Y538" s="259">
        <f>+U538-X538</f>
        <v>4221360</v>
      </c>
      <c r="Z538" s="259">
        <v>0</v>
      </c>
      <c r="AA538" s="226">
        <f>+U538*0.01</f>
        <v>64944</v>
      </c>
      <c r="AB538" s="219"/>
      <c r="AC538" s="219"/>
      <c r="AD538" s="219"/>
      <c r="AE538" s="219"/>
      <c r="AF538" s="219"/>
      <c r="AG538" s="100"/>
      <c r="AH538" s="230"/>
    </row>
    <row r="539" spans="1:34" s="229" customFormat="1" ht="76.5" hidden="1">
      <c r="A539" s="101">
        <f t="shared" si="33"/>
        <v>143</v>
      </c>
      <c r="B539" s="103" t="s">
        <v>1114</v>
      </c>
      <c r="C539" s="104" t="s">
        <v>945</v>
      </c>
      <c r="D539" s="103" t="s">
        <v>1115</v>
      </c>
      <c r="E539" s="104" t="s">
        <v>114</v>
      </c>
      <c r="F539" s="103" t="s">
        <v>91</v>
      </c>
      <c r="G539" s="106" t="s">
        <v>974</v>
      </c>
      <c r="H539" s="102" t="s">
        <v>984</v>
      </c>
      <c r="I539" s="103" t="s">
        <v>278</v>
      </c>
      <c r="J539" s="224">
        <v>42278</v>
      </c>
      <c r="K539" s="224"/>
      <c r="L539" s="224">
        <f t="shared" si="32"/>
        <v>42278</v>
      </c>
      <c r="M539" s="224">
        <v>42643</v>
      </c>
      <c r="N539" s="224"/>
      <c r="O539" s="224">
        <f t="shared" si="34"/>
        <v>42643</v>
      </c>
      <c r="P539" s="105"/>
      <c r="Q539" s="103" t="s">
        <v>251</v>
      </c>
      <c r="R539" s="103"/>
      <c r="S539" s="104" t="s">
        <v>143</v>
      </c>
      <c r="T539" s="104"/>
      <c r="U539" s="110">
        <f>+(16*190000+3658606+1293526+1350713+1823640+929210+1350000+150000+750000)*1.23*1.07</f>
        <v>18880369.189500004</v>
      </c>
      <c r="V539" s="109"/>
      <c r="W539" s="110">
        <v>0</v>
      </c>
      <c r="X539" s="259">
        <f>+U539*0.35</f>
        <v>6608129.2163250009</v>
      </c>
      <c r="Y539" s="259">
        <f>+U539-X539</f>
        <v>12272239.973175004</v>
      </c>
      <c r="Z539" s="259">
        <v>0</v>
      </c>
      <c r="AA539" s="226">
        <f>+U539*0.01</f>
        <v>188803.69189500005</v>
      </c>
      <c r="AB539" s="219"/>
      <c r="AC539" s="219"/>
      <c r="AD539" s="219"/>
      <c r="AE539" s="219"/>
      <c r="AF539" s="219"/>
      <c r="AG539" s="100"/>
      <c r="AH539" s="230"/>
    </row>
    <row r="540" spans="1:34" s="229" customFormat="1" ht="76.5" hidden="1">
      <c r="A540" s="101">
        <f t="shared" si="33"/>
        <v>144</v>
      </c>
      <c r="B540" s="103" t="s">
        <v>1116</v>
      </c>
      <c r="C540" s="104" t="s">
        <v>950</v>
      </c>
      <c r="D540" s="103" t="s">
        <v>1117</v>
      </c>
      <c r="E540" s="104" t="s">
        <v>114</v>
      </c>
      <c r="F540" s="103" t="s">
        <v>91</v>
      </c>
      <c r="G540" s="106" t="s">
        <v>1003</v>
      </c>
      <c r="H540" s="102" t="s">
        <v>588</v>
      </c>
      <c r="I540" s="103" t="s">
        <v>278</v>
      </c>
      <c r="J540" s="224">
        <v>42278</v>
      </c>
      <c r="K540" s="224"/>
      <c r="L540" s="224">
        <f t="shared" si="32"/>
        <v>42278</v>
      </c>
      <c r="M540" s="224">
        <v>42643</v>
      </c>
      <c r="N540" s="224"/>
      <c r="O540" s="224">
        <f t="shared" si="34"/>
        <v>42643</v>
      </c>
      <c r="P540" s="105"/>
      <c r="Q540" s="103" t="s">
        <v>251</v>
      </c>
      <c r="R540" s="103"/>
      <c r="S540" s="104" t="s">
        <v>143</v>
      </c>
      <c r="T540" s="104"/>
      <c r="U540" s="110">
        <f>+(24*190000+450000+270000*2+1350000+929210+750000+150000)*1.23</f>
        <v>10736928.300000001</v>
      </c>
      <c r="V540" s="109"/>
      <c r="W540" s="110">
        <v>0</v>
      </c>
      <c r="X540" s="259">
        <f>+U540*0.35</f>
        <v>3757924.9049999998</v>
      </c>
      <c r="Y540" s="259">
        <f>+U540-X540</f>
        <v>6979003.3950000014</v>
      </c>
      <c r="Z540" s="259">
        <v>0</v>
      </c>
      <c r="AA540" s="226">
        <f>+U540*0.01</f>
        <v>107369.28300000001</v>
      </c>
      <c r="AB540" s="219"/>
      <c r="AC540" s="219"/>
      <c r="AD540" s="219"/>
      <c r="AE540" s="219"/>
      <c r="AF540" s="219"/>
      <c r="AG540" s="100"/>
      <c r="AH540" s="230"/>
    </row>
    <row r="541" spans="1:34" s="229" customFormat="1" ht="63.75" hidden="1">
      <c r="A541" s="101">
        <f t="shared" si="33"/>
        <v>145</v>
      </c>
      <c r="B541" s="103" t="s">
        <v>1118</v>
      </c>
      <c r="C541" s="104" t="s">
        <v>945</v>
      </c>
      <c r="D541" s="103" t="s">
        <v>1119</v>
      </c>
      <c r="E541" s="104" t="s">
        <v>114</v>
      </c>
      <c r="F541" s="103" t="s">
        <v>91</v>
      </c>
      <c r="G541" s="106" t="s">
        <v>1003</v>
      </c>
      <c r="H541" s="102" t="s">
        <v>588</v>
      </c>
      <c r="I541" s="103" t="s">
        <v>278</v>
      </c>
      <c r="J541" s="224">
        <v>42278</v>
      </c>
      <c r="K541" s="224"/>
      <c r="L541" s="224">
        <f t="shared" si="32"/>
        <v>42278</v>
      </c>
      <c r="M541" s="224">
        <v>42643</v>
      </c>
      <c r="N541" s="224"/>
      <c r="O541" s="224">
        <f t="shared" si="34"/>
        <v>42643</v>
      </c>
      <c r="P541" s="105"/>
      <c r="Q541" s="103" t="s">
        <v>251</v>
      </c>
      <c r="R541" s="103"/>
      <c r="S541" s="104" t="s">
        <v>143</v>
      </c>
      <c r="T541" s="104"/>
      <c r="U541" s="110">
        <f>+(10*190000+1823640+3658606+10*1022001/14+1350000+1350713)*1.23*1.07</f>
        <v>14230936.27997143</v>
      </c>
      <c r="V541" s="109"/>
      <c r="W541" s="110">
        <v>0</v>
      </c>
      <c r="X541" s="259">
        <f>+U541*0.35</f>
        <v>4980827.6979900002</v>
      </c>
      <c r="Y541" s="259">
        <f>+U541-X541</f>
        <v>9250108.5819814298</v>
      </c>
      <c r="Z541" s="259">
        <v>0</v>
      </c>
      <c r="AA541" s="226">
        <f>+U541*0.01</f>
        <v>142309.36279971429</v>
      </c>
      <c r="AB541" s="219"/>
      <c r="AC541" s="219"/>
      <c r="AD541" s="219"/>
      <c r="AE541" s="219"/>
      <c r="AF541" s="219"/>
      <c r="AG541" s="100"/>
      <c r="AH541" s="230"/>
    </row>
    <row r="542" spans="1:34" s="229" customFormat="1" ht="76.5" hidden="1">
      <c r="A542" s="101">
        <f t="shared" si="33"/>
        <v>146</v>
      </c>
      <c r="B542" s="103" t="s">
        <v>1120</v>
      </c>
      <c r="C542" s="104" t="s">
        <v>950</v>
      </c>
      <c r="D542" s="103" t="s">
        <v>1121</v>
      </c>
      <c r="E542" s="104" t="s">
        <v>114</v>
      </c>
      <c r="F542" s="103" t="s">
        <v>91</v>
      </c>
      <c r="G542" s="106" t="s">
        <v>594</v>
      </c>
      <c r="H542" s="102" t="s">
        <v>584</v>
      </c>
      <c r="I542" s="103" t="s">
        <v>278</v>
      </c>
      <c r="J542" s="224"/>
      <c r="K542" s="224"/>
      <c r="L542" s="224">
        <f t="shared" ref="L542:L558" si="35">J542+(K542*22)</f>
        <v>0</v>
      </c>
      <c r="M542" s="224"/>
      <c r="N542" s="224"/>
      <c r="O542" s="224">
        <f t="shared" si="34"/>
        <v>0</v>
      </c>
      <c r="P542" s="105"/>
      <c r="Q542" s="103" t="s">
        <v>251</v>
      </c>
      <c r="R542" s="103"/>
      <c r="S542" s="104" t="s">
        <v>138</v>
      </c>
      <c r="T542" s="104"/>
      <c r="U542" s="110">
        <f>+(32*190000+450000+270000*2+1350000+929210+750000+150000)*1.23</f>
        <v>12606528.300000001</v>
      </c>
      <c r="V542" s="109"/>
      <c r="W542" s="110">
        <v>0</v>
      </c>
      <c r="X542" s="259">
        <v>0</v>
      </c>
      <c r="Y542" s="259">
        <v>0</v>
      </c>
      <c r="Z542" s="259">
        <v>0</v>
      </c>
      <c r="AA542" s="226">
        <f>+U542*0.235*0.3</f>
        <v>888760.24514999997</v>
      </c>
      <c r="AB542" s="219"/>
      <c r="AC542" s="219"/>
      <c r="AD542" s="219"/>
      <c r="AE542" s="219"/>
      <c r="AF542" s="219"/>
      <c r="AG542" s="100"/>
      <c r="AH542" s="230"/>
    </row>
    <row r="543" spans="1:34" s="229" customFormat="1" ht="63.75" hidden="1">
      <c r="A543" s="101">
        <f t="shared" si="33"/>
        <v>147</v>
      </c>
      <c r="B543" s="103" t="s">
        <v>1122</v>
      </c>
      <c r="C543" s="104" t="s">
        <v>950</v>
      </c>
      <c r="D543" s="103" t="s">
        <v>1123</v>
      </c>
      <c r="E543" s="104" t="s">
        <v>114</v>
      </c>
      <c r="F543" s="103" t="s">
        <v>91</v>
      </c>
      <c r="G543" s="106" t="s">
        <v>1057</v>
      </c>
      <c r="H543" s="102" t="s">
        <v>1057</v>
      </c>
      <c r="I543" s="103" t="s">
        <v>278</v>
      </c>
      <c r="J543" s="224"/>
      <c r="K543" s="224"/>
      <c r="L543" s="224">
        <f t="shared" si="35"/>
        <v>0</v>
      </c>
      <c r="M543" s="224"/>
      <c r="N543" s="224"/>
      <c r="O543" s="224">
        <f t="shared" si="34"/>
        <v>0</v>
      </c>
      <c r="P543" s="105"/>
      <c r="Q543" s="103" t="s">
        <v>251</v>
      </c>
      <c r="R543" s="103"/>
      <c r="S543" s="104" t="s">
        <v>138</v>
      </c>
      <c r="T543" s="104"/>
      <c r="U543" s="110">
        <f>+(20*190000+450000+270000+1350000+929210+750000+150000)*1.23</f>
        <v>9470028.3000000007</v>
      </c>
      <c r="V543" s="109"/>
      <c r="W543" s="110">
        <v>0</v>
      </c>
      <c r="X543" s="259">
        <v>0</v>
      </c>
      <c r="Y543" s="259">
        <v>0</v>
      </c>
      <c r="Z543" s="259">
        <v>0</v>
      </c>
      <c r="AA543" s="226">
        <f>+U543*0.235*0.3</f>
        <v>667636.99514999997</v>
      </c>
      <c r="AB543" s="219"/>
      <c r="AC543" s="219"/>
      <c r="AD543" s="219"/>
      <c r="AE543" s="219"/>
      <c r="AF543" s="219"/>
      <c r="AG543" s="100"/>
      <c r="AH543" s="230"/>
    </row>
    <row r="544" spans="1:34" s="229" customFormat="1" ht="76.5" hidden="1">
      <c r="A544" s="101">
        <f t="shared" si="33"/>
        <v>148</v>
      </c>
      <c r="B544" s="103" t="s">
        <v>1124</v>
      </c>
      <c r="C544" s="104" t="s">
        <v>473</v>
      </c>
      <c r="D544" s="103" t="s">
        <v>1125</v>
      </c>
      <c r="E544" s="104" t="s">
        <v>114</v>
      </c>
      <c r="F544" s="103" t="s">
        <v>91</v>
      </c>
      <c r="G544" s="106" t="s">
        <v>946</v>
      </c>
      <c r="H544" s="102" t="s">
        <v>31</v>
      </c>
      <c r="I544" s="103" t="s">
        <v>136</v>
      </c>
      <c r="J544" s="224"/>
      <c r="K544" s="224"/>
      <c r="L544" s="224">
        <f t="shared" si="35"/>
        <v>0</v>
      </c>
      <c r="M544" s="224"/>
      <c r="N544" s="224"/>
      <c r="O544" s="224">
        <f t="shared" si="34"/>
        <v>0</v>
      </c>
      <c r="P544" s="105"/>
      <c r="Q544" s="103" t="s">
        <v>115</v>
      </c>
      <c r="R544" s="103"/>
      <c r="S544" s="104" t="s">
        <v>138</v>
      </c>
      <c r="T544" s="104"/>
      <c r="U544" s="110">
        <f>+(1823640+24*((1141850+1714473+2097122)/9)+3658606+1293526+1350713+36*(1022001/14)+1350000+600000+350000+4298671+929210+1050000+150000)*1.23*1.07</f>
        <v>43025355.848857142</v>
      </c>
      <c r="V544" s="109"/>
      <c r="W544" s="110">
        <v>0</v>
      </c>
      <c r="X544" s="259">
        <v>0</v>
      </c>
      <c r="Y544" s="259">
        <v>0</v>
      </c>
      <c r="Z544" s="259">
        <v>0</v>
      </c>
      <c r="AA544" s="226">
        <v>0</v>
      </c>
      <c r="AB544" s="219"/>
      <c r="AC544" s="219"/>
      <c r="AD544" s="219"/>
      <c r="AE544" s="219"/>
      <c r="AF544" s="219"/>
      <c r="AG544" s="100"/>
      <c r="AH544" s="230"/>
    </row>
    <row r="545" spans="1:256" s="409" customFormat="1" ht="90">
      <c r="A545" s="400">
        <v>82</v>
      </c>
      <c r="B545" s="401" t="s">
        <v>1263</v>
      </c>
      <c r="C545" s="360" t="s">
        <v>473</v>
      </c>
      <c r="D545" s="401" t="s">
        <v>1264</v>
      </c>
      <c r="E545" s="320" t="s">
        <v>114</v>
      </c>
      <c r="F545" s="363" t="s">
        <v>91</v>
      </c>
      <c r="G545" s="363" t="s">
        <v>908</v>
      </c>
      <c r="H545" s="402" t="s">
        <v>584</v>
      </c>
      <c r="I545" s="363" t="s">
        <v>136</v>
      </c>
      <c r="J545" s="351">
        <v>42153</v>
      </c>
      <c r="K545" s="352">
        <v>9</v>
      </c>
      <c r="L545" s="351">
        <f>J545+(K545*31)</f>
        <v>42432</v>
      </c>
      <c r="M545" s="403" t="s">
        <v>1341</v>
      </c>
      <c r="N545" s="404" t="s">
        <v>1341</v>
      </c>
      <c r="O545" s="403" t="s">
        <v>1341</v>
      </c>
      <c r="P545" s="353" t="s">
        <v>122</v>
      </c>
      <c r="Q545" s="363" t="s">
        <v>115</v>
      </c>
      <c r="R545" s="363" t="s">
        <v>1410</v>
      </c>
      <c r="S545" s="402" t="s">
        <v>118</v>
      </c>
      <c r="T545" s="360"/>
      <c r="U545" s="405">
        <v>44500000</v>
      </c>
      <c r="V545" s="332"/>
      <c r="W545" s="324">
        <v>0</v>
      </c>
      <c r="X545" s="355">
        <v>2091500</v>
      </c>
      <c r="Y545" s="355">
        <v>3660125</v>
      </c>
      <c r="Z545" s="355">
        <v>40317000</v>
      </c>
      <c r="AA545" s="406" t="s">
        <v>132</v>
      </c>
      <c r="AB545" s="407"/>
      <c r="AC545" s="407"/>
      <c r="AD545" s="407"/>
      <c r="AE545" s="407"/>
      <c r="AF545" s="407"/>
      <c r="AG545" s="408"/>
    </row>
    <row r="546" spans="1:256" s="329" customFormat="1" ht="38.25" hidden="1">
      <c r="A546" s="318">
        <v>97</v>
      </c>
      <c r="B546" s="319" t="s">
        <v>1265</v>
      </c>
      <c r="C546" s="320"/>
      <c r="D546" s="319" t="s">
        <v>1266</v>
      </c>
      <c r="E546" s="320"/>
      <c r="F546" s="319" t="s">
        <v>88</v>
      </c>
      <c r="G546" s="321" t="s">
        <v>93</v>
      </c>
      <c r="H546" s="330" t="s">
        <v>93</v>
      </c>
      <c r="I546" s="319" t="s">
        <v>124</v>
      </c>
      <c r="J546" s="322"/>
      <c r="K546" s="322"/>
      <c r="L546" s="322">
        <f t="shared" si="35"/>
        <v>0</v>
      </c>
      <c r="M546" s="322"/>
      <c r="N546" s="322"/>
      <c r="O546" s="322">
        <f t="shared" si="34"/>
        <v>0</v>
      </c>
      <c r="P546" s="323"/>
      <c r="Q546" s="319" t="s">
        <v>123</v>
      </c>
      <c r="R546" s="323"/>
      <c r="S546" s="320" t="s">
        <v>118</v>
      </c>
      <c r="T546" s="320"/>
      <c r="U546" s="324">
        <v>10440486</v>
      </c>
      <c r="V546" s="332"/>
      <c r="W546" s="324"/>
      <c r="X546" s="324">
        <v>0</v>
      </c>
      <c r="Y546" s="324">
        <v>0</v>
      </c>
      <c r="Z546" s="324">
        <v>0</v>
      </c>
      <c r="AA546" s="325" t="s">
        <v>1267</v>
      </c>
      <c r="AB546" s="326"/>
      <c r="AC546" s="326"/>
      <c r="AD546" s="326"/>
      <c r="AE546" s="326"/>
      <c r="AF546" s="326"/>
      <c r="AG546" s="327"/>
      <c r="AH546" s="328"/>
    </row>
    <row r="547" spans="1:256" s="329" customFormat="1" ht="25.5" hidden="1">
      <c r="A547" s="318">
        <v>98</v>
      </c>
      <c r="B547" s="319" t="s">
        <v>1268</v>
      </c>
      <c r="C547" s="320"/>
      <c r="D547" s="319" t="s">
        <v>1270</v>
      </c>
      <c r="E547" s="320"/>
      <c r="F547" s="319" t="s">
        <v>91</v>
      </c>
      <c r="G547" s="321" t="s">
        <v>93</v>
      </c>
      <c r="H547" s="330" t="s">
        <v>1269</v>
      </c>
      <c r="I547" s="319" t="s">
        <v>124</v>
      </c>
      <c r="J547" s="322"/>
      <c r="K547" s="322"/>
      <c r="L547" s="322">
        <f t="shared" si="35"/>
        <v>0</v>
      </c>
      <c r="M547" s="322"/>
      <c r="N547" s="322"/>
      <c r="O547" s="322">
        <f t="shared" si="34"/>
        <v>0</v>
      </c>
      <c r="P547" s="323"/>
      <c r="Q547" s="319" t="s">
        <v>123</v>
      </c>
      <c r="R547" s="323"/>
      <c r="S547" s="320" t="s">
        <v>118</v>
      </c>
      <c r="T547" s="320"/>
      <c r="U547" s="324">
        <v>19886148</v>
      </c>
      <c r="V547" s="332"/>
      <c r="W547" s="324"/>
      <c r="X547" s="324">
        <v>0</v>
      </c>
      <c r="Y547" s="324">
        <v>0</v>
      </c>
      <c r="Z547" s="324">
        <v>0</v>
      </c>
      <c r="AA547" s="325" t="s">
        <v>1271</v>
      </c>
      <c r="AB547" s="326"/>
      <c r="AC547" s="326"/>
      <c r="AD547" s="326"/>
      <c r="AE547" s="326"/>
      <c r="AF547" s="326"/>
      <c r="AG547" s="327"/>
      <c r="AH547" s="328"/>
    </row>
    <row r="548" spans="1:256" s="229" customFormat="1" ht="76.5" hidden="1">
      <c r="A548" s="101">
        <f>+A545+1</f>
        <v>83</v>
      </c>
      <c r="B548" s="103" t="s">
        <v>1126</v>
      </c>
      <c r="C548" s="104" t="s">
        <v>473</v>
      </c>
      <c r="D548" s="103" t="s">
        <v>1127</v>
      </c>
      <c r="E548" s="104" t="s">
        <v>114</v>
      </c>
      <c r="F548" s="103" t="s">
        <v>91</v>
      </c>
      <c r="G548" s="106" t="s">
        <v>974</v>
      </c>
      <c r="H548" s="102" t="s">
        <v>984</v>
      </c>
      <c r="I548" s="103" t="s">
        <v>136</v>
      </c>
      <c r="J548" s="224"/>
      <c r="K548" s="224"/>
      <c r="L548" s="224">
        <f t="shared" si="35"/>
        <v>0</v>
      </c>
      <c r="M548" s="224"/>
      <c r="N548" s="224"/>
      <c r="O548" s="224">
        <f t="shared" si="34"/>
        <v>0</v>
      </c>
      <c r="P548" s="105"/>
      <c r="Q548" s="103" t="s">
        <v>115</v>
      </c>
      <c r="R548" s="103"/>
      <c r="S548" s="104" t="s">
        <v>138</v>
      </c>
      <c r="T548" s="104"/>
      <c r="U548" s="110">
        <f>+(1823640+24*((1141850+1714473+2097122)/9)+3658606+1293526+1350713+36*(1022001/14)+1350000+600000+350000+4298671+929210+1050000+150000)*1.23*1.07</f>
        <v>43025355.848857142</v>
      </c>
      <c r="V548" s="109"/>
      <c r="W548" s="110">
        <v>0</v>
      </c>
      <c r="X548" s="259">
        <v>0</v>
      </c>
      <c r="Y548" s="259">
        <v>0</v>
      </c>
      <c r="Z548" s="259">
        <v>0</v>
      </c>
      <c r="AA548" s="226">
        <v>0</v>
      </c>
      <c r="AB548" s="219"/>
      <c r="AC548" s="219"/>
      <c r="AD548" s="219"/>
      <c r="AE548" s="219"/>
      <c r="AF548" s="219"/>
      <c r="AG548" s="100"/>
      <c r="AH548" s="230"/>
    </row>
    <row r="549" spans="1:256" s="229" customFormat="1" ht="76.5" hidden="1">
      <c r="A549" s="101">
        <f t="shared" si="33"/>
        <v>84</v>
      </c>
      <c r="B549" s="103" t="s">
        <v>1128</v>
      </c>
      <c r="C549" s="104" t="s">
        <v>473</v>
      </c>
      <c r="D549" s="103" t="s">
        <v>1125</v>
      </c>
      <c r="E549" s="104" t="s">
        <v>114</v>
      </c>
      <c r="F549" s="103" t="s">
        <v>91</v>
      </c>
      <c r="G549" s="106" t="s">
        <v>1129</v>
      </c>
      <c r="H549" s="102" t="s">
        <v>584</v>
      </c>
      <c r="I549" s="103" t="s">
        <v>136</v>
      </c>
      <c r="J549" s="224"/>
      <c r="K549" s="224"/>
      <c r="L549" s="224">
        <f t="shared" si="35"/>
        <v>0</v>
      </c>
      <c r="M549" s="224"/>
      <c r="N549" s="224"/>
      <c r="O549" s="224">
        <f t="shared" si="34"/>
        <v>0</v>
      </c>
      <c r="P549" s="105"/>
      <c r="Q549" s="103" t="s">
        <v>115</v>
      </c>
      <c r="R549" s="103"/>
      <c r="S549" s="104" t="s">
        <v>138</v>
      </c>
      <c r="T549" s="104"/>
      <c r="U549" s="110">
        <f>+(1823640+24*((1141850+1714473+2097122)/9)+3658606+1293526+1350713+36*(1022001/14)+1350000+600000+350000+4298671+929210+1050000+150000)*1.23*1.07</f>
        <v>43025355.848857142</v>
      </c>
      <c r="V549" s="109"/>
      <c r="W549" s="110">
        <v>0</v>
      </c>
      <c r="X549" s="259">
        <v>0</v>
      </c>
      <c r="Y549" s="259">
        <v>0</v>
      </c>
      <c r="Z549" s="259">
        <v>0</v>
      </c>
      <c r="AA549" s="226">
        <f>+U549*0.235*0.3</f>
        <v>3033287.5873444285</v>
      </c>
      <c r="AB549" s="219"/>
      <c r="AC549" s="219"/>
      <c r="AD549" s="219"/>
      <c r="AE549" s="219"/>
      <c r="AF549" s="219"/>
      <c r="AG549" s="100"/>
      <c r="AH549" s="230"/>
    </row>
    <row r="550" spans="1:256" s="229" customFormat="1" ht="76.5" hidden="1">
      <c r="A550" s="101">
        <f t="shared" si="33"/>
        <v>85</v>
      </c>
      <c r="B550" s="103" t="s">
        <v>1130</v>
      </c>
      <c r="C550" s="104" t="s">
        <v>473</v>
      </c>
      <c r="D550" s="103" t="s">
        <v>1131</v>
      </c>
      <c r="E550" s="104" t="s">
        <v>114</v>
      </c>
      <c r="F550" s="103" t="s">
        <v>91</v>
      </c>
      <c r="G550" s="106" t="s">
        <v>1003</v>
      </c>
      <c r="H550" s="102" t="s">
        <v>588</v>
      </c>
      <c r="I550" s="103" t="s">
        <v>136</v>
      </c>
      <c r="J550" s="224"/>
      <c r="K550" s="224"/>
      <c r="L550" s="224">
        <f t="shared" si="35"/>
        <v>0</v>
      </c>
      <c r="M550" s="224"/>
      <c r="N550" s="224"/>
      <c r="O550" s="224">
        <f t="shared" si="34"/>
        <v>0</v>
      </c>
      <c r="P550" s="105"/>
      <c r="Q550" s="103" t="s">
        <v>115</v>
      </c>
      <c r="R550" s="103"/>
      <c r="S550" s="104" t="s">
        <v>138</v>
      </c>
      <c r="T550" s="104"/>
      <c r="U550" s="110">
        <f>+(16*((1141850+1714473+2097122)/9)+3658606+1293526+1350713+26*(1022001/14)+1350000+600000+350000+4298671+929210+1050000+150000)*1.23*1.07</f>
        <v>33869639.114119045</v>
      </c>
      <c r="V550" s="109"/>
      <c r="W550" s="110">
        <v>0</v>
      </c>
      <c r="X550" s="259">
        <v>0</v>
      </c>
      <c r="Y550" s="259">
        <v>0</v>
      </c>
      <c r="Z550" s="259">
        <v>0</v>
      </c>
      <c r="AA550" s="226">
        <v>0</v>
      </c>
      <c r="AB550" s="219"/>
      <c r="AC550" s="219"/>
      <c r="AD550" s="219"/>
      <c r="AE550" s="219"/>
      <c r="AF550" s="219"/>
      <c r="AG550" s="100"/>
      <c r="AH550" s="230"/>
    </row>
    <row r="551" spans="1:256" s="229" customFormat="1" ht="76.5" hidden="1">
      <c r="A551" s="101">
        <f t="shared" si="33"/>
        <v>86</v>
      </c>
      <c r="B551" s="103" t="s">
        <v>1132</v>
      </c>
      <c r="C551" s="104" t="s">
        <v>473</v>
      </c>
      <c r="D551" s="103" t="s">
        <v>1131</v>
      </c>
      <c r="E551" s="104" t="s">
        <v>114</v>
      </c>
      <c r="F551" s="103" t="s">
        <v>91</v>
      </c>
      <c r="G551" s="106" t="s">
        <v>989</v>
      </c>
      <c r="H551" s="102" t="s">
        <v>984</v>
      </c>
      <c r="I551" s="103" t="s">
        <v>136</v>
      </c>
      <c r="J551" s="224"/>
      <c r="K551" s="224"/>
      <c r="L551" s="224">
        <f t="shared" si="35"/>
        <v>0</v>
      </c>
      <c r="M551" s="224"/>
      <c r="N551" s="224"/>
      <c r="O551" s="224">
        <f t="shared" si="34"/>
        <v>0</v>
      </c>
      <c r="P551" s="105"/>
      <c r="Q551" s="103" t="s">
        <v>115</v>
      </c>
      <c r="R551" s="103"/>
      <c r="S551" s="104" t="s">
        <v>138</v>
      </c>
      <c r="T551" s="104"/>
      <c r="U551" s="110">
        <f>+(16*((1141850+1714473+2097122)/9)+3658606+1293526+1350713+4298671+26*(1022001/14)+1350000+600000+929210+1050000+150000)*1.23*1.07</f>
        <v>33409004.114119049</v>
      </c>
      <c r="V551" s="109"/>
      <c r="W551" s="110">
        <v>0</v>
      </c>
      <c r="X551" s="259">
        <v>0</v>
      </c>
      <c r="Y551" s="259">
        <v>0</v>
      </c>
      <c r="Z551" s="259">
        <v>0</v>
      </c>
      <c r="AA551" s="226">
        <v>0</v>
      </c>
      <c r="AB551" s="219"/>
      <c r="AC551" s="219"/>
      <c r="AD551" s="219"/>
      <c r="AE551" s="219"/>
      <c r="AF551" s="219"/>
      <c r="AG551" s="100"/>
      <c r="AH551" s="230"/>
    </row>
    <row r="552" spans="1:256" s="229" customFormat="1" ht="90" hidden="1" customHeight="1">
      <c r="A552" s="101">
        <f t="shared" si="33"/>
        <v>87</v>
      </c>
      <c r="B552" s="103" t="s">
        <v>1133</v>
      </c>
      <c r="C552" s="104" t="s">
        <v>140</v>
      </c>
      <c r="D552" s="103" t="s">
        <v>1134</v>
      </c>
      <c r="E552" s="104" t="s">
        <v>114</v>
      </c>
      <c r="F552" s="103" t="s">
        <v>84</v>
      </c>
      <c r="G552" s="106" t="s">
        <v>158</v>
      </c>
      <c r="H552" s="102" t="s">
        <v>96</v>
      </c>
      <c r="I552" s="103" t="s">
        <v>136</v>
      </c>
      <c r="J552" s="224"/>
      <c r="K552" s="224"/>
      <c r="L552" s="224">
        <f t="shared" si="35"/>
        <v>0</v>
      </c>
      <c r="M552" s="224"/>
      <c r="N552" s="224"/>
      <c r="O552" s="224">
        <f t="shared" si="34"/>
        <v>0</v>
      </c>
      <c r="P552" s="105" t="s">
        <v>122</v>
      </c>
      <c r="Q552" s="103" t="s">
        <v>115</v>
      </c>
      <c r="R552" s="103"/>
      <c r="S552" s="104" t="s">
        <v>138</v>
      </c>
      <c r="T552" s="104"/>
      <c r="U552" s="110">
        <f>+(16*((1141850+1714473+2097122)/9)+3658606+1247367+1293526+1350713+4298671+20*(1022001/14)+600000+350000+300000+1050000+150000)*1.23*1.07</f>
        <v>32330008.177776191</v>
      </c>
      <c r="V552" s="109"/>
      <c r="W552" s="110">
        <v>0</v>
      </c>
      <c r="X552" s="259">
        <v>0</v>
      </c>
      <c r="Y552" s="259">
        <v>0</v>
      </c>
      <c r="Z552" s="259">
        <v>0</v>
      </c>
      <c r="AA552" s="226">
        <f>+U552*0.235*0.3</f>
        <v>2279265.5765332212</v>
      </c>
      <c r="AB552" s="219"/>
      <c r="AC552" s="219"/>
      <c r="AD552" s="219"/>
      <c r="AE552" s="219"/>
      <c r="AF552" s="219"/>
      <c r="AG552" s="100"/>
      <c r="AH552" s="230"/>
    </row>
    <row r="553" spans="1:256" s="229" customFormat="1" ht="90" hidden="1" customHeight="1">
      <c r="A553" s="101">
        <f t="shared" si="33"/>
        <v>88</v>
      </c>
      <c r="B553" s="103" t="s">
        <v>1135</v>
      </c>
      <c r="C553" s="104" t="s">
        <v>140</v>
      </c>
      <c r="D553" s="103" t="s">
        <v>1136</v>
      </c>
      <c r="E553" s="104" t="s">
        <v>114</v>
      </c>
      <c r="F553" s="103" t="s">
        <v>84</v>
      </c>
      <c r="G553" s="106" t="s">
        <v>230</v>
      </c>
      <c r="H553" s="102" t="s">
        <v>14</v>
      </c>
      <c r="I553" s="103" t="s">
        <v>136</v>
      </c>
      <c r="J553" s="224"/>
      <c r="K553" s="224"/>
      <c r="L553" s="224">
        <f t="shared" si="35"/>
        <v>0</v>
      </c>
      <c r="M553" s="224"/>
      <c r="N553" s="224"/>
      <c r="O553" s="224">
        <f t="shared" si="34"/>
        <v>0</v>
      </c>
      <c r="P553" s="105" t="s">
        <v>122</v>
      </c>
      <c r="Q553" s="103" t="s">
        <v>115</v>
      </c>
      <c r="R553" s="103"/>
      <c r="S553" s="104" t="s">
        <v>138</v>
      </c>
      <c r="T553" s="104"/>
      <c r="U553" s="110">
        <f>+(28*((1141850+1714473+2097122)/9)+3658606+1247367+1293526+1350713+4298671+30*(1022001/14)+1350000+600000+350000+929210+300000+1050000+150000)*1.23*1.07</f>
        <v>44982735.684847616</v>
      </c>
      <c r="V553" s="109"/>
      <c r="W553" s="110">
        <v>0</v>
      </c>
      <c r="X553" s="259">
        <v>0</v>
      </c>
      <c r="Y553" s="260">
        <f>+U553*0.235*0.3</f>
        <v>3171282.8657817566</v>
      </c>
      <c r="Z553" s="259">
        <f>+U553-Y553-AA553</f>
        <v>39562316.034823477</v>
      </c>
      <c r="AA553" s="226">
        <f>+U553*0.05</f>
        <v>2249136.7842423809</v>
      </c>
      <c r="AB553" s="219"/>
      <c r="AC553" s="219"/>
      <c r="AD553" s="219"/>
      <c r="AE553" s="219"/>
      <c r="AF553" s="219"/>
      <c r="AG553" s="100"/>
      <c r="AH553" s="230"/>
    </row>
    <row r="554" spans="1:256" s="229" customFormat="1" ht="90" hidden="1" customHeight="1">
      <c r="A554" s="101">
        <f t="shared" si="33"/>
        <v>89</v>
      </c>
      <c r="B554" s="103" t="s">
        <v>1137</v>
      </c>
      <c r="C554" s="104" t="s">
        <v>134</v>
      </c>
      <c r="D554" s="103" t="s">
        <v>1138</v>
      </c>
      <c r="E554" s="104" t="s">
        <v>114</v>
      </c>
      <c r="F554" s="103" t="s">
        <v>88</v>
      </c>
      <c r="G554" s="106" t="s">
        <v>255</v>
      </c>
      <c r="H554" s="103" t="s">
        <v>240</v>
      </c>
      <c r="I554" s="103" t="s">
        <v>136</v>
      </c>
      <c r="J554" s="224"/>
      <c r="K554" s="224"/>
      <c r="L554" s="224">
        <f t="shared" si="35"/>
        <v>0</v>
      </c>
      <c r="M554" s="224"/>
      <c r="N554" s="224"/>
      <c r="O554" s="224">
        <f t="shared" si="34"/>
        <v>0</v>
      </c>
      <c r="P554" s="105" t="s">
        <v>113</v>
      </c>
      <c r="Q554" s="103" t="s">
        <v>115</v>
      </c>
      <c r="R554" s="103"/>
      <c r="S554" s="104" t="s">
        <v>138</v>
      </c>
      <c r="T554" s="104"/>
      <c r="U554" s="110">
        <f>+(1823640+24*((1141850+1714473+2097122)/9)+3658606+1293526+1350713+30*(1022001/14)+929210+300000+1050000+150000)*1.23*1.07</f>
        <v>34159222.58171428</v>
      </c>
      <c r="V554" s="109">
        <v>0</v>
      </c>
      <c r="W554" s="110">
        <v>0</v>
      </c>
      <c r="X554" s="259">
        <v>0</v>
      </c>
      <c r="Y554" s="259">
        <v>0</v>
      </c>
      <c r="Z554" s="259">
        <v>0</v>
      </c>
      <c r="AA554" s="226">
        <v>0</v>
      </c>
      <c r="AB554" s="219"/>
      <c r="AC554" s="219"/>
      <c r="AD554" s="219"/>
      <c r="AE554" s="219"/>
      <c r="AF554" s="219"/>
      <c r="AG554" s="100"/>
      <c r="AH554" s="230"/>
    </row>
    <row r="555" spans="1:256" s="229" customFormat="1" ht="90" hidden="1" customHeight="1">
      <c r="A555" s="101">
        <f t="shared" si="33"/>
        <v>90</v>
      </c>
      <c r="B555" s="103" t="s">
        <v>1139</v>
      </c>
      <c r="C555" s="104" t="s">
        <v>134</v>
      </c>
      <c r="D555" s="103" t="s">
        <v>1140</v>
      </c>
      <c r="E555" s="104" t="s">
        <v>114</v>
      </c>
      <c r="F555" s="103" t="s">
        <v>88</v>
      </c>
      <c r="G555" s="106" t="s">
        <v>129</v>
      </c>
      <c r="H555" s="103" t="s">
        <v>240</v>
      </c>
      <c r="I555" s="103" t="s">
        <v>136</v>
      </c>
      <c r="J555" s="224"/>
      <c r="K555" s="224"/>
      <c r="L555" s="224">
        <f t="shared" si="35"/>
        <v>0</v>
      </c>
      <c r="M555" s="224"/>
      <c r="N555" s="224"/>
      <c r="O555" s="224">
        <f t="shared" si="34"/>
        <v>0</v>
      </c>
      <c r="P555" s="105" t="s">
        <v>122</v>
      </c>
      <c r="Q555" s="103" t="s">
        <v>115</v>
      </c>
      <c r="R555" s="103"/>
      <c r="S555" s="104" t="s">
        <v>138</v>
      </c>
      <c r="T555" s="104"/>
      <c r="U555" s="110">
        <f>+(1823640+24*((1141850+1714473+2097122)/9)+3658606+1293526+1350713+30*(1022001/14)+1350000+600000+350000+929210+300000+1050000+150000)*1.23*1.07</f>
        <v>37186252.58171428</v>
      </c>
      <c r="V555" s="109"/>
      <c r="W555" s="110">
        <v>0</v>
      </c>
      <c r="X555" s="259">
        <v>0</v>
      </c>
      <c r="Y555" s="260">
        <f>+U555*0.235*0.3</f>
        <v>2621630.8070108565</v>
      </c>
      <c r="Z555" s="259">
        <f>+U555-Y555-AA555</f>
        <v>32705309.145617709</v>
      </c>
      <c r="AA555" s="226">
        <f>+U555*0.05</f>
        <v>1859312.629085714</v>
      </c>
      <c r="AB555" s="219"/>
      <c r="AC555" s="219"/>
      <c r="AD555" s="219"/>
      <c r="AE555" s="219"/>
      <c r="AF555" s="219"/>
      <c r="AG555" s="100"/>
      <c r="AH555" s="230"/>
    </row>
    <row r="556" spans="1:256" s="229" customFormat="1" ht="90" hidden="1" customHeight="1">
      <c r="A556" s="101">
        <f t="shared" si="33"/>
        <v>91</v>
      </c>
      <c r="B556" s="103" t="s">
        <v>1141</v>
      </c>
      <c r="C556" s="104" t="s">
        <v>134</v>
      </c>
      <c r="D556" s="103" t="s">
        <v>1140</v>
      </c>
      <c r="E556" s="104" t="s">
        <v>114</v>
      </c>
      <c r="F556" s="103" t="s">
        <v>88</v>
      </c>
      <c r="G556" s="106" t="s">
        <v>752</v>
      </c>
      <c r="H556" s="102" t="s">
        <v>23</v>
      </c>
      <c r="I556" s="103" t="s">
        <v>136</v>
      </c>
      <c r="J556" s="224"/>
      <c r="K556" s="224"/>
      <c r="L556" s="224">
        <f t="shared" si="35"/>
        <v>0</v>
      </c>
      <c r="M556" s="224"/>
      <c r="N556" s="224"/>
      <c r="O556" s="224">
        <f t="shared" si="34"/>
        <v>0</v>
      </c>
      <c r="P556" s="105" t="s">
        <v>122</v>
      </c>
      <c r="Q556" s="103" t="s">
        <v>115</v>
      </c>
      <c r="R556" s="103"/>
      <c r="S556" s="104" t="s">
        <v>138</v>
      </c>
      <c r="T556" s="104"/>
      <c r="U556" s="110">
        <f>+(1823640+24*((1141850+1714473+2097122)/9)+3658606+1293526+1350713+30*(1022001/14)+1350000+600000+350000+929210+300000+1050000+150000)*1.23*1.07</f>
        <v>37186252.58171428</v>
      </c>
      <c r="V556" s="109"/>
      <c r="W556" s="110">
        <v>0</v>
      </c>
      <c r="X556" s="259">
        <v>0</v>
      </c>
      <c r="Y556" s="260">
        <f>+U556*0.235*0.3</f>
        <v>2621630.8070108565</v>
      </c>
      <c r="Z556" s="259">
        <f>+U556-Y556-AA556</f>
        <v>32705309.145617709</v>
      </c>
      <c r="AA556" s="226">
        <f>+U556*0.05</f>
        <v>1859312.629085714</v>
      </c>
      <c r="AB556" s="219"/>
      <c r="AC556" s="219"/>
      <c r="AD556" s="219"/>
      <c r="AE556" s="219"/>
      <c r="AF556" s="219"/>
      <c r="AG556" s="100"/>
      <c r="AH556" s="230"/>
    </row>
    <row r="557" spans="1:256" s="229" customFormat="1" ht="90" hidden="1" customHeight="1">
      <c r="A557" s="101">
        <f t="shared" si="33"/>
        <v>92</v>
      </c>
      <c r="B557" s="103" t="s">
        <v>1142</v>
      </c>
      <c r="C557" s="104" t="s">
        <v>140</v>
      </c>
      <c r="D557" s="103" t="s">
        <v>1143</v>
      </c>
      <c r="E557" s="104" t="s">
        <v>114</v>
      </c>
      <c r="F557" s="103" t="s">
        <v>88</v>
      </c>
      <c r="G557" s="106" t="s">
        <v>752</v>
      </c>
      <c r="H557" s="102" t="s">
        <v>23</v>
      </c>
      <c r="I557" s="103" t="s">
        <v>136</v>
      </c>
      <c r="J557" s="224"/>
      <c r="K557" s="224"/>
      <c r="L557" s="224">
        <f t="shared" si="35"/>
        <v>0</v>
      </c>
      <c r="M557" s="224"/>
      <c r="N557" s="224"/>
      <c r="O557" s="224">
        <f t="shared" si="34"/>
        <v>0</v>
      </c>
      <c r="P557" s="105" t="s">
        <v>122</v>
      </c>
      <c r="Q557" s="103" t="s">
        <v>115</v>
      </c>
      <c r="R557" s="103"/>
      <c r="S557" s="104" t="s">
        <v>138</v>
      </c>
      <c r="T557" s="104"/>
      <c r="U557" s="110">
        <f>+(28*((1141850+1714473+2097122)/9)+3658606+1247367+1293526+1350713+4298671+30*(1022001/14)+1350000+600000+350000+929210+300000+1050000+150000)*1.23*1.07</f>
        <v>44982735.684847616</v>
      </c>
      <c r="V557" s="109"/>
      <c r="W557" s="110">
        <v>0</v>
      </c>
      <c r="X557" s="259">
        <v>0</v>
      </c>
      <c r="Y557" s="260">
        <f>+U557*0.235*0.3</f>
        <v>3171282.8657817566</v>
      </c>
      <c r="Z557" s="259">
        <f>+U557-Y557-AA557</f>
        <v>39562316.034823477</v>
      </c>
      <c r="AA557" s="226">
        <f>+U557*0.05</f>
        <v>2249136.7842423809</v>
      </c>
      <c r="AB557" s="219"/>
      <c r="AC557" s="219"/>
      <c r="AD557" s="219"/>
      <c r="AE557" s="219"/>
      <c r="AF557" s="219"/>
      <c r="AG557" s="100"/>
      <c r="AH557" s="230"/>
    </row>
    <row r="558" spans="1:256" s="229" customFormat="1" ht="90" hidden="1" customHeight="1">
      <c r="A558" s="101">
        <f t="shared" si="33"/>
        <v>93</v>
      </c>
      <c r="B558" s="103" t="s">
        <v>1144</v>
      </c>
      <c r="C558" s="104" t="s">
        <v>134</v>
      </c>
      <c r="D558" s="103" t="s">
        <v>1146</v>
      </c>
      <c r="E558" s="104" t="s">
        <v>114</v>
      </c>
      <c r="F558" s="103" t="s">
        <v>88</v>
      </c>
      <c r="G558" s="106" t="s">
        <v>1145</v>
      </c>
      <c r="H558" s="102" t="s">
        <v>21</v>
      </c>
      <c r="I558" s="103" t="s">
        <v>136</v>
      </c>
      <c r="J558" s="224"/>
      <c r="K558" s="224"/>
      <c r="L558" s="224">
        <f t="shared" si="35"/>
        <v>0</v>
      </c>
      <c r="M558" s="224"/>
      <c r="N558" s="224"/>
      <c r="O558" s="224">
        <f t="shared" si="34"/>
        <v>0</v>
      </c>
      <c r="P558" s="105" t="s">
        <v>122</v>
      </c>
      <c r="Q558" s="103" t="s">
        <v>115</v>
      </c>
      <c r="R558" s="103"/>
      <c r="S558" s="104" t="s">
        <v>138</v>
      </c>
      <c r="T558" s="104"/>
      <c r="U558" s="110">
        <f>+(1823640+24*((1141850+1714473+2097122)/9)+3658606+1247367+1293526+1350713+30*(1022001/14)+1350000+600000+350000+929210+300000+1050000+150000)*1.23*1.07</f>
        <v>38827912.290414289</v>
      </c>
      <c r="V558" s="109"/>
      <c r="W558" s="110">
        <v>0</v>
      </c>
      <c r="X558" s="259">
        <v>0</v>
      </c>
      <c r="Y558" s="260">
        <f>+U558*0.235*0.3</f>
        <v>2737367.8164742072</v>
      </c>
      <c r="Z558" s="259">
        <f>+U558-Y558-AA558</f>
        <v>34149148.859419368</v>
      </c>
      <c r="AA558" s="226">
        <f>+U558*0.05</f>
        <v>1941395.6145207146</v>
      </c>
      <c r="AB558" s="219"/>
      <c r="AC558" s="219"/>
      <c r="AD558" s="219"/>
      <c r="AE558" s="219"/>
      <c r="AF558" s="219"/>
      <c r="AG558" s="100"/>
      <c r="AH558" s="231"/>
      <c r="AI558" s="232"/>
      <c r="AJ558" s="232"/>
      <c r="AK558" s="232"/>
      <c r="AL558" s="232"/>
      <c r="AM558" s="232"/>
      <c r="AN558" s="232"/>
      <c r="AO558" s="232"/>
      <c r="AP558" s="232"/>
      <c r="AQ558" s="232"/>
      <c r="AR558" s="232"/>
      <c r="AS558" s="232"/>
      <c r="AT558" s="232"/>
      <c r="AU558" s="232"/>
      <c r="AV558" s="232"/>
      <c r="AW558" s="232"/>
      <c r="AX558" s="232"/>
      <c r="AY558" s="232"/>
      <c r="AZ558" s="232"/>
      <c r="BA558" s="232"/>
      <c r="BB558" s="232"/>
      <c r="BC558" s="232"/>
      <c r="BD558" s="232"/>
      <c r="BE558" s="232"/>
      <c r="BF558" s="232"/>
      <c r="BG558" s="232"/>
      <c r="BH558" s="232"/>
      <c r="BI558" s="232"/>
      <c r="BJ558" s="232"/>
      <c r="BK558" s="232"/>
      <c r="BL558" s="232"/>
      <c r="BM558" s="232"/>
      <c r="BN558" s="232"/>
      <c r="BO558" s="232"/>
      <c r="BP558" s="232"/>
      <c r="BQ558" s="232"/>
      <c r="BR558" s="232"/>
      <c r="BS558" s="232"/>
      <c r="BT558" s="232"/>
      <c r="BU558" s="232"/>
      <c r="BV558" s="232"/>
      <c r="BW558" s="232"/>
      <c r="BX558" s="232"/>
      <c r="BY558" s="232"/>
      <c r="BZ558" s="232"/>
      <c r="CA558" s="232"/>
      <c r="CB558" s="232"/>
      <c r="CC558" s="232"/>
      <c r="CD558" s="232"/>
      <c r="CE558" s="232"/>
      <c r="CF558" s="232"/>
      <c r="CG558" s="232"/>
      <c r="CH558" s="232"/>
      <c r="CI558" s="232"/>
      <c r="CJ558" s="232"/>
      <c r="CK558" s="232"/>
      <c r="CL558" s="232"/>
      <c r="CM558" s="232"/>
      <c r="CN558" s="232"/>
      <c r="CO558" s="232"/>
      <c r="CP558" s="232"/>
      <c r="CQ558" s="232"/>
      <c r="CR558" s="232"/>
      <c r="CS558" s="232"/>
      <c r="CT558" s="232"/>
      <c r="CU558" s="232"/>
      <c r="CV558" s="232"/>
      <c r="CW558" s="232"/>
      <c r="CX558" s="232"/>
      <c r="CY558" s="232"/>
      <c r="CZ558" s="232"/>
      <c r="DA558" s="232"/>
      <c r="DB558" s="232"/>
      <c r="DC558" s="232"/>
      <c r="DD558" s="232"/>
      <c r="DE558" s="232"/>
      <c r="DF558" s="232"/>
      <c r="DG558" s="232"/>
      <c r="DH558" s="232"/>
      <c r="DI558" s="232"/>
      <c r="DJ558" s="232"/>
      <c r="DK558" s="232"/>
      <c r="DL558" s="232"/>
      <c r="DM558" s="232"/>
      <c r="DN558" s="232"/>
      <c r="DO558" s="232"/>
      <c r="DP558" s="232"/>
      <c r="DQ558" s="232"/>
      <c r="DR558" s="232"/>
      <c r="DS558" s="232"/>
      <c r="DT558" s="232"/>
      <c r="DU558" s="232"/>
      <c r="DV558" s="232"/>
      <c r="DW558" s="232"/>
      <c r="DX558" s="232"/>
      <c r="DY558" s="232"/>
      <c r="DZ558" s="232"/>
      <c r="EA558" s="232"/>
      <c r="EB558" s="232"/>
      <c r="EC558" s="232"/>
      <c r="ED558" s="232"/>
      <c r="EE558" s="232"/>
      <c r="EF558" s="232"/>
      <c r="EG558" s="232"/>
      <c r="EH558" s="232"/>
      <c r="EI558" s="232"/>
      <c r="EJ558" s="232"/>
      <c r="EK558" s="232"/>
      <c r="EL558" s="232"/>
      <c r="EM558" s="232"/>
      <c r="EN558" s="232"/>
      <c r="EO558" s="232"/>
      <c r="EP558" s="232"/>
      <c r="EQ558" s="232"/>
      <c r="ER558" s="232"/>
      <c r="ES558" s="232"/>
      <c r="ET558" s="232"/>
      <c r="EU558" s="232"/>
      <c r="EV558" s="232"/>
      <c r="EW558" s="232"/>
      <c r="EX558" s="232"/>
      <c r="EY558" s="232"/>
      <c r="EZ558" s="232"/>
      <c r="FA558" s="232"/>
      <c r="FB558" s="232"/>
      <c r="FC558" s="232"/>
      <c r="FD558" s="232"/>
      <c r="FE558" s="232"/>
      <c r="FF558" s="232"/>
      <c r="FG558" s="232"/>
      <c r="FH558" s="232"/>
      <c r="FI558" s="232"/>
      <c r="FJ558" s="232"/>
      <c r="FK558" s="232"/>
      <c r="FL558" s="232"/>
      <c r="FM558" s="232"/>
      <c r="FN558" s="232"/>
      <c r="FO558" s="232"/>
      <c r="FP558" s="232"/>
      <c r="FQ558" s="232"/>
      <c r="FR558" s="232"/>
      <c r="FS558" s="232"/>
      <c r="FT558" s="232"/>
      <c r="FU558" s="232"/>
      <c r="FV558" s="232"/>
      <c r="FW558" s="232"/>
      <c r="FX558" s="232"/>
      <c r="FY558" s="232"/>
      <c r="FZ558" s="232"/>
      <c r="GA558" s="232"/>
      <c r="GB558" s="232"/>
      <c r="GC558" s="232"/>
      <c r="GD558" s="232"/>
      <c r="GE558" s="232"/>
      <c r="GF558" s="232"/>
      <c r="GG558" s="232"/>
      <c r="GH558" s="232"/>
      <c r="GI558" s="232"/>
      <c r="GJ558" s="232"/>
      <c r="GK558" s="232"/>
      <c r="GL558" s="232"/>
      <c r="GM558" s="232"/>
      <c r="GN558" s="232"/>
      <c r="GO558" s="232"/>
      <c r="GP558" s="232"/>
      <c r="GQ558" s="232"/>
      <c r="GR558" s="232"/>
      <c r="GS558" s="232"/>
      <c r="GT558" s="232"/>
      <c r="GU558" s="232"/>
      <c r="GV558" s="232"/>
      <c r="GW558" s="232"/>
      <c r="GX558" s="232"/>
      <c r="GY558" s="232"/>
      <c r="GZ558" s="232"/>
      <c r="HA558" s="232"/>
      <c r="HB558" s="232"/>
      <c r="HC558" s="232"/>
      <c r="HD558" s="232"/>
      <c r="HE558" s="232"/>
      <c r="HF558" s="232"/>
      <c r="HG558" s="232"/>
      <c r="HH558" s="232"/>
      <c r="HI558" s="232"/>
      <c r="HJ558" s="232"/>
      <c r="HK558" s="232"/>
      <c r="HL558" s="232"/>
      <c r="HM558" s="232"/>
      <c r="HN558" s="232"/>
      <c r="HO558" s="232"/>
      <c r="HP558" s="232"/>
      <c r="HQ558" s="232"/>
      <c r="HR558" s="232"/>
      <c r="HS558" s="232"/>
      <c r="HT558" s="232"/>
      <c r="HU558" s="232"/>
      <c r="HV558" s="232"/>
      <c r="HW558" s="232"/>
      <c r="HX558" s="232"/>
      <c r="HY558" s="232"/>
      <c r="HZ558" s="232"/>
      <c r="IA558" s="232"/>
      <c r="IB558" s="232"/>
      <c r="IC558" s="232"/>
      <c r="ID558" s="232"/>
      <c r="IE558" s="232"/>
      <c r="IF558" s="232"/>
      <c r="IG558" s="232"/>
      <c r="IH558" s="232"/>
      <c r="II558" s="232"/>
      <c r="IJ558" s="232"/>
      <c r="IK558" s="232"/>
      <c r="IL558" s="232"/>
      <c r="IM558" s="232"/>
      <c r="IN558" s="232"/>
      <c r="IO558" s="232"/>
      <c r="IP558" s="232"/>
      <c r="IQ558" s="232"/>
      <c r="IR558" s="232"/>
      <c r="IS558" s="232"/>
      <c r="IT558" s="232"/>
      <c r="IU558" s="232"/>
      <c r="IV558" s="232"/>
    </row>
    <row r="559" spans="1:256" s="338" customFormat="1" ht="33.75">
      <c r="A559" s="400">
        <v>83</v>
      </c>
      <c r="B559" s="401" t="s">
        <v>1342</v>
      </c>
      <c r="C559" s="360" t="s">
        <v>83</v>
      </c>
      <c r="D559" s="401" t="s">
        <v>1280</v>
      </c>
      <c r="E559" s="320"/>
      <c r="F559" s="363" t="s">
        <v>141</v>
      </c>
      <c r="G559" s="363" t="s">
        <v>148</v>
      </c>
      <c r="H559" s="402" t="s">
        <v>3</v>
      </c>
      <c r="I559" s="363" t="s">
        <v>278</v>
      </c>
      <c r="J559" s="403">
        <v>42095</v>
      </c>
      <c r="K559" s="404">
        <v>3</v>
      </c>
      <c r="L559" s="403">
        <f>J559+(K559*31)</f>
        <v>42188</v>
      </c>
      <c r="M559" s="403">
        <v>42108</v>
      </c>
      <c r="N559" s="404">
        <v>12</v>
      </c>
      <c r="O559" s="403">
        <f t="shared" si="34"/>
        <v>42480</v>
      </c>
      <c r="P559" s="363" t="s">
        <v>113</v>
      </c>
      <c r="Q559" s="363" t="s">
        <v>251</v>
      </c>
      <c r="R559" s="363" t="s">
        <v>65</v>
      </c>
      <c r="S559" s="402" t="s">
        <v>118</v>
      </c>
      <c r="T559" s="360"/>
      <c r="U559" s="405">
        <v>41611804</v>
      </c>
      <c r="V559" s="332"/>
      <c r="W559" s="324"/>
      <c r="X559" s="355">
        <v>34218388</v>
      </c>
      <c r="Y559" s="410">
        <v>4993416</v>
      </c>
      <c r="Z559" s="355">
        <v>0</v>
      </c>
      <c r="AA559" s="406" t="s">
        <v>1343</v>
      </c>
      <c r="AB559" s="361"/>
      <c r="AC559" s="361"/>
      <c r="AD559" s="361"/>
      <c r="AE559" s="361"/>
      <c r="AF559" s="361"/>
      <c r="AG559" s="362"/>
    </row>
    <row r="560" spans="1:256" s="182" customFormat="1" ht="45">
      <c r="A560" s="346">
        <v>84</v>
      </c>
      <c r="B560" s="347" t="str">
        <f>+'[1]Baseline 1'!C258</f>
        <v>Mbombela Circuit Office</v>
      </c>
      <c r="C560" s="353" t="s">
        <v>83</v>
      </c>
      <c r="D560" s="347" t="s">
        <v>1281</v>
      </c>
      <c r="E560" s="103" t="str">
        <f>+'[1]Baseline 1'!G258</f>
        <v>Capital Assets</v>
      </c>
      <c r="F560" s="353" t="str">
        <f>+'[1]Baseline 1'!H258</f>
        <v>Ehlanzeni</v>
      </c>
      <c r="G560" s="353" t="str">
        <f>+'[1]Baseline 1'!I258</f>
        <v xml:space="preserve">Mbombela </v>
      </c>
      <c r="H560" s="353" t="str">
        <f>+'[1]Baseline 1'!J258</f>
        <v>Mbombela</v>
      </c>
      <c r="I560" s="353" t="str">
        <f>+'[1]Baseline 1'!M258</f>
        <v>Storm Damaged Schools</v>
      </c>
      <c r="J560" s="351">
        <v>42092</v>
      </c>
      <c r="K560" s="352">
        <v>2</v>
      </c>
      <c r="L560" s="351">
        <v>42153</v>
      </c>
      <c r="M560" s="351">
        <v>42177</v>
      </c>
      <c r="N560" s="352">
        <v>4</v>
      </c>
      <c r="O560" s="351">
        <f t="shared" si="34"/>
        <v>42301</v>
      </c>
      <c r="P560" s="353" t="s">
        <v>122</v>
      </c>
      <c r="Q560" s="353" t="s">
        <v>251</v>
      </c>
      <c r="R560" s="353" t="s">
        <v>1180</v>
      </c>
      <c r="S560" s="348" t="s">
        <v>118</v>
      </c>
      <c r="T560" s="348" t="s">
        <v>253</v>
      </c>
      <c r="U560" s="354">
        <v>4000000</v>
      </c>
      <c r="V560" s="109">
        <v>0</v>
      </c>
      <c r="W560" s="110">
        <v>0</v>
      </c>
      <c r="X560" s="355">
        <v>4000000</v>
      </c>
      <c r="Y560" s="355">
        <v>0</v>
      </c>
      <c r="Z560" s="355">
        <f>+U560*0.235*0.3</f>
        <v>282000</v>
      </c>
      <c r="AA560" s="356" t="s">
        <v>132</v>
      </c>
      <c r="AB560" s="357"/>
      <c r="AC560" s="357"/>
      <c r="AD560" s="357"/>
      <c r="AE560" s="357"/>
      <c r="AF560" s="357"/>
      <c r="AG560" s="147"/>
    </row>
    <row r="561" spans="1:256" s="243" customFormat="1" ht="30" hidden="1" customHeight="1" thickBot="1">
      <c r="A561" s="234"/>
      <c r="B561" s="235"/>
      <c r="C561" s="236"/>
      <c r="D561" s="235"/>
      <c r="E561" s="236"/>
      <c r="F561" s="235"/>
      <c r="G561" s="237"/>
      <c r="H561" s="238"/>
      <c r="I561" s="235"/>
      <c r="J561" s="239"/>
      <c r="K561" s="239"/>
      <c r="L561" s="239"/>
      <c r="M561" s="239"/>
      <c r="N561" s="239"/>
      <c r="O561" s="239"/>
      <c r="P561" s="236"/>
      <c r="Q561" s="238"/>
      <c r="R561" s="238"/>
      <c r="S561" s="236"/>
      <c r="T561" s="236"/>
      <c r="U561" s="240">
        <f>SUM(U27:U551)</f>
        <v>8493540893.3944654</v>
      </c>
      <c r="V561" s="241">
        <f>SUM(V105:V551)</f>
        <v>12000000</v>
      </c>
      <c r="W561" s="240">
        <f>SUM(W27:W552)</f>
        <v>560778188.45367861</v>
      </c>
      <c r="X561" s="263">
        <f>SUM(X27:X551)</f>
        <v>1429761339.2022061</v>
      </c>
      <c r="Y561" s="263">
        <f>SUM(Y27:Y551)</f>
        <v>1755537208.8274977</v>
      </c>
      <c r="Z561" s="263">
        <f>SUM(Z27:Z551)</f>
        <v>1541044867.3181882</v>
      </c>
      <c r="AA561" s="242">
        <f>SUM(AA27:AA551)</f>
        <v>1353102582.2781394</v>
      </c>
      <c r="AB561" s="99"/>
      <c r="AC561" s="99"/>
      <c r="AD561" s="99"/>
      <c r="AE561" s="99"/>
      <c r="AF561" s="99"/>
      <c r="AG561" s="99"/>
      <c r="AH561" s="244"/>
      <c r="AI561" s="245"/>
      <c r="AJ561" s="246"/>
      <c r="AK561" s="247"/>
      <c r="AL561" s="247"/>
      <c r="AM561" s="247"/>
      <c r="AN561" s="247"/>
      <c r="AO561" s="247"/>
      <c r="AP561" s="247"/>
      <c r="AQ561" s="247"/>
      <c r="AR561" s="248"/>
      <c r="AS561" s="249"/>
      <c r="AT561" s="250"/>
      <c r="AU561" s="250"/>
      <c r="AV561" s="251"/>
      <c r="AW561" s="252"/>
      <c r="AX561" s="147"/>
      <c r="AY561" s="147"/>
      <c r="AZ561" s="253"/>
      <c r="BA561" s="254"/>
      <c r="BB561" s="250"/>
      <c r="BC561" s="250"/>
      <c r="BD561" s="250"/>
      <c r="BE561" s="250"/>
      <c r="BF561" s="255"/>
      <c r="BG561" s="182"/>
      <c r="BH561" s="182"/>
    </row>
    <row r="562" spans="1:256" s="177" customFormat="1" ht="66" hidden="1" customHeight="1" thickTop="1">
      <c r="A562" s="84" t="s">
        <v>1147</v>
      </c>
      <c r="B562" s="86"/>
      <c r="C562" s="86"/>
      <c r="D562" s="92"/>
      <c r="E562" s="88"/>
      <c r="F562" s="88"/>
      <c r="G562" s="89" t="s">
        <v>1149</v>
      </c>
      <c r="H562" s="90"/>
      <c r="I562" s="91"/>
      <c r="J562" s="85"/>
      <c r="K562" s="85"/>
      <c r="L562" s="85"/>
      <c r="M562" s="85"/>
      <c r="N562" s="85"/>
      <c r="O562" s="85"/>
      <c r="P562" s="87" t="s">
        <v>1148</v>
      </c>
      <c r="Q562" s="91"/>
      <c r="R562" s="91"/>
      <c r="S562" s="85"/>
      <c r="T562" s="85"/>
      <c r="U562" s="85"/>
      <c r="V562" s="83"/>
      <c r="W562" s="93"/>
      <c r="X562" s="85"/>
      <c r="Y562" s="94"/>
      <c r="Z562" s="85"/>
      <c r="AA562" s="95"/>
      <c r="AB562" s="98"/>
      <c r="AC562" s="98"/>
      <c r="AD562" s="98"/>
      <c r="AE562" s="98"/>
      <c r="AF562" s="98"/>
      <c r="AG562" s="98"/>
      <c r="AH562" s="96"/>
      <c r="AI562" s="176"/>
      <c r="AJ562" s="176"/>
      <c r="AK562" s="176"/>
      <c r="AL562" s="176"/>
      <c r="AM562" s="176"/>
      <c r="AN562" s="176"/>
      <c r="AO562" s="176"/>
      <c r="AP562" s="176"/>
      <c r="AQ562" s="176"/>
      <c r="AR562" s="176"/>
      <c r="AS562" s="176"/>
      <c r="AT562" s="176"/>
      <c r="AU562" s="176"/>
      <c r="AV562" s="176"/>
      <c r="AW562" s="176"/>
      <c r="AX562" s="176"/>
      <c r="AY562" s="176"/>
      <c r="AZ562" s="176"/>
      <c r="BA562" s="176"/>
      <c r="BB562" s="176"/>
      <c r="BC562" s="176"/>
      <c r="BD562" s="176"/>
      <c r="BE562" s="176"/>
      <c r="BF562" s="176"/>
      <c r="BG562" s="176"/>
      <c r="BH562" s="176"/>
      <c r="BI562" s="176"/>
      <c r="BJ562" s="176"/>
      <c r="BK562" s="176"/>
      <c r="BL562" s="176"/>
      <c r="BM562" s="176"/>
      <c r="BN562" s="176"/>
      <c r="BO562" s="176"/>
      <c r="BP562" s="176"/>
      <c r="BQ562" s="176"/>
      <c r="BR562" s="176"/>
      <c r="BS562" s="176"/>
      <c r="BT562" s="176"/>
      <c r="BU562" s="176"/>
      <c r="BV562" s="176"/>
      <c r="BW562" s="176"/>
      <c r="BX562" s="176"/>
      <c r="BY562" s="176"/>
      <c r="BZ562" s="176"/>
    </row>
    <row r="563" spans="1:256" s="421" customFormat="1" ht="66" customHeight="1" thickBot="1">
      <c r="A563" s="506">
        <v>85</v>
      </c>
      <c r="B563" s="507" t="s">
        <v>1344</v>
      </c>
      <c r="C563" s="86"/>
      <c r="D563" s="508" t="s">
        <v>1412</v>
      </c>
      <c r="E563" s="88"/>
      <c r="F563" s="509" t="s">
        <v>91</v>
      </c>
      <c r="G563" s="509" t="s">
        <v>1201</v>
      </c>
      <c r="H563" s="520" t="s">
        <v>1201</v>
      </c>
      <c r="I563" s="510" t="s">
        <v>136</v>
      </c>
      <c r="J563" s="521">
        <v>42092</v>
      </c>
      <c r="K563" s="522">
        <v>9</v>
      </c>
      <c r="L563" s="521">
        <f>J563+(K563*31)</f>
        <v>42371</v>
      </c>
      <c r="M563" s="521">
        <v>42395</v>
      </c>
      <c r="N563" s="522">
        <v>18</v>
      </c>
      <c r="O563" s="521">
        <f>M563+(N563*31)</f>
        <v>42953</v>
      </c>
      <c r="P563" s="511" t="s">
        <v>113</v>
      </c>
      <c r="Q563" s="510" t="s">
        <v>1409</v>
      </c>
      <c r="R563" s="511" t="s">
        <v>1410</v>
      </c>
      <c r="S563" s="511" t="s">
        <v>118</v>
      </c>
      <c r="T563" s="85"/>
      <c r="U563" s="514">
        <v>300000000</v>
      </c>
      <c r="V563" s="83"/>
      <c r="W563" s="93"/>
      <c r="X563" s="512">
        <v>160000000</v>
      </c>
      <c r="Y563" s="512">
        <v>110000000</v>
      </c>
      <c r="Z563" s="512">
        <v>30000000</v>
      </c>
      <c r="AA563" s="513" t="s">
        <v>132</v>
      </c>
      <c r="AB563" s="370"/>
      <c r="AC563" s="419"/>
      <c r="AD563" s="419"/>
      <c r="AE563" s="419"/>
      <c r="AF563" s="419"/>
      <c r="AG563" s="419"/>
      <c r="AH563" s="420"/>
      <c r="AI563" s="420"/>
      <c r="AJ563" s="420"/>
      <c r="AK563" s="420"/>
      <c r="AL563" s="420"/>
      <c r="AM563" s="420"/>
      <c r="AN563" s="420"/>
      <c r="AO563" s="420"/>
      <c r="AP563" s="420"/>
      <c r="AQ563" s="420"/>
      <c r="AR563" s="420"/>
      <c r="AS563" s="420"/>
      <c r="AT563" s="420"/>
      <c r="AU563" s="420"/>
      <c r="AV563" s="420"/>
      <c r="AW563" s="420"/>
      <c r="AX563" s="420"/>
      <c r="AY563" s="420"/>
      <c r="AZ563" s="420"/>
      <c r="BA563" s="420"/>
      <c r="BB563" s="420"/>
      <c r="BC563" s="420"/>
      <c r="BD563" s="420"/>
      <c r="BE563" s="420"/>
      <c r="BF563" s="420"/>
      <c r="BG563" s="420"/>
      <c r="BH563" s="420"/>
      <c r="BI563" s="420"/>
      <c r="BJ563" s="420"/>
      <c r="BK563" s="420"/>
      <c r="BL563" s="420"/>
      <c r="BM563" s="420"/>
      <c r="BN563" s="420"/>
      <c r="BO563" s="420"/>
      <c r="BP563" s="420"/>
      <c r="BQ563" s="420"/>
      <c r="BR563" s="420"/>
      <c r="BS563" s="420"/>
      <c r="BT563" s="420"/>
      <c r="BU563" s="420"/>
      <c r="BV563" s="420"/>
      <c r="BW563" s="420"/>
      <c r="BX563" s="420"/>
      <c r="BY563" s="420"/>
      <c r="BZ563" s="420"/>
    </row>
    <row r="564" spans="1:256" s="173" customFormat="1" ht="17.25" customHeight="1" thickTop="1">
      <c r="A564" s="178"/>
      <c r="B564" s="179"/>
      <c r="C564" s="180"/>
      <c r="D564" s="399"/>
      <c r="E564" s="182"/>
      <c r="F564" s="180"/>
      <c r="G564" s="385"/>
      <c r="H564" s="264"/>
      <c r="I564" s="264"/>
      <c r="J564" s="183"/>
      <c r="K564" s="429"/>
      <c r="L564" s="183"/>
      <c r="M564" s="183"/>
      <c r="N564" s="183"/>
      <c r="O564" s="183"/>
      <c r="P564" s="181"/>
      <c r="Q564" s="264"/>
      <c r="R564" s="264"/>
      <c r="S564" s="183"/>
      <c r="T564" s="183"/>
      <c r="U564" s="183"/>
      <c r="W564" s="184"/>
      <c r="X564" s="185"/>
      <c r="Y564" s="185"/>
      <c r="AA564" s="185"/>
      <c r="AB564" s="185"/>
      <c r="AC564" s="185"/>
      <c r="AD564" s="185"/>
      <c r="AE564" s="185"/>
      <c r="AF564" s="185"/>
      <c r="AG564" s="185"/>
    </row>
    <row r="565" spans="1:256" s="173" customFormat="1" ht="72.75" customHeight="1" thickBot="1">
      <c r="A565" s="186" t="s">
        <v>1162</v>
      </c>
      <c r="B565" s="170"/>
      <c r="C565" s="187"/>
      <c r="D565" s="172"/>
      <c r="E565" s="188" t="s">
        <v>1148</v>
      </c>
      <c r="F565" s="386"/>
      <c r="G565" s="387"/>
      <c r="H565" s="387"/>
      <c r="I565" s="265"/>
      <c r="J565" s="172"/>
      <c r="K565" s="430"/>
      <c r="L565" s="172"/>
      <c r="M565" s="172"/>
      <c r="N565" s="172"/>
      <c r="O565" s="172"/>
      <c r="P565" s="188"/>
      <c r="Q565" s="265"/>
      <c r="R565" s="265"/>
      <c r="S565" s="172"/>
      <c r="T565" s="172"/>
      <c r="U565" s="172"/>
      <c r="V565" s="169"/>
      <c r="W565" s="175"/>
      <c r="X565" s="172"/>
      <c r="Y565" s="172"/>
      <c r="Z565" s="172"/>
      <c r="AA565" s="175"/>
      <c r="AB565" s="185"/>
      <c r="AC565" s="185"/>
      <c r="BW565" s="189"/>
      <c r="BX565" s="189"/>
      <c r="BY565" s="189"/>
      <c r="BZ565" s="189"/>
      <c r="CA565" s="189"/>
      <c r="CB565" s="189"/>
      <c r="CC565" s="189"/>
      <c r="CD565" s="189"/>
      <c r="CE565" s="189"/>
      <c r="CF565" s="189"/>
      <c r="CG565" s="189"/>
      <c r="CH565" s="189"/>
      <c r="CI565" s="189"/>
      <c r="CJ565" s="189"/>
      <c r="CK565" s="189"/>
      <c r="CL565" s="189"/>
      <c r="CM565" s="189"/>
      <c r="CN565" s="189"/>
      <c r="CO565" s="189"/>
      <c r="CP565" s="189"/>
      <c r="CQ565" s="189"/>
      <c r="CR565" s="189"/>
      <c r="CS565" s="189"/>
      <c r="CT565" s="189"/>
      <c r="CU565" s="189"/>
      <c r="CV565" s="189"/>
      <c r="CW565" s="189"/>
      <c r="CX565" s="189"/>
      <c r="CY565" s="189"/>
      <c r="CZ565" s="189"/>
      <c r="DA565" s="189"/>
      <c r="DB565" s="189"/>
      <c r="DC565" s="189"/>
      <c r="DD565" s="189"/>
      <c r="DE565" s="189"/>
      <c r="DF565" s="189"/>
      <c r="DG565" s="189"/>
      <c r="DH565" s="189"/>
      <c r="DI565" s="189"/>
      <c r="DJ565" s="189"/>
      <c r="DK565" s="189"/>
      <c r="DL565" s="189"/>
      <c r="DM565" s="189"/>
      <c r="DN565" s="189"/>
      <c r="DO565" s="189"/>
      <c r="DP565" s="189"/>
      <c r="DQ565" s="189"/>
      <c r="DR565" s="189"/>
      <c r="DS565" s="189"/>
      <c r="DT565" s="189"/>
      <c r="DU565" s="189"/>
      <c r="DV565" s="189"/>
      <c r="DW565" s="189"/>
      <c r="DX565" s="189"/>
      <c r="DY565" s="189"/>
      <c r="DZ565" s="189"/>
      <c r="EA565" s="189"/>
      <c r="EB565" s="189"/>
      <c r="EC565" s="189"/>
      <c r="ED565" s="189"/>
      <c r="EE565" s="189"/>
      <c r="EF565" s="189"/>
      <c r="EG565" s="189"/>
      <c r="EH565" s="189"/>
      <c r="EI565" s="189"/>
      <c r="EJ565" s="189"/>
      <c r="EK565" s="189"/>
      <c r="EL565" s="189"/>
      <c r="EM565" s="189"/>
      <c r="EN565" s="189"/>
      <c r="EO565" s="189"/>
      <c r="EP565" s="189"/>
      <c r="EQ565" s="189"/>
      <c r="ER565" s="189"/>
      <c r="ES565" s="189"/>
      <c r="ET565" s="189"/>
      <c r="EU565" s="189"/>
      <c r="EV565" s="189"/>
      <c r="EW565" s="189"/>
      <c r="EX565" s="189"/>
      <c r="EY565" s="189"/>
      <c r="EZ565" s="189"/>
      <c r="FA565" s="189"/>
      <c r="FB565" s="189"/>
      <c r="FC565" s="189"/>
      <c r="FD565" s="189"/>
      <c r="FE565" s="189"/>
      <c r="FF565" s="189"/>
      <c r="FG565" s="189"/>
      <c r="FH565" s="189"/>
      <c r="FI565" s="189"/>
      <c r="FJ565" s="189"/>
      <c r="FK565" s="189"/>
      <c r="FL565" s="189"/>
      <c r="FM565" s="189"/>
      <c r="FN565" s="189"/>
      <c r="FO565" s="189"/>
      <c r="FP565" s="189"/>
      <c r="FQ565" s="189"/>
      <c r="FR565" s="189"/>
      <c r="FS565" s="189"/>
      <c r="FT565" s="189"/>
      <c r="FU565" s="189"/>
      <c r="FV565" s="189"/>
      <c r="FW565" s="189"/>
      <c r="FX565" s="189"/>
      <c r="FY565" s="189"/>
      <c r="FZ565" s="189"/>
      <c r="GA565" s="189"/>
      <c r="GB565" s="189"/>
      <c r="GC565" s="189"/>
      <c r="GD565" s="189"/>
      <c r="GE565" s="189"/>
      <c r="GF565" s="189"/>
      <c r="GG565" s="189"/>
      <c r="GH565" s="189"/>
      <c r="GI565" s="189"/>
      <c r="GJ565" s="189"/>
      <c r="GK565" s="189"/>
      <c r="GL565" s="189"/>
      <c r="GM565" s="189"/>
      <c r="GN565" s="189"/>
      <c r="GO565" s="189"/>
      <c r="GP565" s="189"/>
      <c r="GQ565" s="189"/>
      <c r="GR565" s="189"/>
      <c r="GS565" s="189"/>
      <c r="GT565" s="189"/>
      <c r="GU565" s="189"/>
      <c r="GV565" s="189"/>
      <c r="GW565" s="189"/>
      <c r="GX565" s="189"/>
      <c r="GY565" s="189"/>
      <c r="GZ565" s="189"/>
      <c r="HA565" s="189"/>
      <c r="HB565" s="189"/>
      <c r="HC565" s="189"/>
      <c r="HD565" s="189"/>
      <c r="HE565" s="189"/>
      <c r="HF565" s="189"/>
      <c r="HG565" s="189"/>
      <c r="HH565" s="189"/>
      <c r="HI565" s="189"/>
      <c r="HJ565" s="189"/>
      <c r="HK565" s="189"/>
      <c r="HL565" s="189"/>
      <c r="HM565" s="189"/>
      <c r="HN565" s="189"/>
      <c r="HO565" s="189"/>
      <c r="HP565" s="189"/>
      <c r="HQ565" s="189"/>
      <c r="HR565" s="189"/>
      <c r="HS565" s="189"/>
      <c r="HT565" s="189"/>
      <c r="HU565" s="189"/>
      <c r="HV565" s="189"/>
      <c r="HW565" s="189"/>
      <c r="HX565" s="189"/>
      <c r="HY565" s="189"/>
      <c r="HZ565" s="189"/>
      <c r="IA565" s="189"/>
      <c r="IB565" s="189"/>
      <c r="IC565" s="189"/>
      <c r="ID565" s="189"/>
      <c r="IE565" s="189"/>
      <c r="IF565" s="189"/>
      <c r="IG565" s="189"/>
      <c r="IH565" s="189"/>
      <c r="II565" s="189"/>
      <c r="IJ565" s="189"/>
      <c r="IK565" s="189"/>
      <c r="IL565" s="189"/>
      <c r="IM565" s="189"/>
      <c r="IN565" s="189"/>
      <c r="IO565" s="189"/>
      <c r="IP565" s="189"/>
      <c r="IQ565" s="189"/>
      <c r="IR565" s="189"/>
      <c r="IS565" s="189"/>
      <c r="IT565" s="189"/>
      <c r="IU565" s="189"/>
      <c r="IV565" s="189"/>
    </row>
    <row r="566" spans="1:256" s="173" customFormat="1" ht="17.25" customHeight="1">
      <c r="A566" s="178"/>
      <c r="B566" s="179"/>
      <c r="C566" s="180"/>
      <c r="D566" s="399"/>
      <c r="E566" s="182"/>
      <c r="F566" s="180"/>
      <c r="G566" s="385"/>
      <c r="H566" s="385"/>
      <c r="I566" s="264"/>
      <c r="J566" s="183"/>
      <c r="K566" s="429"/>
      <c r="L566" s="183"/>
      <c r="M566" s="183"/>
      <c r="N566" s="183"/>
      <c r="O566" s="183"/>
      <c r="P566" s="181"/>
      <c r="Q566" s="264"/>
      <c r="R566" s="264"/>
      <c r="S566" s="183"/>
      <c r="T566" s="183"/>
      <c r="U566" s="183"/>
      <c r="W566" s="184"/>
      <c r="X566" s="185"/>
      <c r="Y566" s="185"/>
      <c r="AA566" s="185"/>
      <c r="AB566" s="185"/>
      <c r="AC566" s="185"/>
      <c r="AD566" s="185"/>
      <c r="AE566" s="185"/>
      <c r="AF566" s="185"/>
      <c r="AG566" s="185"/>
    </row>
    <row r="567" spans="1:256" s="189" customFormat="1" ht="66" customHeight="1" thickBot="1">
      <c r="A567" s="186" t="s">
        <v>1162</v>
      </c>
      <c r="B567" s="170"/>
      <c r="C567" s="187"/>
      <c r="D567" s="172"/>
      <c r="E567" s="188" t="s">
        <v>1163</v>
      </c>
      <c r="F567" s="386"/>
      <c r="G567" s="387"/>
      <c r="H567" s="387"/>
      <c r="I567" s="265"/>
      <c r="J567" s="172"/>
      <c r="K567" s="430"/>
      <c r="L567" s="172"/>
      <c r="M567" s="172"/>
      <c r="N567" s="172"/>
      <c r="O567" s="172"/>
      <c r="P567" s="188"/>
      <c r="Q567" s="265"/>
      <c r="R567" s="265"/>
      <c r="S567" s="172"/>
      <c r="T567" s="172"/>
      <c r="U567" s="172"/>
      <c r="V567" s="173"/>
      <c r="W567" s="174"/>
      <c r="X567" s="172"/>
      <c r="Y567" s="172"/>
      <c r="Z567" s="172"/>
      <c r="AA567" s="175"/>
      <c r="AB567" s="185"/>
      <c r="AC567" s="185"/>
      <c r="AD567" s="185"/>
      <c r="AE567" s="185"/>
      <c r="AF567" s="185"/>
      <c r="AG567" s="185"/>
      <c r="AH567" s="173"/>
      <c r="AI567" s="173"/>
      <c r="AJ567" s="173"/>
      <c r="AK567" s="173"/>
      <c r="AL567" s="173"/>
      <c r="AM567" s="173"/>
      <c r="AN567" s="173"/>
      <c r="AO567" s="173"/>
      <c r="AP567" s="173"/>
      <c r="AQ567" s="173"/>
      <c r="AR567" s="173"/>
      <c r="AS567" s="173"/>
      <c r="AT567" s="173"/>
      <c r="AU567" s="173"/>
      <c r="AV567" s="173"/>
      <c r="AW567" s="173"/>
      <c r="AX567" s="173"/>
      <c r="AY567" s="173"/>
      <c r="AZ567" s="173"/>
      <c r="BA567" s="173"/>
      <c r="BB567" s="173"/>
      <c r="BC567" s="173"/>
      <c r="BD567" s="173"/>
      <c r="BE567" s="173"/>
      <c r="BF567" s="173"/>
      <c r="BG567" s="173"/>
      <c r="BH567" s="173"/>
      <c r="BI567" s="173"/>
      <c r="BJ567" s="173"/>
      <c r="BK567" s="173"/>
      <c r="BL567" s="173"/>
      <c r="BM567" s="173"/>
      <c r="BN567" s="173"/>
      <c r="BO567" s="173"/>
      <c r="BP567" s="173"/>
      <c r="BQ567" s="173"/>
      <c r="BR567" s="173"/>
      <c r="BS567" s="173"/>
      <c r="BT567" s="173"/>
      <c r="BU567" s="173"/>
      <c r="BV567" s="173"/>
      <c r="BW567" s="173"/>
      <c r="BX567" s="173"/>
      <c r="BY567" s="173"/>
      <c r="BZ567" s="173"/>
    </row>
    <row r="568" spans="1:256" s="161" customFormat="1" ht="15.75" customHeight="1">
      <c r="A568" s="190"/>
      <c r="B568" s="223"/>
      <c r="C568" s="182"/>
      <c r="D568" s="399"/>
      <c r="E568" s="182"/>
      <c r="F568" s="180"/>
      <c r="G568" s="191"/>
      <c r="H568" s="191"/>
      <c r="I568" s="191"/>
      <c r="J568" s="183"/>
      <c r="K568" s="429"/>
      <c r="L568" s="183"/>
      <c r="M568" s="183"/>
      <c r="N568" s="183"/>
      <c r="O568" s="183"/>
      <c r="P568" s="182"/>
      <c r="Q568" s="191"/>
      <c r="R568" s="191"/>
      <c r="S568" s="183"/>
      <c r="T568" s="183"/>
      <c r="U568" s="183"/>
      <c r="V568" s="192"/>
      <c r="W568" s="193"/>
      <c r="X568" s="194"/>
      <c r="Y568" s="194"/>
      <c r="Z568" s="194"/>
      <c r="AA568" s="195"/>
      <c r="AB568" s="147"/>
      <c r="AC568" s="147"/>
      <c r="AD568" s="147"/>
      <c r="AE568" s="147"/>
      <c r="AF568" s="147"/>
      <c r="AG568" s="147"/>
    </row>
    <row r="569" spans="1:256" s="161" customFormat="1">
      <c r="A569" s="187"/>
      <c r="B569" s="196"/>
      <c r="C569" s="171"/>
      <c r="D569" s="196"/>
      <c r="E569" s="171"/>
      <c r="F569" s="197"/>
      <c r="G569" s="197"/>
      <c r="H569" s="197"/>
      <c r="I569" s="197"/>
      <c r="J569" s="198"/>
      <c r="K569" s="431"/>
      <c r="L569" s="198"/>
      <c r="M569" s="198"/>
      <c r="N569" s="198"/>
      <c r="O569" s="198"/>
      <c r="P569" s="171"/>
      <c r="Q569" s="197"/>
      <c r="R569" s="197"/>
      <c r="S569" s="187"/>
      <c r="T569" s="187"/>
      <c r="U569" s="199"/>
      <c r="V569" s="192"/>
      <c r="W569" s="200"/>
      <c r="X569" s="199"/>
      <c r="Y569" s="199"/>
      <c r="Z569" s="199"/>
      <c r="AA569" s="201"/>
      <c r="AB569" s="147"/>
      <c r="AC569" s="147"/>
      <c r="AD569" s="147"/>
      <c r="AE569" s="147"/>
      <c r="AF569" s="147"/>
      <c r="AG569" s="147"/>
    </row>
    <row r="570" spans="1:256" s="128" customFormat="1" ht="42.75" customHeight="1" thickBot="1">
      <c r="A570" s="186" t="s">
        <v>1164</v>
      </c>
      <c r="B570" s="170"/>
      <c r="C570" s="187"/>
      <c r="D570" s="172"/>
      <c r="E570" s="188" t="s">
        <v>1165</v>
      </c>
      <c r="F570" s="386"/>
      <c r="G570" s="387"/>
      <c r="H570" s="387"/>
      <c r="I570" s="265"/>
      <c r="J570" s="172"/>
      <c r="K570" s="430"/>
      <c r="L570" s="172"/>
      <c r="M570" s="172"/>
      <c r="N570" s="172"/>
      <c r="O570" s="172"/>
      <c r="P570" s="188"/>
      <c r="Q570" s="265"/>
      <c r="R570" s="265"/>
      <c r="S570" s="172"/>
      <c r="T570" s="172"/>
      <c r="U570" s="172"/>
      <c r="V570" s="172"/>
      <c r="W570" s="174"/>
      <c r="X570" s="172"/>
      <c r="Y570" s="172"/>
      <c r="Z570" s="172"/>
      <c r="AA570" s="175"/>
      <c r="AB570" s="185"/>
      <c r="AC570" s="185"/>
      <c r="AD570" s="185"/>
      <c r="AE570" s="185"/>
      <c r="AF570" s="185"/>
      <c r="AG570" s="185"/>
      <c r="AH570" s="173"/>
      <c r="AI570" s="173"/>
      <c r="AJ570" s="173"/>
      <c r="AK570" s="173"/>
      <c r="AL570" s="173"/>
      <c r="AM570" s="173"/>
      <c r="AN570" s="173"/>
      <c r="AO570" s="173"/>
      <c r="AP570" s="173"/>
      <c r="AQ570" s="173"/>
      <c r="AR570" s="173"/>
      <c r="AS570" s="173"/>
      <c r="AT570" s="173"/>
      <c r="AU570" s="173"/>
      <c r="AV570" s="173"/>
      <c r="AW570" s="173"/>
      <c r="AX570" s="173"/>
      <c r="AY570" s="173"/>
      <c r="AZ570" s="173"/>
      <c r="BA570" s="173"/>
      <c r="BB570" s="173"/>
      <c r="BC570" s="173"/>
      <c r="BD570" s="173"/>
      <c r="BE570" s="173"/>
      <c r="BF570" s="173"/>
      <c r="BG570" s="173"/>
      <c r="BH570" s="173"/>
      <c r="BI570" s="173"/>
      <c r="BJ570" s="173"/>
      <c r="BK570" s="173"/>
      <c r="BL570" s="173"/>
      <c r="BM570" s="173"/>
      <c r="BN570" s="173"/>
      <c r="BO570" s="173"/>
      <c r="BP570" s="173"/>
      <c r="BQ570" s="173"/>
      <c r="BR570" s="173"/>
      <c r="BS570" s="173"/>
      <c r="BT570" s="173"/>
      <c r="BU570" s="173"/>
      <c r="BV570" s="173"/>
      <c r="BW570" s="173"/>
      <c r="BX570" s="173"/>
      <c r="BY570" s="189"/>
      <c r="BZ570" s="189"/>
      <c r="CA570" s="189"/>
      <c r="CB570" s="189"/>
      <c r="CC570" s="189"/>
      <c r="CD570" s="189"/>
      <c r="CE570" s="189"/>
      <c r="CF570" s="189"/>
      <c r="CG570" s="189"/>
      <c r="CH570" s="189"/>
      <c r="CI570" s="189"/>
      <c r="CJ570" s="189"/>
      <c r="CK570" s="189"/>
      <c r="CL570" s="189"/>
      <c r="CM570" s="189"/>
      <c r="CN570" s="189"/>
      <c r="CO570" s="189"/>
      <c r="CP570" s="189"/>
      <c r="CQ570" s="189"/>
      <c r="CR570" s="189"/>
      <c r="CS570" s="189"/>
      <c r="CT570" s="189"/>
      <c r="CU570" s="189"/>
      <c r="CV570" s="189"/>
      <c r="CW570" s="189"/>
      <c r="CX570" s="189"/>
      <c r="CY570" s="189"/>
      <c r="CZ570" s="189"/>
      <c r="DA570" s="189"/>
      <c r="DB570" s="189"/>
      <c r="DC570" s="189"/>
      <c r="DD570" s="189"/>
      <c r="DE570" s="189"/>
      <c r="DF570" s="189"/>
      <c r="DG570" s="189"/>
      <c r="DH570" s="189"/>
      <c r="DI570" s="189"/>
      <c r="DJ570" s="189"/>
      <c r="DK570" s="189"/>
      <c r="DL570" s="189"/>
      <c r="DM570" s="189"/>
      <c r="DN570" s="189"/>
      <c r="DO570" s="189"/>
      <c r="DP570" s="189"/>
      <c r="DQ570" s="189"/>
      <c r="DR570" s="189"/>
      <c r="DS570" s="189"/>
      <c r="DT570" s="189"/>
      <c r="DU570" s="189"/>
      <c r="DV570" s="189"/>
      <c r="DW570" s="189"/>
      <c r="DX570" s="189"/>
      <c r="DY570" s="189"/>
      <c r="DZ570" s="189"/>
      <c r="EA570" s="189"/>
      <c r="EB570" s="189"/>
      <c r="EC570" s="189"/>
      <c r="ED570" s="189"/>
      <c r="EE570" s="189"/>
      <c r="EF570" s="189"/>
      <c r="EG570" s="189"/>
      <c r="EH570" s="189"/>
      <c r="EI570" s="189"/>
      <c r="EJ570" s="189"/>
      <c r="EK570" s="189"/>
      <c r="EL570" s="189"/>
      <c r="EM570" s="189"/>
      <c r="EN570" s="189"/>
      <c r="EO570" s="189"/>
      <c r="EP570" s="189"/>
      <c r="EQ570" s="189"/>
      <c r="ER570" s="189"/>
      <c r="ES570" s="189"/>
      <c r="ET570" s="189"/>
      <c r="EU570" s="189"/>
      <c r="EV570" s="189"/>
      <c r="EW570" s="189"/>
      <c r="EX570" s="189"/>
      <c r="EY570" s="189"/>
      <c r="EZ570" s="189"/>
      <c r="FA570" s="189"/>
      <c r="FB570" s="189"/>
      <c r="FC570" s="189"/>
      <c r="FD570" s="189"/>
      <c r="FE570" s="189"/>
      <c r="FF570" s="189"/>
      <c r="FG570" s="189"/>
      <c r="FH570" s="189"/>
      <c r="FI570" s="189"/>
      <c r="FJ570" s="189"/>
      <c r="FK570" s="189"/>
      <c r="FL570" s="189"/>
      <c r="FM570" s="189"/>
      <c r="FN570" s="189"/>
      <c r="FO570" s="189"/>
      <c r="FP570" s="189"/>
      <c r="FQ570" s="189"/>
      <c r="FR570" s="189"/>
      <c r="FS570" s="189"/>
      <c r="FT570" s="189"/>
      <c r="FU570" s="189"/>
      <c r="FV570" s="189"/>
      <c r="FW570" s="189"/>
      <c r="FX570" s="189"/>
      <c r="FY570" s="189"/>
      <c r="FZ570" s="189"/>
      <c r="GA570" s="189"/>
      <c r="GB570" s="189"/>
      <c r="GC570" s="189"/>
      <c r="GD570" s="189"/>
      <c r="GE570" s="189"/>
      <c r="GF570" s="189"/>
      <c r="GG570" s="189"/>
      <c r="GH570" s="189"/>
      <c r="GI570" s="189"/>
      <c r="GJ570" s="189"/>
      <c r="GK570" s="189"/>
      <c r="GL570" s="189"/>
      <c r="GM570" s="189"/>
      <c r="GN570" s="189"/>
      <c r="GO570" s="189"/>
      <c r="GP570" s="189"/>
      <c r="GQ570" s="189"/>
      <c r="GR570" s="189"/>
      <c r="GS570" s="189"/>
      <c r="GT570" s="189"/>
      <c r="GU570" s="189"/>
      <c r="GV570" s="189"/>
      <c r="GW570" s="189"/>
      <c r="GX570" s="189"/>
      <c r="GY570" s="189"/>
      <c r="GZ570" s="189"/>
      <c r="HA570" s="189"/>
      <c r="HB570" s="189"/>
      <c r="HC570" s="189"/>
      <c r="HD570" s="189"/>
      <c r="HE570" s="189"/>
      <c r="HF570" s="189"/>
      <c r="HG570" s="189"/>
      <c r="HH570" s="189"/>
      <c r="HI570" s="189"/>
      <c r="HJ570" s="189"/>
      <c r="HK570" s="189"/>
      <c r="HL570" s="189"/>
      <c r="HM570" s="189"/>
      <c r="HN570" s="189"/>
      <c r="HO570" s="189"/>
      <c r="HP570" s="189"/>
      <c r="HQ570" s="189"/>
      <c r="HR570" s="189"/>
      <c r="HS570" s="189"/>
      <c r="HT570" s="189"/>
      <c r="HU570" s="189"/>
      <c r="HV570" s="189"/>
      <c r="HW570" s="189"/>
      <c r="HX570" s="189"/>
      <c r="HY570" s="189"/>
      <c r="HZ570" s="189"/>
      <c r="IA570" s="189"/>
      <c r="IB570" s="189"/>
      <c r="IC570" s="189"/>
      <c r="ID570" s="189"/>
      <c r="IE570" s="189"/>
      <c r="IF570" s="189"/>
      <c r="IG570" s="189"/>
      <c r="IH570" s="189"/>
      <c r="II570" s="189"/>
      <c r="IJ570" s="189"/>
      <c r="IK570" s="189"/>
      <c r="IL570" s="189"/>
      <c r="IM570" s="189"/>
      <c r="IN570" s="189"/>
      <c r="IO570" s="189"/>
      <c r="IP570" s="189"/>
      <c r="IQ570" s="189"/>
      <c r="IR570" s="189"/>
      <c r="IS570" s="189"/>
      <c r="IT570" s="189"/>
      <c r="IU570" s="189"/>
      <c r="IV570" s="189"/>
    </row>
    <row r="571" spans="1:256" s="161" customFormat="1" ht="12" thickBot="1">
      <c r="A571" s="202"/>
      <c r="B571" s="203"/>
      <c r="C571" s="204"/>
      <c r="D571" s="206"/>
      <c r="E571" s="204"/>
      <c r="F571" s="388"/>
      <c r="G571" s="205"/>
      <c r="H571" s="208"/>
      <c r="I571" s="205"/>
      <c r="J571" s="207"/>
      <c r="K571" s="432"/>
      <c r="L571" s="207"/>
      <c r="M571" s="207"/>
      <c r="N571" s="207"/>
      <c r="O571" s="207"/>
      <c r="P571" s="204"/>
      <c r="Q571" s="205"/>
      <c r="R571" s="205"/>
      <c r="S571" s="208"/>
      <c r="T571" s="208"/>
      <c r="U571" s="209"/>
      <c r="V571" s="210"/>
      <c r="W571" s="211"/>
      <c r="X571" s="209"/>
      <c r="Y571" s="209"/>
      <c r="Z571" s="209"/>
      <c r="AA571" s="195"/>
      <c r="AB571" s="147"/>
      <c r="AC571" s="147"/>
      <c r="AD571" s="147"/>
      <c r="AE571" s="147"/>
      <c r="AF571" s="147"/>
      <c r="AG571" s="147"/>
    </row>
    <row r="572" spans="1:256">
      <c r="B572" s="212"/>
      <c r="C572" s="213"/>
      <c r="E572" s="213"/>
      <c r="F572" s="389"/>
      <c r="P572" s="213"/>
    </row>
    <row r="573" spans="1:256">
      <c r="B573" s="212"/>
      <c r="C573" s="213"/>
      <c r="E573" s="213"/>
      <c r="F573" s="389"/>
      <c r="P573" s="213"/>
    </row>
    <row r="574" spans="1:256" s="117" customFormat="1">
      <c r="A574" s="115"/>
      <c r="B574" s="212"/>
      <c r="C574" s="213"/>
      <c r="D574" s="116"/>
      <c r="E574" s="213"/>
      <c r="F574" s="389"/>
      <c r="G574" s="118"/>
      <c r="H574" s="115"/>
      <c r="I574" s="118"/>
      <c r="J574" s="214"/>
      <c r="K574" s="433"/>
      <c r="L574" s="214"/>
      <c r="M574" s="214"/>
      <c r="N574" s="214"/>
      <c r="O574" s="214"/>
      <c r="P574" s="213"/>
      <c r="Q574" s="118"/>
      <c r="R574" s="118"/>
      <c r="S574" s="115"/>
      <c r="T574" s="115"/>
      <c r="U574" s="215"/>
      <c r="V574" s="130"/>
      <c r="W574" s="193"/>
      <c r="X574" s="194"/>
      <c r="Y574" s="215"/>
      <c r="Z574" s="215"/>
      <c r="AA574" s="216"/>
      <c r="AB574" s="147"/>
      <c r="AC574" s="147"/>
      <c r="AD574" s="147"/>
      <c r="AE574" s="147"/>
      <c r="AF574" s="147"/>
      <c r="AG574" s="147"/>
      <c r="AH574" s="113"/>
      <c r="AI574" s="113"/>
      <c r="AJ574" s="113"/>
      <c r="AK574" s="113"/>
      <c r="AL574" s="113"/>
      <c r="AM574" s="113"/>
      <c r="AN574" s="113"/>
      <c r="AO574" s="113"/>
      <c r="AP574" s="113"/>
      <c r="AQ574" s="113"/>
      <c r="AR574" s="113"/>
      <c r="AS574" s="113"/>
      <c r="AT574" s="113"/>
      <c r="AU574" s="113"/>
      <c r="AV574" s="113"/>
      <c r="AW574" s="113"/>
      <c r="AX574" s="113"/>
      <c r="AY574" s="113"/>
      <c r="AZ574" s="113"/>
      <c r="BA574" s="113"/>
      <c r="BB574" s="113"/>
      <c r="BC574" s="113"/>
      <c r="BD574" s="113"/>
      <c r="BE574" s="113"/>
      <c r="BF574" s="113"/>
      <c r="BG574" s="113"/>
      <c r="BH574" s="113"/>
      <c r="BI574" s="113"/>
      <c r="BJ574" s="113"/>
      <c r="BK574" s="113"/>
      <c r="BL574" s="113"/>
      <c r="BM574" s="113"/>
      <c r="BN574" s="113"/>
      <c r="BO574" s="113"/>
      <c r="BP574" s="113"/>
      <c r="BQ574" s="113"/>
      <c r="BR574" s="113"/>
      <c r="BS574" s="113"/>
      <c r="BT574" s="113"/>
      <c r="BU574" s="113"/>
      <c r="BV574" s="113"/>
      <c r="BW574" s="113"/>
      <c r="BX574" s="113"/>
      <c r="BY574" s="113"/>
      <c r="BZ574" s="113"/>
      <c r="CA574" s="113"/>
      <c r="CB574" s="113"/>
      <c r="CC574" s="113"/>
      <c r="CD574" s="113"/>
      <c r="CE574" s="113"/>
      <c r="CF574" s="113"/>
      <c r="CG574" s="113"/>
      <c r="CH574" s="113"/>
      <c r="CI574" s="113"/>
      <c r="CJ574" s="113"/>
      <c r="CK574" s="113"/>
      <c r="CL574" s="113"/>
      <c r="CM574" s="113"/>
      <c r="CN574" s="113"/>
      <c r="CO574" s="113"/>
      <c r="CP574" s="113"/>
      <c r="CQ574" s="113"/>
      <c r="CR574" s="113"/>
      <c r="CS574" s="113"/>
      <c r="CT574" s="113"/>
      <c r="CU574" s="113"/>
      <c r="CV574" s="113"/>
      <c r="CW574" s="113"/>
      <c r="CX574" s="113"/>
      <c r="CY574" s="113"/>
      <c r="CZ574" s="113"/>
      <c r="DA574" s="113"/>
      <c r="DB574" s="113"/>
      <c r="DC574" s="113"/>
      <c r="DD574" s="113"/>
      <c r="DE574" s="113"/>
      <c r="DF574" s="113"/>
      <c r="DG574" s="113"/>
      <c r="DH574" s="113"/>
      <c r="DI574" s="113"/>
      <c r="DJ574" s="113"/>
      <c r="DK574" s="113"/>
      <c r="DL574" s="113"/>
      <c r="DM574" s="113"/>
      <c r="DN574" s="113"/>
      <c r="DO574" s="113"/>
      <c r="DP574" s="113"/>
      <c r="DQ574" s="113"/>
      <c r="DR574" s="113"/>
      <c r="DS574" s="113"/>
      <c r="DT574" s="113"/>
      <c r="DU574" s="113"/>
      <c r="DV574" s="113"/>
      <c r="DW574" s="113"/>
      <c r="DX574" s="113"/>
      <c r="DY574" s="113"/>
      <c r="DZ574" s="113"/>
      <c r="EA574" s="113"/>
      <c r="EB574" s="113"/>
      <c r="EC574" s="113"/>
      <c r="ED574" s="113"/>
      <c r="EE574" s="113"/>
      <c r="EF574" s="113"/>
      <c r="EG574" s="113"/>
      <c r="EH574" s="113"/>
      <c r="EI574" s="113"/>
      <c r="EJ574" s="113"/>
      <c r="EK574" s="113"/>
      <c r="EL574" s="113"/>
      <c r="EM574" s="113"/>
      <c r="EN574" s="113"/>
      <c r="EO574" s="113"/>
      <c r="EP574" s="113"/>
      <c r="EQ574" s="113"/>
      <c r="ER574" s="113"/>
      <c r="ES574" s="113"/>
      <c r="ET574" s="113"/>
      <c r="EU574" s="113"/>
      <c r="EV574" s="113"/>
      <c r="EW574" s="113"/>
      <c r="EX574" s="113"/>
      <c r="EY574" s="113"/>
      <c r="EZ574" s="113"/>
      <c r="FA574" s="113"/>
      <c r="FB574" s="113"/>
      <c r="FC574" s="113"/>
      <c r="FD574" s="113"/>
      <c r="FE574" s="113"/>
      <c r="FF574" s="113"/>
      <c r="FG574" s="113"/>
      <c r="FH574" s="113"/>
      <c r="FI574" s="113"/>
      <c r="FJ574" s="113"/>
      <c r="FK574" s="113"/>
      <c r="FL574" s="113"/>
      <c r="FM574" s="113"/>
      <c r="FN574" s="113"/>
      <c r="FO574" s="113"/>
      <c r="FP574" s="113"/>
      <c r="FQ574" s="113"/>
      <c r="FR574" s="113"/>
      <c r="FS574" s="113"/>
      <c r="FT574" s="113"/>
      <c r="FU574" s="113"/>
      <c r="FV574" s="113"/>
      <c r="FW574" s="113"/>
      <c r="FX574" s="113"/>
      <c r="FY574" s="113"/>
      <c r="FZ574" s="113"/>
      <c r="GA574" s="113"/>
      <c r="GB574" s="113"/>
      <c r="GC574" s="113"/>
      <c r="GD574" s="113"/>
      <c r="GE574" s="113"/>
      <c r="GF574" s="113"/>
      <c r="GG574" s="113"/>
      <c r="GH574" s="113"/>
      <c r="GI574" s="113"/>
      <c r="GJ574" s="113"/>
      <c r="GK574" s="113"/>
      <c r="GL574" s="113"/>
      <c r="GM574" s="113"/>
      <c r="GN574" s="113"/>
      <c r="GO574" s="113"/>
      <c r="GP574" s="113"/>
      <c r="GQ574" s="113"/>
      <c r="GR574" s="113"/>
      <c r="GS574" s="113"/>
      <c r="GT574" s="113"/>
      <c r="GU574" s="113"/>
      <c r="GV574" s="113"/>
      <c r="GW574" s="113"/>
      <c r="GX574" s="113"/>
      <c r="GY574" s="113"/>
      <c r="GZ574" s="113"/>
      <c r="HA574" s="113"/>
      <c r="HB574" s="113"/>
      <c r="HC574" s="113"/>
      <c r="HD574" s="113"/>
      <c r="HE574" s="113"/>
      <c r="HF574" s="113"/>
      <c r="HG574" s="113"/>
      <c r="HH574" s="113"/>
      <c r="HI574" s="113"/>
      <c r="HJ574" s="113"/>
      <c r="HK574" s="113"/>
      <c r="HL574" s="113"/>
      <c r="HM574" s="113"/>
      <c r="HN574" s="113"/>
      <c r="HO574" s="113"/>
      <c r="HP574" s="113"/>
      <c r="HQ574" s="113"/>
      <c r="HR574" s="113"/>
      <c r="HS574" s="113"/>
      <c r="HT574" s="113"/>
      <c r="HU574" s="113"/>
      <c r="HV574" s="113"/>
      <c r="HW574" s="113"/>
      <c r="HX574" s="113"/>
      <c r="HY574" s="113"/>
      <c r="HZ574" s="113"/>
      <c r="IA574" s="113"/>
      <c r="IB574" s="113"/>
      <c r="IC574" s="113"/>
      <c r="ID574" s="113"/>
      <c r="IE574" s="113"/>
      <c r="IF574" s="113"/>
      <c r="IG574" s="113"/>
      <c r="IH574" s="113"/>
      <c r="II574" s="113"/>
      <c r="IJ574" s="113"/>
      <c r="IK574" s="113"/>
      <c r="IL574" s="113"/>
      <c r="IM574" s="113"/>
      <c r="IN574" s="113"/>
      <c r="IO574" s="113"/>
      <c r="IP574" s="113"/>
      <c r="IQ574" s="113"/>
      <c r="IR574" s="113"/>
      <c r="IS574" s="113"/>
      <c r="IT574" s="113"/>
      <c r="IU574" s="113"/>
      <c r="IV574" s="113"/>
    </row>
  </sheetData>
  <autoFilter ref="A26:AA563">
    <filterColumn colId="14"/>
    <filterColumn colId="18">
      <filters>
        <filter val="A"/>
      </filters>
    </filterColumn>
    <filterColumn colId="26">
      <filters>
        <filter val="DPWRT"/>
        <filter val="DPWRT / RIU"/>
        <filter val="RIU / DPWRT"/>
      </filters>
    </filterColumn>
  </autoFilter>
  <pageMargins left="0.51181102362204722" right="0.47244094488188981" top="0.74803149606299213" bottom="0.74803149606299213" header="0.31496062992125984" footer="0.31496062992125984"/>
  <pageSetup paperSize="8" scale="65" orientation="landscape" r:id="rId1"/>
  <headerFooter>
    <oddFooter>&amp;LBuilding Infrastructure&amp;C&amp;P of &amp;N&amp;REducation Infrastructure 2015/16 Financial Year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4"/>
  <sheetViews>
    <sheetView workbookViewId="0">
      <pane xSplit="2" ySplit="5" topLeftCell="C32" activePane="bottomRight" state="frozen"/>
      <selection pane="topRight" activeCell="C1" sqref="C1"/>
      <selection pane="bottomLeft" activeCell="A6" sqref="A6"/>
      <selection pane="bottomRight"/>
    </sheetView>
  </sheetViews>
  <sheetFormatPr defaultRowHeight="11.25"/>
  <cols>
    <col min="1" max="1" width="3.5703125" style="4" bestFit="1" customWidth="1"/>
    <col min="2" max="2" width="33.7109375" style="2" customWidth="1"/>
    <col min="3" max="5" width="13.7109375" style="2" customWidth="1"/>
    <col min="6" max="11" width="10.7109375" style="2" customWidth="1"/>
    <col min="12" max="13" width="13.7109375" style="2" customWidth="1"/>
    <col min="14" max="14" width="13.7109375" style="82" customWidth="1"/>
    <col min="15" max="15" width="13.7109375" style="2" customWidth="1"/>
    <col min="16" max="16" width="13.7109375" style="2" hidden="1" customWidth="1"/>
    <col min="17" max="18" width="13.7109375" style="2" customWidth="1"/>
    <col min="19" max="19" width="11.140625" style="4" bestFit="1" customWidth="1"/>
    <col min="20" max="20" width="9.140625" style="17"/>
    <col min="21" max="16384" width="9.140625" style="2"/>
  </cols>
  <sheetData>
    <row r="1" spans="1:21" ht="15.75">
      <c r="A1" s="434" t="s">
        <v>106</v>
      </c>
      <c r="B1" s="435"/>
      <c r="C1" s="435"/>
      <c r="D1" s="435"/>
      <c r="E1" s="435"/>
      <c r="F1" s="435"/>
      <c r="G1" s="435"/>
      <c r="H1" s="435"/>
      <c r="I1" s="435"/>
      <c r="J1" s="435"/>
      <c r="K1" s="435"/>
      <c r="L1" s="435"/>
      <c r="M1" s="435"/>
      <c r="N1" s="118"/>
      <c r="O1" s="435"/>
      <c r="Q1" s="435"/>
      <c r="R1" s="435"/>
      <c r="S1" s="115"/>
    </row>
    <row r="2" spans="1:21" ht="12.75">
      <c r="A2" s="436" t="s">
        <v>107</v>
      </c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118"/>
      <c r="O2" s="435"/>
      <c r="Q2" s="435"/>
      <c r="R2" s="435"/>
      <c r="S2" s="115"/>
    </row>
    <row r="3" spans="1:21" ht="18.75" thickBot="1">
      <c r="A3" s="437" t="s">
        <v>109</v>
      </c>
      <c r="B3" s="435"/>
      <c r="C3" s="435"/>
      <c r="D3" s="435"/>
      <c r="E3" s="435"/>
      <c r="F3" s="435"/>
      <c r="G3" s="435"/>
      <c r="H3" s="435"/>
      <c r="I3" s="435"/>
      <c r="J3" s="435"/>
      <c r="K3" s="435"/>
      <c r="L3" s="435"/>
      <c r="M3" s="435"/>
      <c r="N3" s="118"/>
      <c r="O3" s="435"/>
      <c r="Q3" s="435"/>
      <c r="R3" s="435"/>
      <c r="S3" s="115"/>
    </row>
    <row r="4" spans="1:21" ht="14.25" thickTop="1" thickBot="1">
      <c r="A4" s="115"/>
      <c r="B4" s="438"/>
      <c r="C4" s="439"/>
      <c r="D4" s="439"/>
      <c r="E4" s="439"/>
      <c r="F4" s="440"/>
      <c r="G4" s="441" t="s">
        <v>1285</v>
      </c>
      <c r="H4" s="442"/>
      <c r="I4" s="443"/>
      <c r="J4" s="444" t="s">
        <v>65</v>
      </c>
      <c r="K4" s="445"/>
      <c r="L4" s="446"/>
      <c r="M4" s="446"/>
      <c r="N4" s="447"/>
      <c r="O4" s="439"/>
      <c r="P4" s="77"/>
      <c r="Q4" s="450">
        <f>Q63</f>
        <v>462737</v>
      </c>
      <c r="R4" s="450">
        <f>R63</f>
        <v>0</v>
      </c>
      <c r="S4" s="524"/>
      <c r="T4" s="39"/>
      <c r="U4" s="40"/>
    </row>
    <row r="5" spans="1:21" s="4" customFormat="1" ht="45.75" thickTop="1">
      <c r="A5" s="448" t="s">
        <v>67</v>
      </c>
      <c r="B5" s="43" t="s">
        <v>100</v>
      </c>
      <c r="C5" s="43" t="s">
        <v>102</v>
      </c>
      <c r="D5" s="43" t="s">
        <v>69</v>
      </c>
      <c r="E5" s="43" t="s">
        <v>103</v>
      </c>
      <c r="F5" s="343" t="s">
        <v>0</v>
      </c>
      <c r="G5" s="343" t="s">
        <v>1284</v>
      </c>
      <c r="H5" s="343" t="s">
        <v>104</v>
      </c>
      <c r="I5" s="343" t="s">
        <v>0</v>
      </c>
      <c r="J5" s="343" t="s">
        <v>1284</v>
      </c>
      <c r="K5" s="343" t="s">
        <v>104</v>
      </c>
      <c r="L5" s="44" t="s">
        <v>70</v>
      </c>
      <c r="M5" s="44" t="s">
        <v>77</v>
      </c>
      <c r="N5" s="43" t="s">
        <v>1198</v>
      </c>
      <c r="O5" s="43" t="s">
        <v>72</v>
      </c>
      <c r="P5" s="43" t="s">
        <v>82</v>
      </c>
      <c r="Q5" s="3" t="s">
        <v>74</v>
      </c>
      <c r="R5" s="523" t="s">
        <v>75</v>
      </c>
      <c r="S5" s="527" t="s">
        <v>101</v>
      </c>
      <c r="T5" s="41"/>
      <c r="U5" s="42"/>
    </row>
    <row r="6" spans="1:21" s="48" customFormat="1" ht="36" customHeight="1">
      <c r="A6" s="449">
        <v>1</v>
      </c>
      <c r="B6" s="423" t="s">
        <v>1345</v>
      </c>
      <c r="C6" s="53" t="s">
        <v>98</v>
      </c>
      <c r="D6" s="53" t="s">
        <v>1220</v>
      </c>
      <c r="E6" s="49" t="s">
        <v>85</v>
      </c>
      <c r="F6" s="64">
        <v>42095</v>
      </c>
      <c r="G6" s="49">
        <v>11</v>
      </c>
      <c r="H6" s="398">
        <f>F6+(G6*31)</f>
        <v>42436</v>
      </c>
      <c r="I6" s="54">
        <v>42095</v>
      </c>
      <c r="J6" s="433">
        <f>(K6-I6)/31</f>
        <v>23.612903225806452</v>
      </c>
      <c r="K6" s="54">
        <v>42827</v>
      </c>
      <c r="L6" s="52" t="s">
        <v>1400</v>
      </c>
      <c r="M6" s="45" t="s">
        <v>86</v>
      </c>
      <c r="N6" s="49" t="s">
        <v>1282</v>
      </c>
      <c r="O6" s="66">
        <v>150000</v>
      </c>
      <c r="P6" s="67"/>
      <c r="Q6" s="68">
        <v>5000</v>
      </c>
      <c r="R6" s="69"/>
      <c r="S6" s="528" t="s">
        <v>63</v>
      </c>
      <c r="T6" s="55"/>
      <c r="U6" s="56"/>
    </row>
    <row r="7" spans="1:21" s="48" customFormat="1" ht="36" customHeight="1">
      <c r="A7" s="449">
        <v>2</v>
      </c>
      <c r="B7" s="423" t="s">
        <v>1393</v>
      </c>
      <c r="C7" s="53" t="s">
        <v>98</v>
      </c>
      <c r="D7" s="53" t="s">
        <v>1220</v>
      </c>
      <c r="E7" s="49" t="s">
        <v>1407</v>
      </c>
      <c r="F7" s="64">
        <v>42095</v>
      </c>
      <c r="G7" s="49">
        <v>3</v>
      </c>
      <c r="H7" s="398">
        <f>F7+(G7*31)</f>
        <v>42188</v>
      </c>
      <c r="I7" s="54">
        <v>42219</v>
      </c>
      <c r="J7" s="63">
        <v>24</v>
      </c>
      <c r="K7" s="54">
        <v>43041</v>
      </c>
      <c r="L7" s="52" t="s">
        <v>1400</v>
      </c>
      <c r="M7" s="49" t="s">
        <v>78</v>
      </c>
      <c r="N7" s="53" t="s">
        <v>65</v>
      </c>
      <c r="O7" s="67">
        <v>214000</v>
      </c>
      <c r="P7" s="67"/>
      <c r="Q7" s="68">
        <v>12400</v>
      </c>
      <c r="R7" s="69"/>
      <c r="S7" s="529" t="s">
        <v>63</v>
      </c>
      <c r="T7" s="57"/>
      <c r="U7" s="56"/>
    </row>
    <row r="8" spans="1:21" s="48" customFormat="1" ht="36" customHeight="1">
      <c r="A8" s="449">
        <v>3</v>
      </c>
      <c r="B8" s="423" t="s">
        <v>1394</v>
      </c>
      <c r="C8" s="53" t="s">
        <v>98</v>
      </c>
      <c r="D8" s="53" t="s">
        <v>1220</v>
      </c>
      <c r="E8" s="49" t="s">
        <v>1406</v>
      </c>
      <c r="F8" s="64">
        <v>42095</v>
      </c>
      <c r="G8" s="49">
        <v>3</v>
      </c>
      <c r="H8" s="398">
        <f>F8+(G8*31)</f>
        <v>42188</v>
      </c>
      <c r="I8" s="54">
        <v>42219</v>
      </c>
      <c r="J8" s="63">
        <v>24</v>
      </c>
      <c r="K8" s="54">
        <v>42824</v>
      </c>
      <c r="L8" s="52" t="s">
        <v>1400</v>
      </c>
      <c r="M8" s="49" t="s">
        <v>78</v>
      </c>
      <c r="N8" s="53" t="s">
        <v>65</v>
      </c>
      <c r="O8" s="67">
        <v>98865</v>
      </c>
      <c r="P8" s="67"/>
      <c r="Q8" s="68">
        <v>24554</v>
      </c>
      <c r="R8" s="69"/>
      <c r="S8" s="529" t="s">
        <v>63</v>
      </c>
      <c r="T8" s="57"/>
      <c r="U8" s="56"/>
    </row>
    <row r="9" spans="1:21" s="48" customFormat="1" ht="36" customHeight="1">
      <c r="A9" s="449">
        <v>4</v>
      </c>
      <c r="B9" s="423" t="s">
        <v>1395</v>
      </c>
      <c r="C9" s="53" t="s">
        <v>98</v>
      </c>
      <c r="D9" s="53" t="s">
        <v>1220</v>
      </c>
      <c r="E9" s="49" t="s">
        <v>1405</v>
      </c>
      <c r="F9" s="49" t="s">
        <v>83</v>
      </c>
      <c r="G9" s="49" t="s">
        <v>83</v>
      </c>
      <c r="H9" s="398" t="s">
        <v>83</v>
      </c>
      <c r="I9" s="54">
        <v>41426</v>
      </c>
      <c r="J9" s="63">
        <f>(K9-I9)/31</f>
        <v>30.870967741935484</v>
      </c>
      <c r="K9" s="54">
        <v>42383</v>
      </c>
      <c r="L9" s="52" t="s">
        <v>1400</v>
      </c>
      <c r="M9" s="49" t="s">
        <v>105</v>
      </c>
      <c r="N9" s="53" t="s">
        <v>65</v>
      </c>
      <c r="O9" s="67">
        <v>77899</v>
      </c>
      <c r="P9" s="67"/>
      <c r="Q9" s="68">
        <v>59606</v>
      </c>
      <c r="R9" s="69"/>
      <c r="S9" s="529" t="s">
        <v>63</v>
      </c>
      <c r="T9" s="57"/>
      <c r="U9" s="56"/>
    </row>
    <row r="10" spans="1:21" s="48" customFormat="1" ht="36" customHeight="1">
      <c r="A10" s="449">
        <v>5</v>
      </c>
      <c r="B10" s="423" t="s">
        <v>1396</v>
      </c>
      <c r="C10" s="45" t="s">
        <v>88</v>
      </c>
      <c r="D10" s="45" t="s">
        <v>21</v>
      </c>
      <c r="E10" s="49" t="s">
        <v>1406</v>
      </c>
      <c r="F10" s="64">
        <v>42095</v>
      </c>
      <c r="G10" s="49">
        <v>3</v>
      </c>
      <c r="H10" s="398">
        <f>F10+(G10*31)</f>
        <v>42188</v>
      </c>
      <c r="I10" s="54">
        <v>42219</v>
      </c>
      <c r="J10" s="63">
        <v>24</v>
      </c>
      <c r="K10" s="54">
        <v>42643</v>
      </c>
      <c r="L10" s="52" t="s">
        <v>1400</v>
      </c>
      <c r="M10" s="49" t="s">
        <v>78</v>
      </c>
      <c r="N10" s="53" t="s">
        <v>65</v>
      </c>
      <c r="O10" s="71">
        <v>136147</v>
      </c>
      <c r="P10" s="67"/>
      <c r="Q10" s="68">
        <v>26401</v>
      </c>
      <c r="R10" s="69"/>
      <c r="S10" s="529" t="s">
        <v>63</v>
      </c>
      <c r="T10" s="47"/>
      <c r="U10" s="47"/>
    </row>
    <row r="11" spans="1:21" s="48" customFormat="1" ht="36" customHeight="1">
      <c r="A11" s="449">
        <v>6</v>
      </c>
      <c r="B11" s="424" t="s">
        <v>1397</v>
      </c>
      <c r="C11" s="45" t="s">
        <v>88</v>
      </c>
      <c r="D11" s="45" t="s">
        <v>21</v>
      </c>
      <c r="E11" s="49" t="s">
        <v>1408</v>
      </c>
      <c r="F11" s="49" t="s">
        <v>83</v>
      </c>
      <c r="G11" s="49" t="s">
        <v>83</v>
      </c>
      <c r="H11" s="398" t="s">
        <v>83</v>
      </c>
      <c r="I11" s="54">
        <v>41352</v>
      </c>
      <c r="J11" s="63">
        <f>(K11-I11)/31</f>
        <v>23.967741935483872</v>
      </c>
      <c r="K11" s="342">
        <v>42095</v>
      </c>
      <c r="L11" s="52" t="s">
        <v>1400</v>
      </c>
      <c r="M11" s="49" t="s">
        <v>78</v>
      </c>
      <c r="N11" s="53" t="s">
        <v>65</v>
      </c>
      <c r="O11" s="72">
        <v>28753</v>
      </c>
      <c r="P11" s="67"/>
      <c r="Q11" s="68">
        <v>3500</v>
      </c>
      <c r="R11" s="69"/>
      <c r="S11" s="529" t="s">
        <v>63</v>
      </c>
      <c r="T11" s="47"/>
      <c r="U11" s="47"/>
    </row>
    <row r="12" spans="1:21" s="48" customFormat="1" ht="36" customHeight="1">
      <c r="A12" s="449">
        <v>7</v>
      </c>
      <c r="B12" s="423" t="s">
        <v>1346</v>
      </c>
      <c r="C12" s="45" t="s">
        <v>98</v>
      </c>
      <c r="D12" s="45" t="s">
        <v>3</v>
      </c>
      <c r="E12" s="49" t="s">
        <v>94</v>
      </c>
      <c r="F12" s="64">
        <v>42095</v>
      </c>
      <c r="G12" s="49">
        <v>3</v>
      </c>
      <c r="H12" s="398">
        <f t="shared" ref="H12:H18" si="0">F12+(G12*31)</f>
        <v>42188</v>
      </c>
      <c r="I12" s="64">
        <v>42209</v>
      </c>
      <c r="J12" s="49">
        <v>3</v>
      </c>
      <c r="K12" s="398">
        <f t="shared" ref="K12:K18" si="1">I12+(J12*31)</f>
        <v>42302</v>
      </c>
      <c r="L12" s="52" t="s">
        <v>1400</v>
      </c>
      <c r="M12" s="49" t="s">
        <v>105</v>
      </c>
      <c r="N12" s="53" t="s">
        <v>1282</v>
      </c>
      <c r="O12" s="70">
        <v>219470</v>
      </c>
      <c r="P12" s="67"/>
      <c r="Q12" s="68">
        <v>2000</v>
      </c>
      <c r="R12" s="69"/>
      <c r="S12" s="529" t="s">
        <v>63</v>
      </c>
      <c r="T12" s="47"/>
      <c r="U12" s="47"/>
    </row>
    <row r="13" spans="1:21" s="48" customFormat="1" ht="36" customHeight="1">
      <c r="A13" s="449">
        <v>8</v>
      </c>
      <c r="B13" s="423" t="s">
        <v>1347</v>
      </c>
      <c r="C13" s="45" t="s">
        <v>98</v>
      </c>
      <c r="D13" s="45" t="s">
        <v>1220</v>
      </c>
      <c r="E13" s="49" t="s">
        <v>94</v>
      </c>
      <c r="F13" s="64">
        <v>42095</v>
      </c>
      <c r="G13" s="49">
        <v>3</v>
      </c>
      <c r="H13" s="398">
        <f t="shared" si="0"/>
        <v>42188</v>
      </c>
      <c r="I13" s="64">
        <v>42209</v>
      </c>
      <c r="J13" s="49">
        <v>4</v>
      </c>
      <c r="K13" s="398">
        <f t="shared" si="1"/>
        <v>42333</v>
      </c>
      <c r="L13" s="52" t="s">
        <v>1400</v>
      </c>
      <c r="M13" s="49" t="s">
        <v>105</v>
      </c>
      <c r="N13" s="53" t="s">
        <v>1282</v>
      </c>
      <c r="O13" s="71">
        <v>2000</v>
      </c>
      <c r="P13" s="67"/>
      <c r="Q13" s="68">
        <v>2000</v>
      </c>
      <c r="R13" s="69"/>
      <c r="S13" s="529" t="s">
        <v>63</v>
      </c>
      <c r="T13" s="47"/>
      <c r="U13" s="47"/>
    </row>
    <row r="14" spans="1:21" s="48" customFormat="1" ht="36" customHeight="1">
      <c r="A14" s="449">
        <v>9</v>
      </c>
      <c r="B14" s="423" t="s">
        <v>1348</v>
      </c>
      <c r="C14" s="53" t="s">
        <v>578</v>
      </c>
      <c r="D14" s="53" t="s">
        <v>865</v>
      </c>
      <c r="E14" s="49" t="s">
        <v>94</v>
      </c>
      <c r="F14" s="64">
        <v>42095</v>
      </c>
      <c r="G14" s="49">
        <v>3</v>
      </c>
      <c r="H14" s="398">
        <f t="shared" si="0"/>
        <v>42188</v>
      </c>
      <c r="I14" s="64">
        <v>42209</v>
      </c>
      <c r="J14" s="49">
        <v>4</v>
      </c>
      <c r="K14" s="398">
        <f t="shared" si="1"/>
        <v>42333</v>
      </c>
      <c r="L14" s="52" t="s">
        <v>1400</v>
      </c>
      <c r="M14" s="45" t="s">
        <v>105</v>
      </c>
      <c r="N14" s="53" t="s">
        <v>1282</v>
      </c>
      <c r="O14" s="66">
        <v>2000</v>
      </c>
      <c r="P14" s="67"/>
      <c r="Q14" s="68">
        <v>2000</v>
      </c>
      <c r="R14" s="69"/>
      <c r="S14" s="529" t="s">
        <v>63</v>
      </c>
      <c r="T14" s="47"/>
      <c r="U14" s="47"/>
    </row>
    <row r="15" spans="1:21" s="48" customFormat="1" ht="36" customHeight="1">
      <c r="A15" s="449">
        <v>10</v>
      </c>
      <c r="B15" s="423" t="s">
        <v>1349</v>
      </c>
      <c r="C15" s="45"/>
      <c r="D15" s="45"/>
      <c r="E15" s="49" t="s">
        <v>94</v>
      </c>
      <c r="F15" s="64">
        <v>42095</v>
      </c>
      <c r="G15" s="49">
        <v>4</v>
      </c>
      <c r="H15" s="398">
        <f t="shared" si="0"/>
        <v>42219</v>
      </c>
      <c r="I15" s="64">
        <v>42240</v>
      </c>
      <c r="J15" s="49">
        <v>4</v>
      </c>
      <c r="K15" s="398">
        <v>42374</v>
      </c>
      <c r="L15" s="52" t="s">
        <v>1400</v>
      </c>
      <c r="M15" s="45" t="s">
        <v>105</v>
      </c>
      <c r="N15" s="53" t="s">
        <v>1282</v>
      </c>
      <c r="O15" s="66">
        <v>2000</v>
      </c>
      <c r="P15" s="67"/>
      <c r="Q15" s="68">
        <v>2000</v>
      </c>
      <c r="R15" s="69"/>
      <c r="S15" s="529" t="s">
        <v>63</v>
      </c>
      <c r="T15" s="47"/>
      <c r="U15" s="47"/>
    </row>
    <row r="16" spans="1:21" s="48" customFormat="1" ht="36" customHeight="1">
      <c r="A16" s="449">
        <v>11</v>
      </c>
      <c r="B16" s="423" t="s">
        <v>1350</v>
      </c>
      <c r="C16" s="53" t="s">
        <v>98</v>
      </c>
      <c r="D16" s="53" t="s">
        <v>1353</v>
      </c>
      <c r="E16" s="49" t="s">
        <v>85</v>
      </c>
      <c r="F16" s="64">
        <v>42095</v>
      </c>
      <c r="G16" s="49">
        <v>4</v>
      </c>
      <c r="H16" s="398">
        <f t="shared" si="0"/>
        <v>42219</v>
      </c>
      <c r="I16" s="64">
        <v>42240</v>
      </c>
      <c r="J16" s="49">
        <v>6</v>
      </c>
      <c r="K16" s="398">
        <f t="shared" si="1"/>
        <v>42426</v>
      </c>
      <c r="L16" s="52" t="s">
        <v>1400</v>
      </c>
      <c r="M16" s="49" t="s">
        <v>105</v>
      </c>
      <c r="N16" s="53" t="s">
        <v>1282</v>
      </c>
      <c r="O16" s="67">
        <v>5000</v>
      </c>
      <c r="P16" s="67"/>
      <c r="Q16" s="68">
        <v>5000</v>
      </c>
      <c r="R16" s="69"/>
      <c r="S16" s="529" t="s">
        <v>63</v>
      </c>
      <c r="T16" s="59"/>
      <c r="U16" s="56"/>
    </row>
    <row r="17" spans="1:21" s="48" customFormat="1" ht="36" customHeight="1">
      <c r="A17" s="449">
        <v>12</v>
      </c>
      <c r="B17" s="423" t="s">
        <v>1398</v>
      </c>
      <c r="C17" s="53"/>
      <c r="D17" s="53"/>
      <c r="E17" s="49" t="s">
        <v>94</v>
      </c>
      <c r="F17" s="64">
        <v>42095</v>
      </c>
      <c r="G17" s="49">
        <v>4</v>
      </c>
      <c r="H17" s="398">
        <f t="shared" si="0"/>
        <v>42219</v>
      </c>
      <c r="I17" s="64">
        <v>42240</v>
      </c>
      <c r="J17" s="49">
        <v>6</v>
      </c>
      <c r="K17" s="398">
        <f t="shared" si="1"/>
        <v>42426</v>
      </c>
      <c r="L17" s="52" t="s">
        <v>1400</v>
      </c>
      <c r="M17" s="49" t="s">
        <v>105</v>
      </c>
      <c r="N17" s="53" t="s">
        <v>1282</v>
      </c>
      <c r="O17" s="67">
        <v>5000</v>
      </c>
      <c r="P17" s="67"/>
      <c r="Q17" s="68">
        <v>2000</v>
      </c>
      <c r="R17" s="69"/>
      <c r="S17" s="529" t="s">
        <v>63</v>
      </c>
      <c r="T17" s="59"/>
      <c r="U17" s="56"/>
    </row>
    <row r="18" spans="1:21" s="48" customFormat="1" ht="36" customHeight="1">
      <c r="A18" s="449">
        <v>13</v>
      </c>
      <c r="B18" s="423" t="s">
        <v>1351</v>
      </c>
      <c r="C18" s="53"/>
      <c r="D18" s="53"/>
      <c r="E18" s="49" t="s">
        <v>94</v>
      </c>
      <c r="F18" s="64">
        <v>42095</v>
      </c>
      <c r="G18" s="49">
        <v>4</v>
      </c>
      <c r="H18" s="398">
        <f t="shared" si="0"/>
        <v>42219</v>
      </c>
      <c r="I18" s="64">
        <v>42240</v>
      </c>
      <c r="J18" s="49">
        <v>6</v>
      </c>
      <c r="K18" s="398">
        <f t="shared" si="1"/>
        <v>42426</v>
      </c>
      <c r="L18" s="52" t="s">
        <v>1400</v>
      </c>
      <c r="M18" s="49" t="s">
        <v>105</v>
      </c>
      <c r="N18" s="53" t="s">
        <v>1282</v>
      </c>
      <c r="O18" s="67">
        <v>2000</v>
      </c>
      <c r="P18" s="67"/>
      <c r="Q18" s="68">
        <v>2000</v>
      </c>
      <c r="R18" s="69"/>
      <c r="S18" s="529" t="s">
        <v>63</v>
      </c>
      <c r="T18" s="47"/>
      <c r="U18" s="56"/>
    </row>
    <row r="19" spans="1:21" s="48" customFormat="1" ht="36" customHeight="1">
      <c r="A19" s="449">
        <v>14</v>
      </c>
      <c r="B19" s="423" t="s">
        <v>1352</v>
      </c>
      <c r="C19" s="53" t="s">
        <v>98</v>
      </c>
      <c r="D19" s="53" t="s">
        <v>1353</v>
      </c>
      <c r="E19" s="49" t="s">
        <v>85</v>
      </c>
      <c r="F19" s="64" t="s">
        <v>83</v>
      </c>
      <c r="G19" s="49" t="s">
        <v>83</v>
      </c>
      <c r="H19" s="398" t="s">
        <v>83</v>
      </c>
      <c r="I19" s="64" t="s">
        <v>83</v>
      </c>
      <c r="J19" s="49" t="s">
        <v>83</v>
      </c>
      <c r="K19" s="398" t="s">
        <v>83</v>
      </c>
      <c r="L19" s="52" t="s">
        <v>1400</v>
      </c>
      <c r="M19" s="49" t="s">
        <v>86</v>
      </c>
      <c r="N19" s="53" t="s">
        <v>80</v>
      </c>
      <c r="O19" s="67">
        <v>2000</v>
      </c>
      <c r="P19" s="67"/>
      <c r="Q19" s="68">
        <v>0</v>
      </c>
      <c r="R19" s="69"/>
      <c r="S19" s="529" t="s">
        <v>63</v>
      </c>
      <c r="T19" s="47"/>
      <c r="U19" s="56"/>
    </row>
    <row r="20" spans="1:21" s="48" customFormat="1" ht="36" customHeight="1">
      <c r="A20" s="449">
        <v>15</v>
      </c>
      <c r="B20" s="423" t="s">
        <v>1354</v>
      </c>
      <c r="C20" s="53" t="s">
        <v>98</v>
      </c>
      <c r="D20" s="53" t="s">
        <v>39</v>
      </c>
      <c r="E20" s="49" t="s">
        <v>85</v>
      </c>
      <c r="F20" s="64" t="s">
        <v>83</v>
      </c>
      <c r="G20" s="49" t="s">
        <v>83</v>
      </c>
      <c r="H20" s="398" t="s">
        <v>83</v>
      </c>
      <c r="I20" s="64" t="s">
        <v>83</v>
      </c>
      <c r="J20" s="49" t="s">
        <v>83</v>
      </c>
      <c r="K20" s="398" t="s">
        <v>83</v>
      </c>
      <c r="L20" s="52" t="s">
        <v>1400</v>
      </c>
      <c r="M20" s="49" t="s">
        <v>86</v>
      </c>
      <c r="N20" s="53" t="s">
        <v>80</v>
      </c>
      <c r="O20" s="67">
        <v>2000</v>
      </c>
      <c r="P20" s="67"/>
      <c r="Q20" s="68">
        <v>0</v>
      </c>
      <c r="R20" s="69"/>
      <c r="S20" s="529" t="s">
        <v>63</v>
      </c>
      <c r="T20" s="47"/>
      <c r="U20" s="56"/>
    </row>
    <row r="21" spans="1:21" s="48" customFormat="1" ht="36" customHeight="1">
      <c r="A21" s="449">
        <v>16</v>
      </c>
      <c r="B21" s="423" t="s">
        <v>1355</v>
      </c>
      <c r="C21" s="54"/>
      <c r="D21" s="54"/>
      <c r="E21" s="49" t="s">
        <v>85</v>
      </c>
      <c r="F21" s="64" t="s">
        <v>83</v>
      </c>
      <c r="G21" s="49" t="s">
        <v>83</v>
      </c>
      <c r="H21" s="398" t="s">
        <v>83</v>
      </c>
      <c r="I21" s="64" t="s">
        <v>83</v>
      </c>
      <c r="J21" s="49" t="s">
        <v>83</v>
      </c>
      <c r="K21" s="398" t="s">
        <v>83</v>
      </c>
      <c r="L21" s="52" t="s">
        <v>1400</v>
      </c>
      <c r="M21" s="52" t="s">
        <v>86</v>
      </c>
      <c r="N21" s="53" t="s">
        <v>80</v>
      </c>
      <c r="O21" s="67">
        <v>2000</v>
      </c>
      <c r="P21" s="67"/>
      <c r="Q21" s="68">
        <v>0</v>
      </c>
      <c r="R21" s="69"/>
      <c r="S21" s="529" t="s">
        <v>63</v>
      </c>
      <c r="T21" s="47"/>
      <c r="U21" s="56"/>
    </row>
    <row r="22" spans="1:21" s="48" customFormat="1" ht="36" customHeight="1">
      <c r="A22" s="449">
        <v>17</v>
      </c>
      <c r="B22" s="423" t="s">
        <v>1356</v>
      </c>
      <c r="C22" s="53" t="s">
        <v>578</v>
      </c>
      <c r="D22" s="53" t="s">
        <v>588</v>
      </c>
      <c r="E22" s="49" t="s">
        <v>85</v>
      </c>
      <c r="F22" s="64" t="s">
        <v>83</v>
      </c>
      <c r="G22" s="49" t="s">
        <v>83</v>
      </c>
      <c r="H22" s="398" t="s">
        <v>83</v>
      </c>
      <c r="I22" s="64" t="s">
        <v>83</v>
      </c>
      <c r="J22" s="49" t="s">
        <v>83</v>
      </c>
      <c r="K22" s="398" t="s">
        <v>83</v>
      </c>
      <c r="L22" s="52" t="s">
        <v>1400</v>
      </c>
      <c r="M22" s="49" t="s">
        <v>86</v>
      </c>
      <c r="N22" s="53" t="s">
        <v>80</v>
      </c>
      <c r="O22" s="67">
        <v>2000</v>
      </c>
      <c r="P22" s="67"/>
      <c r="Q22" s="68">
        <v>0</v>
      </c>
      <c r="R22" s="69"/>
      <c r="S22" s="529" t="s">
        <v>63</v>
      </c>
      <c r="T22" s="47"/>
      <c r="U22" s="56"/>
    </row>
    <row r="23" spans="1:21" s="48" customFormat="1" ht="36" customHeight="1">
      <c r="A23" s="449">
        <v>18</v>
      </c>
      <c r="B23" s="423" t="s">
        <v>1357</v>
      </c>
      <c r="C23" s="53" t="s">
        <v>88</v>
      </c>
      <c r="D23" s="53" t="s">
        <v>21</v>
      </c>
      <c r="E23" s="49" t="s">
        <v>48</v>
      </c>
      <c r="F23" s="64" t="s">
        <v>83</v>
      </c>
      <c r="G23" s="49" t="s">
        <v>83</v>
      </c>
      <c r="H23" s="398" t="s">
        <v>83</v>
      </c>
      <c r="I23" s="64" t="s">
        <v>83</v>
      </c>
      <c r="J23" s="49" t="s">
        <v>83</v>
      </c>
      <c r="K23" s="398" t="s">
        <v>83</v>
      </c>
      <c r="L23" s="52" t="s">
        <v>1400</v>
      </c>
      <c r="M23" s="49" t="s">
        <v>105</v>
      </c>
      <c r="N23" s="53" t="s">
        <v>65</v>
      </c>
      <c r="O23" s="67"/>
      <c r="P23" s="67"/>
      <c r="Q23" s="68"/>
      <c r="R23" s="69"/>
      <c r="S23" s="529" t="s">
        <v>63</v>
      </c>
      <c r="T23" s="47"/>
      <c r="U23" s="56"/>
    </row>
    <row r="24" spans="1:21" s="48" customFormat="1" ht="36" customHeight="1">
      <c r="A24" s="449">
        <v>19</v>
      </c>
      <c r="B24" s="423" t="s">
        <v>1358</v>
      </c>
      <c r="C24" s="53" t="s">
        <v>578</v>
      </c>
      <c r="D24" s="53" t="s">
        <v>1359</v>
      </c>
      <c r="E24" s="49" t="s">
        <v>48</v>
      </c>
      <c r="F24" s="64" t="s">
        <v>83</v>
      </c>
      <c r="G24" s="49" t="s">
        <v>83</v>
      </c>
      <c r="H24" s="398" t="s">
        <v>83</v>
      </c>
      <c r="I24" s="54">
        <v>42095</v>
      </c>
      <c r="J24" s="63">
        <f>(K24-I24)/31</f>
        <v>11.774193548387096</v>
      </c>
      <c r="K24" s="54">
        <v>42460</v>
      </c>
      <c r="L24" s="52" t="s">
        <v>1400</v>
      </c>
      <c r="M24" s="49" t="s">
        <v>105</v>
      </c>
      <c r="N24" s="53" t="s">
        <v>65</v>
      </c>
      <c r="O24" s="67">
        <v>5000</v>
      </c>
      <c r="P24" s="67"/>
      <c r="Q24" s="68">
        <v>672</v>
      </c>
      <c r="R24" s="69"/>
      <c r="S24" s="529" t="s">
        <v>63</v>
      </c>
      <c r="T24" s="47"/>
      <c r="U24" s="56"/>
    </row>
    <row r="25" spans="1:21" s="48" customFormat="1" ht="36" customHeight="1">
      <c r="A25" s="449">
        <v>20</v>
      </c>
      <c r="B25" s="423" t="s">
        <v>1360</v>
      </c>
      <c r="C25" s="53" t="s">
        <v>98</v>
      </c>
      <c r="D25" s="53" t="s">
        <v>1220</v>
      </c>
      <c r="E25" s="49" t="s">
        <v>48</v>
      </c>
      <c r="F25" s="64">
        <v>42095</v>
      </c>
      <c r="G25" s="49">
        <v>3</v>
      </c>
      <c r="H25" s="398">
        <f>F25+(G25*31)</f>
        <v>42188</v>
      </c>
      <c r="I25" s="64">
        <v>42209</v>
      </c>
      <c r="J25" s="49">
        <v>6</v>
      </c>
      <c r="K25" s="398">
        <f>I25+(J25*31)</f>
        <v>42395</v>
      </c>
      <c r="L25" s="52" t="s">
        <v>1400</v>
      </c>
      <c r="M25" s="49" t="s">
        <v>105</v>
      </c>
      <c r="N25" s="53" t="s">
        <v>1282</v>
      </c>
      <c r="O25" s="67">
        <v>672</v>
      </c>
      <c r="P25" s="67"/>
      <c r="Q25" s="68">
        <v>5000</v>
      </c>
      <c r="R25" s="69"/>
      <c r="S25" s="529" t="s">
        <v>63</v>
      </c>
      <c r="T25" s="47"/>
      <c r="U25" s="56"/>
    </row>
    <row r="26" spans="1:21" s="48" customFormat="1" ht="36" customHeight="1">
      <c r="A26" s="449">
        <v>21</v>
      </c>
      <c r="B26" s="423" t="s">
        <v>1401</v>
      </c>
      <c r="C26" s="53" t="s">
        <v>98</v>
      </c>
      <c r="D26" s="53" t="s">
        <v>1220</v>
      </c>
      <c r="E26" s="49" t="s">
        <v>89</v>
      </c>
      <c r="F26" s="64">
        <v>42095</v>
      </c>
      <c r="G26" s="49">
        <v>6</v>
      </c>
      <c r="H26" s="398">
        <f>F26+(G26*21)</f>
        <v>42221</v>
      </c>
      <c r="I26" s="64">
        <v>42249</v>
      </c>
      <c r="J26" s="49">
        <v>12</v>
      </c>
      <c r="K26" s="398">
        <f>I26+(J26*31)</f>
        <v>42621</v>
      </c>
      <c r="L26" s="52" t="s">
        <v>51</v>
      </c>
      <c r="M26" s="49" t="s">
        <v>78</v>
      </c>
      <c r="N26" s="53" t="s">
        <v>1282</v>
      </c>
      <c r="O26" s="67">
        <v>35000</v>
      </c>
      <c r="P26" s="67"/>
      <c r="Q26" s="68">
        <v>5000</v>
      </c>
      <c r="R26" s="69"/>
      <c r="S26" s="529" t="s">
        <v>63</v>
      </c>
      <c r="T26" s="47"/>
      <c r="U26" s="56"/>
    </row>
    <row r="27" spans="1:21" s="48" customFormat="1" ht="36" customHeight="1">
      <c r="A27" s="449">
        <v>22</v>
      </c>
      <c r="B27" s="423" t="s">
        <v>1361</v>
      </c>
      <c r="C27" s="53" t="s">
        <v>88</v>
      </c>
      <c r="D27" s="53" t="s">
        <v>799</v>
      </c>
      <c r="E27" s="49" t="s">
        <v>85</v>
      </c>
      <c r="F27" s="64">
        <v>42095</v>
      </c>
      <c r="G27" s="49">
        <v>3</v>
      </c>
      <c r="H27" s="398">
        <f>F27+(G27*31)</f>
        <v>42188</v>
      </c>
      <c r="I27" s="64">
        <v>42209</v>
      </c>
      <c r="J27" s="49">
        <v>60</v>
      </c>
      <c r="K27" s="398">
        <f>I27+(J27*31)</f>
        <v>44069</v>
      </c>
      <c r="L27" s="52" t="s">
        <v>51</v>
      </c>
      <c r="M27" s="49" t="s">
        <v>86</v>
      </c>
      <c r="N27" s="53" t="s">
        <v>65</v>
      </c>
      <c r="O27" s="67">
        <v>679369</v>
      </c>
      <c r="P27" s="67"/>
      <c r="Q27" s="68">
        <v>10000</v>
      </c>
      <c r="R27" s="69"/>
      <c r="S27" s="529" t="s">
        <v>63</v>
      </c>
      <c r="T27" s="47"/>
      <c r="U27" s="56"/>
    </row>
    <row r="28" spans="1:21" s="48" customFormat="1" ht="36" customHeight="1">
      <c r="A28" s="449">
        <v>23</v>
      </c>
      <c r="B28" s="423" t="s">
        <v>1362</v>
      </c>
      <c r="C28" s="53" t="s">
        <v>578</v>
      </c>
      <c r="D28" s="53" t="s">
        <v>588</v>
      </c>
      <c r="E28" s="49" t="s">
        <v>85</v>
      </c>
      <c r="F28" s="64">
        <v>42095</v>
      </c>
      <c r="G28" s="49">
        <v>3</v>
      </c>
      <c r="H28" s="398">
        <f>F28+(G28*31)</f>
        <v>42188</v>
      </c>
      <c r="I28" s="64">
        <v>42209</v>
      </c>
      <c r="J28" s="49">
        <v>3</v>
      </c>
      <c r="K28" s="398">
        <f>I28+(J28*31)</f>
        <v>42302</v>
      </c>
      <c r="L28" s="52" t="s">
        <v>51</v>
      </c>
      <c r="M28" s="49" t="s">
        <v>86</v>
      </c>
      <c r="N28" s="53" t="s">
        <v>65</v>
      </c>
      <c r="O28" s="67">
        <v>600000</v>
      </c>
      <c r="P28" s="67"/>
      <c r="Q28" s="68">
        <v>35000</v>
      </c>
      <c r="R28" s="69"/>
      <c r="S28" s="529" t="s">
        <v>63</v>
      </c>
      <c r="T28" s="47"/>
      <c r="U28" s="56"/>
    </row>
    <row r="29" spans="1:21" s="48" customFormat="1" ht="36" customHeight="1">
      <c r="A29" s="449">
        <v>24</v>
      </c>
      <c r="B29" s="423" t="s">
        <v>1363</v>
      </c>
      <c r="C29" s="53" t="s">
        <v>98</v>
      </c>
      <c r="D29" s="53" t="s">
        <v>1220</v>
      </c>
      <c r="E29" s="49" t="s">
        <v>48</v>
      </c>
      <c r="F29" s="49" t="s">
        <v>83</v>
      </c>
      <c r="G29" s="49" t="s">
        <v>83</v>
      </c>
      <c r="H29" s="398" t="s">
        <v>83</v>
      </c>
      <c r="I29" s="54">
        <v>42095</v>
      </c>
      <c r="J29" s="63">
        <f>(K29-I29)/31</f>
        <v>11.774193548387096</v>
      </c>
      <c r="K29" s="54">
        <v>42460</v>
      </c>
      <c r="L29" s="52" t="s">
        <v>1400</v>
      </c>
      <c r="M29" s="49" t="s">
        <v>90</v>
      </c>
      <c r="N29" s="45" t="s">
        <v>65</v>
      </c>
      <c r="O29" s="67">
        <v>219470</v>
      </c>
      <c r="P29" s="67"/>
      <c r="Q29" s="68">
        <v>17419</v>
      </c>
      <c r="R29" s="69"/>
      <c r="S29" s="529" t="s">
        <v>63</v>
      </c>
      <c r="T29" s="47"/>
      <c r="U29" s="56"/>
    </row>
    <row r="30" spans="1:21" s="48" customFormat="1" ht="36" customHeight="1">
      <c r="A30" s="449">
        <v>25</v>
      </c>
      <c r="B30" s="423" t="s">
        <v>1364</v>
      </c>
      <c r="C30" s="53" t="s">
        <v>88</v>
      </c>
      <c r="D30" s="53"/>
      <c r="E30" s="49" t="s">
        <v>48</v>
      </c>
      <c r="F30" s="49" t="s">
        <v>83</v>
      </c>
      <c r="G30" s="49" t="s">
        <v>83</v>
      </c>
      <c r="H30" s="398" t="s">
        <v>83</v>
      </c>
      <c r="I30" s="54">
        <v>42095</v>
      </c>
      <c r="J30" s="63">
        <f>(K30-I30)/31</f>
        <v>11.774193548387096</v>
      </c>
      <c r="K30" s="54">
        <v>42460</v>
      </c>
      <c r="L30" s="52" t="s">
        <v>1400</v>
      </c>
      <c r="M30" s="49" t="s">
        <v>90</v>
      </c>
      <c r="N30" s="45" t="s">
        <v>65</v>
      </c>
      <c r="O30" s="67">
        <v>219470</v>
      </c>
      <c r="P30" s="67"/>
      <c r="Q30" s="68">
        <v>18039</v>
      </c>
      <c r="R30" s="69"/>
      <c r="S30" s="529" t="s">
        <v>63</v>
      </c>
      <c r="T30" s="47"/>
      <c r="U30" s="56"/>
    </row>
    <row r="31" spans="1:21" s="48" customFormat="1" ht="36" customHeight="1">
      <c r="A31" s="449">
        <v>26</v>
      </c>
      <c r="B31" s="423" t="s">
        <v>1365</v>
      </c>
      <c r="C31" s="53" t="s">
        <v>578</v>
      </c>
      <c r="D31" s="53"/>
      <c r="E31" s="49" t="s">
        <v>48</v>
      </c>
      <c r="F31" s="49" t="s">
        <v>83</v>
      </c>
      <c r="G31" s="49" t="s">
        <v>83</v>
      </c>
      <c r="H31" s="398" t="s">
        <v>83</v>
      </c>
      <c r="I31" s="54">
        <v>42095</v>
      </c>
      <c r="J31" s="433">
        <f>(K31-I31)/31</f>
        <v>11.774193548387096</v>
      </c>
      <c r="K31" s="54">
        <v>42460</v>
      </c>
      <c r="L31" s="52" t="s">
        <v>1400</v>
      </c>
      <c r="M31" s="49" t="s">
        <v>90</v>
      </c>
      <c r="N31" s="53" t="s">
        <v>65</v>
      </c>
      <c r="O31" s="67">
        <v>219470</v>
      </c>
      <c r="P31" s="67"/>
      <c r="Q31" s="68">
        <v>27224</v>
      </c>
      <c r="R31" s="69"/>
      <c r="S31" s="529" t="s">
        <v>63</v>
      </c>
      <c r="T31" s="47"/>
      <c r="U31" s="56"/>
    </row>
    <row r="32" spans="1:21" s="48" customFormat="1" ht="36" customHeight="1">
      <c r="A32" s="449">
        <v>27</v>
      </c>
      <c r="B32" s="423" t="s">
        <v>1366</v>
      </c>
      <c r="C32" s="53" t="s">
        <v>98</v>
      </c>
      <c r="D32" s="53" t="s">
        <v>3</v>
      </c>
      <c r="E32" s="49" t="s">
        <v>85</v>
      </c>
      <c r="F32" s="64">
        <v>42095</v>
      </c>
      <c r="G32" s="49">
        <v>11</v>
      </c>
      <c r="H32" s="398">
        <f>F32+(G32*31)</f>
        <v>42436</v>
      </c>
      <c r="I32" s="64">
        <v>42467</v>
      </c>
      <c r="J32" s="49">
        <v>24</v>
      </c>
      <c r="K32" s="398">
        <f>I32+(J32*31)</f>
        <v>43211</v>
      </c>
      <c r="L32" s="52" t="s">
        <v>51</v>
      </c>
      <c r="M32" s="49" t="s">
        <v>78</v>
      </c>
      <c r="N32" s="53" t="s">
        <v>1399</v>
      </c>
      <c r="O32" s="67">
        <v>600000</v>
      </c>
      <c r="P32" s="67"/>
      <c r="Q32" s="68">
        <v>5000</v>
      </c>
      <c r="R32" s="69"/>
      <c r="S32" s="529" t="s">
        <v>63</v>
      </c>
      <c r="T32" s="47"/>
      <c r="U32" s="56"/>
    </row>
    <row r="33" spans="1:21" s="48" customFormat="1" ht="36" customHeight="1">
      <c r="A33" s="449">
        <v>28</v>
      </c>
      <c r="B33" s="423" t="s">
        <v>1367</v>
      </c>
      <c r="C33" s="53" t="s">
        <v>98</v>
      </c>
      <c r="D33" s="53" t="s">
        <v>1353</v>
      </c>
      <c r="E33" s="49" t="s">
        <v>85</v>
      </c>
      <c r="F33" s="49" t="s">
        <v>1201</v>
      </c>
      <c r="G33" s="49" t="s">
        <v>1201</v>
      </c>
      <c r="H33" s="398" t="s">
        <v>1201</v>
      </c>
      <c r="I33" s="54">
        <v>42013</v>
      </c>
      <c r="J33" s="63">
        <f>(K33-I33)/31</f>
        <v>11.806451612903226</v>
      </c>
      <c r="K33" s="54">
        <v>42379</v>
      </c>
      <c r="L33" s="52" t="s">
        <v>51</v>
      </c>
      <c r="M33" s="49" t="s">
        <v>86</v>
      </c>
      <c r="N33" s="53" t="s">
        <v>65</v>
      </c>
      <c r="O33" s="67">
        <v>96602</v>
      </c>
      <c r="P33" s="67"/>
      <c r="Q33" s="68">
        <v>0</v>
      </c>
      <c r="R33" s="69"/>
      <c r="S33" s="529" t="s">
        <v>63</v>
      </c>
      <c r="T33" s="47"/>
      <c r="U33" s="56"/>
    </row>
    <row r="34" spans="1:21" s="48" customFormat="1" ht="36" customHeight="1">
      <c r="A34" s="449">
        <v>29</v>
      </c>
      <c r="B34" s="423" t="s">
        <v>1411</v>
      </c>
      <c r="C34" s="45" t="s">
        <v>88</v>
      </c>
      <c r="D34" s="45" t="s">
        <v>1368</v>
      </c>
      <c r="E34" s="49" t="s">
        <v>89</v>
      </c>
      <c r="F34" s="64">
        <v>41944</v>
      </c>
      <c r="G34" s="49">
        <v>8</v>
      </c>
      <c r="H34" s="398">
        <f>F34+(G34*31)</f>
        <v>42192</v>
      </c>
      <c r="I34" s="64">
        <v>42209</v>
      </c>
      <c r="J34" s="49">
        <v>12</v>
      </c>
      <c r="K34" s="398">
        <f>I34+(J34*31)</f>
        <v>42581</v>
      </c>
      <c r="L34" s="49" t="s">
        <v>51</v>
      </c>
      <c r="M34" s="49" t="s">
        <v>78</v>
      </c>
      <c r="N34" s="45" t="s">
        <v>1282</v>
      </c>
      <c r="O34" s="70">
        <v>5000</v>
      </c>
      <c r="P34" s="67"/>
      <c r="Q34" s="68">
        <v>3000</v>
      </c>
      <c r="R34" s="69"/>
      <c r="S34" s="529" t="s">
        <v>63</v>
      </c>
      <c r="T34" s="60"/>
      <c r="U34" s="47"/>
    </row>
    <row r="35" spans="1:21" s="48" customFormat="1" ht="36" customHeight="1">
      <c r="A35" s="449">
        <v>30</v>
      </c>
      <c r="B35" s="423" t="s">
        <v>1369</v>
      </c>
      <c r="C35" s="45"/>
      <c r="D35" s="45"/>
      <c r="E35" s="49" t="s">
        <v>89</v>
      </c>
      <c r="F35" s="64">
        <v>41944</v>
      </c>
      <c r="G35" s="49">
        <v>8</v>
      </c>
      <c r="H35" s="398">
        <f>F35+(G35*31)</f>
        <v>42192</v>
      </c>
      <c r="I35" s="64">
        <v>42209</v>
      </c>
      <c r="J35" s="49">
        <v>12</v>
      </c>
      <c r="K35" s="398">
        <f>I35+(J35*31)</f>
        <v>42581</v>
      </c>
      <c r="L35" s="49" t="s">
        <v>51</v>
      </c>
      <c r="M35" s="49" t="s">
        <v>78</v>
      </c>
      <c r="N35" s="45" t="s">
        <v>1282</v>
      </c>
      <c r="O35" s="71">
        <v>5000</v>
      </c>
      <c r="P35" s="67"/>
      <c r="Q35" s="68">
        <v>3000</v>
      </c>
      <c r="R35" s="69"/>
      <c r="S35" s="529" t="s">
        <v>63</v>
      </c>
      <c r="T35" s="47"/>
      <c r="U35" s="47"/>
    </row>
    <row r="36" spans="1:21" s="48" customFormat="1" ht="36" customHeight="1">
      <c r="A36" s="449">
        <v>31</v>
      </c>
      <c r="B36" s="423" t="s">
        <v>1370</v>
      </c>
      <c r="C36" s="53" t="s">
        <v>88</v>
      </c>
      <c r="D36" s="53"/>
      <c r="E36" s="49" t="s">
        <v>94</v>
      </c>
      <c r="F36" s="64">
        <v>41944</v>
      </c>
      <c r="G36" s="49">
        <v>8</v>
      </c>
      <c r="H36" s="398">
        <f>F36+(G36*31)</f>
        <v>42192</v>
      </c>
      <c r="I36" s="64">
        <v>42209</v>
      </c>
      <c r="J36" s="49">
        <v>12</v>
      </c>
      <c r="K36" s="398">
        <f>I36+(J36*31)</f>
        <v>42581</v>
      </c>
      <c r="L36" s="49" t="s">
        <v>51</v>
      </c>
      <c r="M36" s="49" t="s">
        <v>78</v>
      </c>
      <c r="N36" s="45" t="s">
        <v>1282</v>
      </c>
      <c r="O36" s="66">
        <v>5000</v>
      </c>
      <c r="P36" s="67"/>
      <c r="Q36" s="68">
        <v>3000</v>
      </c>
      <c r="R36" s="69"/>
      <c r="S36" s="529" t="s">
        <v>63</v>
      </c>
      <c r="T36" s="47"/>
      <c r="U36" s="56"/>
    </row>
    <row r="37" spans="1:21" s="48" customFormat="1" ht="36" customHeight="1">
      <c r="A37" s="449">
        <v>32</v>
      </c>
      <c r="B37" s="423" t="s">
        <v>1371</v>
      </c>
      <c r="C37" s="45"/>
      <c r="D37" s="45"/>
      <c r="E37" s="49" t="s">
        <v>94</v>
      </c>
      <c r="F37" s="64">
        <v>41944</v>
      </c>
      <c r="G37" s="49">
        <v>8</v>
      </c>
      <c r="H37" s="398">
        <f>F37+(G37*31)</f>
        <v>42192</v>
      </c>
      <c r="I37" s="64">
        <v>42209</v>
      </c>
      <c r="J37" s="49">
        <v>12</v>
      </c>
      <c r="K37" s="398">
        <f>I37+(J37*31)</f>
        <v>42581</v>
      </c>
      <c r="L37" s="49" t="s">
        <v>51</v>
      </c>
      <c r="M37" s="49" t="s">
        <v>78</v>
      </c>
      <c r="N37" s="45" t="s">
        <v>1282</v>
      </c>
      <c r="O37" s="66">
        <v>5000</v>
      </c>
      <c r="P37" s="67"/>
      <c r="Q37" s="68">
        <v>3000</v>
      </c>
      <c r="R37" s="69"/>
      <c r="S37" s="529" t="s">
        <v>63</v>
      </c>
      <c r="T37" s="47"/>
      <c r="U37" s="47"/>
    </row>
    <row r="38" spans="1:21" s="48" customFormat="1" ht="36" customHeight="1">
      <c r="A38" s="449">
        <v>33</v>
      </c>
      <c r="B38" s="423" t="s">
        <v>1372</v>
      </c>
      <c r="C38" s="45" t="s">
        <v>88</v>
      </c>
      <c r="D38" s="45" t="s">
        <v>1373</v>
      </c>
      <c r="E38" s="49" t="s">
        <v>1404</v>
      </c>
      <c r="F38" s="64">
        <v>41944</v>
      </c>
      <c r="G38" s="49">
        <v>8</v>
      </c>
      <c r="H38" s="398">
        <f>F38+(G38*31)</f>
        <v>42192</v>
      </c>
      <c r="I38" s="64">
        <v>42209</v>
      </c>
      <c r="J38" s="49">
        <v>18</v>
      </c>
      <c r="K38" s="398">
        <f>I38+(J38*31)</f>
        <v>42767</v>
      </c>
      <c r="L38" s="49" t="s">
        <v>51</v>
      </c>
      <c r="M38" s="49" t="s">
        <v>78</v>
      </c>
      <c r="N38" s="45" t="s">
        <v>1282</v>
      </c>
      <c r="O38" s="71">
        <v>150000</v>
      </c>
      <c r="P38" s="67"/>
      <c r="Q38" s="68">
        <v>6502</v>
      </c>
      <c r="R38" s="69"/>
      <c r="S38" s="529" t="s">
        <v>63</v>
      </c>
      <c r="T38" s="47"/>
      <c r="U38" s="47"/>
    </row>
    <row r="39" spans="1:21" s="48" customFormat="1" ht="36" customHeight="1">
      <c r="A39" s="449">
        <v>34</v>
      </c>
      <c r="B39" s="423" t="s">
        <v>1374</v>
      </c>
      <c r="C39" s="53" t="s">
        <v>88</v>
      </c>
      <c r="D39" s="53" t="s">
        <v>799</v>
      </c>
      <c r="E39" s="49" t="s">
        <v>1405</v>
      </c>
      <c r="F39" s="49" t="s">
        <v>83</v>
      </c>
      <c r="G39" s="49" t="s">
        <v>83</v>
      </c>
      <c r="H39" s="398" t="s">
        <v>83</v>
      </c>
      <c r="I39" s="54">
        <v>42095</v>
      </c>
      <c r="J39" s="63">
        <f>(K39-I39)/31</f>
        <v>11.774193548387096</v>
      </c>
      <c r="K39" s="54">
        <v>42460</v>
      </c>
      <c r="L39" s="52" t="s">
        <v>51</v>
      </c>
      <c r="M39" s="61" t="s">
        <v>78</v>
      </c>
      <c r="N39" s="49" t="s">
        <v>65</v>
      </c>
      <c r="O39" s="66">
        <v>9120</v>
      </c>
      <c r="P39" s="67"/>
      <c r="Q39" s="68">
        <v>9120</v>
      </c>
      <c r="R39" s="69"/>
      <c r="S39" s="529" t="s">
        <v>63</v>
      </c>
      <c r="T39" s="47"/>
      <c r="U39" s="56"/>
    </row>
    <row r="40" spans="1:21" s="48" customFormat="1" ht="36" customHeight="1">
      <c r="A40" s="449">
        <v>35</v>
      </c>
      <c r="B40" s="423" t="s">
        <v>1375</v>
      </c>
      <c r="C40" s="45" t="s">
        <v>578</v>
      </c>
      <c r="D40" s="45"/>
      <c r="E40" s="49" t="s">
        <v>85</v>
      </c>
      <c r="F40" s="49" t="s">
        <v>83</v>
      </c>
      <c r="G40" s="49" t="s">
        <v>83</v>
      </c>
      <c r="H40" s="398" t="s">
        <v>83</v>
      </c>
      <c r="I40" s="54">
        <v>42095</v>
      </c>
      <c r="J40" s="63">
        <f>(K40-I40)/31</f>
        <v>11.774193548387096</v>
      </c>
      <c r="K40" s="54">
        <v>42460</v>
      </c>
      <c r="L40" s="49" t="s">
        <v>51</v>
      </c>
      <c r="M40" s="49" t="s">
        <v>105</v>
      </c>
      <c r="N40" s="45" t="s">
        <v>1282</v>
      </c>
      <c r="O40" s="71">
        <v>5000</v>
      </c>
      <c r="P40" s="67"/>
      <c r="Q40" s="68">
        <v>5000</v>
      </c>
      <c r="R40" s="69"/>
      <c r="S40" s="529" t="s">
        <v>63</v>
      </c>
      <c r="T40" s="47"/>
      <c r="U40" s="47"/>
    </row>
    <row r="41" spans="1:21" s="48" customFormat="1" ht="36" customHeight="1">
      <c r="A41" s="449">
        <v>36</v>
      </c>
      <c r="B41" s="424" t="s">
        <v>1376</v>
      </c>
      <c r="C41" s="45" t="s">
        <v>98</v>
      </c>
      <c r="D41" s="45" t="s">
        <v>1220</v>
      </c>
      <c r="E41" s="45" t="s">
        <v>89</v>
      </c>
      <c r="F41" s="64">
        <v>42095</v>
      </c>
      <c r="G41" s="49">
        <v>4</v>
      </c>
      <c r="H41" s="398">
        <f>F41+(G41*31)</f>
        <v>42219</v>
      </c>
      <c r="I41" s="64">
        <v>42240</v>
      </c>
      <c r="J41" s="49">
        <v>6</v>
      </c>
      <c r="K41" s="398">
        <f>I41+(J41*31)</f>
        <v>42426</v>
      </c>
      <c r="L41" s="49" t="s">
        <v>51</v>
      </c>
      <c r="M41" s="49" t="s">
        <v>105</v>
      </c>
      <c r="N41" s="45" t="s">
        <v>1282</v>
      </c>
      <c r="O41" s="72">
        <v>2000</v>
      </c>
      <c r="P41" s="67"/>
      <c r="Q41" s="68">
        <v>2000</v>
      </c>
      <c r="R41" s="69"/>
      <c r="S41" s="529" t="s">
        <v>63</v>
      </c>
      <c r="T41" s="47"/>
      <c r="U41" s="47"/>
    </row>
    <row r="42" spans="1:21" s="48" customFormat="1" ht="36" customHeight="1">
      <c r="A42" s="449">
        <v>37</v>
      </c>
      <c r="B42" s="424" t="s">
        <v>1377</v>
      </c>
      <c r="C42" s="45" t="s">
        <v>578</v>
      </c>
      <c r="D42" s="45" t="s">
        <v>31</v>
      </c>
      <c r="E42" s="45" t="s">
        <v>1405</v>
      </c>
      <c r="F42" s="49" t="s">
        <v>83</v>
      </c>
      <c r="G42" s="49" t="s">
        <v>83</v>
      </c>
      <c r="H42" s="398" t="s">
        <v>83</v>
      </c>
      <c r="I42" s="54">
        <v>42095</v>
      </c>
      <c r="J42" s="63">
        <f>(K42-I42)/31</f>
        <v>11.774193548387096</v>
      </c>
      <c r="K42" s="54">
        <v>42460</v>
      </c>
      <c r="L42" s="49" t="s">
        <v>51</v>
      </c>
      <c r="M42" s="49" t="s">
        <v>78</v>
      </c>
      <c r="N42" s="45" t="s">
        <v>1282</v>
      </c>
      <c r="O42" s="72">
        <v>15000</v>
      </c>
      <c r="P42" s="67"/>
      <c r="Q42" s="68">
        <v>15000</v>
      </c>
      <c r="R42" s="69"/>
      <c r="S42" s="529" t="s">
        <v>63</v>
      </c>
      <c r="T42" s="47"/>
      <c r="U42" s="47"/>
    </row>
    <row r="43" spans="1:21" s="48" customFormat="1" ht="36" customHeight="1">
      <c r="A43" s="449">
        <v>38</v>
      </c>
      <c r="B43" s="423" t="s">
        <v>1378</v>
      </c>
      <c r="C43" s="45"/>
      <c r="D43" s="45"/>
      <c r="E43" s="49" t="s">
        <v>94</v>
      </c>
      <c r="F43" s="49" t="s">
        <v>83</v>
      </c>
      <c r="G43" s="49" t="s">
        <v>83</v>
      </c>
      <c r="H43" s="398" t="s">
        <v>83</v>
      </c>
      <c r="I43" s="49" t="s">
        <v>83</v>
      </c>
      <c r="J43" s="49" t="s">
        <v>83</v>
      </c>
      <c r="K43" s="398" t="s">
        <v>83</v>
      </c>
      <c r="L43" s="49" t="s">
        <v>51</v>
      </c>
      <c r="M43" s="49" t="s">
        <v>105</v>
      </c>
      <c r="N43" s="45" t="s">
        <v>1282</v>
      </c>
      <c r="O43" s="71">
        <v>2000</v>
      </c>
      <c r="P43" s="67"/>
      <c r="Q43" s="68">
        <v>2000</v>
      </c>
      <c r="R43" s="69"/>
      <c r="S43" s="529" t="s">
        <v>63</v>
      </c>
      <c r="T43" s="47"/>
      <c r="U43" s="56"/>
    </row>
    <row r="44" spans="1:21" s="48" customFormat="1" ht="36" customHeight="1">
      <c r="A44" s="449">
        <v>39</v>
      </c>
      <c r="B44" s="423" t="s">
        <v>1379</v>
      </c>
      <c r="C44" s="53"/>
      <c r="D44" s="45"/>
      <c r="E44" s="49" t="s">
        <v>94</v>
      </c>
      <c r="F44" s="64">
        <v>42095</v>
      </c>
      <c r="G44" s="49">
        <v>4</v>
      </c>
      <c r="H44" s="398">
        <f>F44+(G44*31)</f>
        <v>42219</v>
      </c>
      <c r="I44" s="64">
        <v>42240</v>
      </c>
      <c r="J44" s="49">
        <v>6</v>
      </c>
      <c r="K44" s="398">
        <f>I44+(J44*31)</f>
        <v>42426</v>
      </c>
      <c r="L44" s="49" t="s">
        <v>51</v>
      </c>
      <c r="M44" s="49" t="s">
        <v>105</v>
      </c>
      <c r="N44" s="45" t="s">
        <v>1282</v>
      </c>
      <c r="O44" s="67">
        <v>2000</v>
      </c>
      <c r="P44" s="67"/>
      <c r="Q44" s="68">
        <v>2000</v>
      </c>
      <c r="R44" s="69"/>
      <c r="S44" s="529" t="s">
        <v>63</v>
      </c>
      <c r="T44" s="47"/>
      <c r="U44" s="56"/>
    </row>
    <row r="45" spans="1:21" s="48" customFormat="1" ht="36" customHeight="1">
      <c r="A45" s="449">
        <v>40</v>
      </c>
      <c r="B45" s="423" t="s">
        <v>1380</v>
      </c>
      <c r="C45" s="45" t="s">
        <v>98</v>
      </c>
      <c r="D45" s="45" t="s">
        <v>1220</v>
      </c>
      <c r="E45" s="49" t="s">
        <v>85</v>
      </c>
      <c r="F45" s="64">
        <v>42095</v>
      </c>
      <c r="G45" s="49">
        <v>4</v>
      </c>
      <c r="H45" s="398">
        <f>F45+(G45*31)</f>
        <v>42219</v>
      </c>
      <c r="I45" s="64">
        <v>42240</v>
      </c>
      <c r="J45" s="49">
        <v>6</v>
      </c>
      <c r="K45" s="398">
        <f>I45+(J45*31)</f>
        <v>42426</v>
      </c>
      <c r="L45" s="49" t="s">
        <v>51</v>
      </c>
      <c r="M45" s="49" t="s">
        <v>105</v>
      </c>
      <c r="N45" s="45" t="s">
        <v>1282</v>
      </c>
      <c r="O45" s="71">
        <v>5219</v>
      </c>
      <c r="P45" s="67"/>
      <c r="Q45" s="68">
        <v>5219</v>
      </c>
      <c r="R45" s="69"/>
      <c r="S45" s="529" t="s">
        <v>63</v>
      </c>
      <c r="T45" s="47"/>
      <c r="U45" s="47"/>
    </row>
    <row r="46" spans="1:21" s="48" customFormat="1" ht="36" customHeight="1">
      <c r="A46" s="449">
        <v>41</v>
      </c>
      <c r="B46" s="423" t="s">
        <v>1381</v>
      </c>
      <c r="C46" s="45" t="s">
        <v>98</v>
      </c>
      <c r="D46" s="45" t="s">
        <v>1220</v>
      </c>
      <c r="E46" s="49" t="s">
        <v>94</v>
      </c>
      <c r="F46" s="64">
        <v>42095</v>
      </c>
      <c r="G46" s="49">
        <v>4</v>
      </c>
      <c r="H46" s="398">
        <f>F46+(G46*31)</f>
        <v>42219</v>
      </c>
      <c r="I46" s="64">
        <v>42240</v>
      </c>
      <c r="J46" s="49">
        <v>6</v>
      </c>
      <c r="K46" s="398">
        <f>I46+(J46*31)</f>
        <v>42426</v>
      </c>
      <c r="L46" s="49" t="s">
        <v>51</v>
      </c>
      <c r="M46" s="49" t="s">
        <v>105</v>
      </c>
      <c r="N46" s="45" t="s">
        <v>1282</v>
      </c>
      <c r="O46" s="71">
        <v>1781</v>
      </c>
      <c r="P46" s="67"/>
      <c r="Q46" s="68">
        <v>1781</v>
      </c>
      <c r="R46" s="69"/>
      <c r="S46" s="529" t="s">
        <v>63</v>
      </c>
      <c r="T46" s="47"/>
      <c r="U46" s="47"/>
    </row>
    <row r="47" spans="1:21" s="48" customFormat="1" ht="36" customHeight="1">
      <c r="A47" s="449">
        <v>42</v>
      </c>
      <c r="B47" s="423" t="s">
        <v>1382</v>
      </c>
      <c r="C47" s="45" t="s">
        <v>578</v>
      </c>
      <c r="D47" s="45"/>
      <c r="E47" s="49" t="s">
        <v>48</v>
      </c>
      <c r="F47" s="64">
        <v>42095</v>
      </c>
      <c r="G47" s="49">
        <v>4</v>
      </c>
      <c r="H47" s="398">
        <f>F47+(G47*31)</f>
        <v>42219</v>
      </c>
      <c r="I47" s="64">
        <v>42240</v>
      </c>
      <c r="J47" s="49">
        <v>6</v>
      </c>
      <c r="K47" s="398">
        <f>I47+(J47*31)</f>
        <v>42426</v>
      </c>
      <c r="L47" s="49" t="s">
        <v>51</v>
      </c>
      <c r="M47" s="49" t="s">
        <v>105</v>
      </c>
      <c r="N47" s="45" t="s">
        <v>1282</v>
      </c>
      <c r="O47" s="71">
        <v>5000</v>
      </c>
      <c r="P47" s="67"/>
      <c r="Q47" s="68">
        <v>5000</v>
      </c>
      <c r="R47" s="69"/>
      <c r="S47" s="529" t="s">
        <v>63</v>
      </c>
      <c r="T47" s="47"/>
      <c r="U47" s="47"/>
    </row>
    <row r="48" spans="1:21" s="48" customFormat="1" ht="36" customHeight="1">
      <c r="A48" s="449">
        <v>43</v>
      </c>
      <c r="B48" s="423" t="s">
        <v>1363</v>
      </c>
      <c r="C48" s="45" t="s">
        <v>98</v>
      </c>
      <c r="D48" s="45" t="s">
        <v>1220</v>
      </c>
      <c r="E48" s="49" t="s">
        <v>48</v>
      </c>
      <c r="F48" s="49" t="s">
        <v>83</v>
      </c>
      <c r="G48" s="49" t="s">
        <v>83</v>
      </c>
      <c r="H48" s="398" t="s">
        <v>83</v>
      </c>
      <c r="I48" s="54">
        <v>42095</v>
      </c>
      <c r="J48" s="63">
        <f t="shared" ref="J48:J61" si="2">(K48-I48)/31</f>
        <v>11.838709677419354</v>
      </c>
      <c r="K48" s="54">
        <v>42462</v>
      </c>
      <c r="L48" s="49" t="s">
        <v>51</v>
      </c>
      <c r="M48" s="49" t="s">
        <v>90</v>
      </c>
      <c r="N48" s="45" t="s">
        <v>65</v>
      </c>
      <c r="O48" s="67">
        <v>180500</v>
      </c>
      <c r="P48" s="67"/>
      <c r="Q48" s="68">
        <v>22566</v>
      </c>
      <c r="R48" s="69"/>
      <c r="S48" s="529" t="s">
        <v>63</v>
      </c>
      <c r="T48" s="47"/>
      <c r="U48" s="47"/>
    </row>
    <row r="49" spans="1:21" s="48" customFormat="1" ht="36" customHeight="1">
      <c r="A49" s="449">
        <v>44</v>
      </c>
      <c r="B49" s="423" t="s">
        <v>1364</v>
      </c>
      <c r="C49" s="45" t="s">
        <v>88</v>
      </c>
      <c r="D49" s="45"/>
      <c r="E49" s="49" t="s">
        <v>48</v>
      </c>
      <c r="F49" s="49" t="s">
        <v>83</v>
      </c>
      <c r="G49" s="49" t="s">
        <v>83</v>
      </c>
      <c r="H49" s="398" t="s">
        <v>83</v>
      </c>
      <c r="I49" s="54">
        <v>42095</v>
      </c>
      <c r="J49" s="63">
        <f t="shared" si="2"/>
        <v>11.838709677419354</v>
      </c>
      <c r="K49" s="54">
        <v>42462</v>
      </c>
      <c r="L49" s="49" t="s">
        <v>51</v>
      </c>
      <c r="M49" s="49" t="s">
        <v>90</v>
      </c>
      <c r="N49" s="45" t="s">
        <v>65</v>
      </c>
      <c r="O49" s="71">
        <v>120000</v>
      </c>
      <c r="P49" s="67"/>
      <c r="Q49" s="68">
        <v>9414</v>
      </c>
      <c r="R49" s="69"/>
      <c r="S49" s="529" t="s">
        <v>63</v>
      </c>
      <c r="T49" s="47"/>
      <c r="U49" s="47"/>
    </row>
    <row r="50" spans="1:21" s="48" customFormat="1" ht="36" customHeight="1">
      <c r="A50" s="449">
        <v>45</v>
      </c>
      <c r="B50" s="424" t="s">
        <v>1365</v>
      </c>
      <c r="C50" s="45" t="s">
        <v>578</v>
      </c>
      <c r="D50" s="62"/>
      <c r="E50" s="45" t="s">
        <v>48</v>
      </c>
      <c r="F50" s="49" t="s">
        <v>83</v>
      </c>
      <c r="G50" s="49" t="s">
        <v>83</v>
      </c>
      <c r="H50" s="398" t="s">
        <v>83</v>
      </c>
      <c r="I50" s="54">
        <v>42095</v>
      </c>
      <c r="J50" s="63">
        <f t="shared" si="2"/>
        <v>11.838709677419354</v>
      </c>
      <c r="K50" s="54">
        <v>42462</v>
      </c>
      <c r="L50" s="49" t="s">
        <v>51</v>
      </c>
      <c r="M50" s="49" t="s">
        <v>90</v>
      </c>
      <c r="N50" s="45" t="s">
        <v>65</v>
      </c>
      <c r="O50" s="71">
        <v>95000</v>
      </c>
      <c r="P50" s="67"/>
      <c r="Q50" s="68">
        <v>26830</v>
      </c>
      <c r="R50" s="69"/>
      <c r="S50" s="529" t="s">
        <v>63</v>
      </c>
      <c r="T50" s="59"/>
      <c r="U50" s="47"/>
    </row>
    <row r="51" spans="1:21" s="48" customFormat="1" ht="36" customHeight="1">
      <c r="A51" s="280">
        <v>46</v>
      </c>
      <c r="B51" s="424" t="s">
        <v>1383</v>
      </c>
      <c r="C51" s="45"/>
      <c r="D51" s="62"/>
      <c r="E51" s="45"/>
      <c r="F51" s="45"/>
      <c r="G51" s="45"/>
      <c r="H51" s="45">
        <f>F51+(G51*31)</f>
        <v>0</v>
      </c>
      <c r="I51" s="54">
        <v>42095</v>
      </c>
      <c r="J51" s="63">
        <f t="shared" si="2"/>
        <v>11.774193548387096</v>
      </c>
      <c r="K51" s="54">
        <v>42460</v>
      </c>
      <c r="L51" s="49" t="s">
        <v>51</v>
      </c>
      <c r="M51" s="49" t="s">
        <v>90</v>
      </c>
      <c r="N51" s="45" t="s">
        <v>65</v>
      </c>
      <c r="O51" s="71">
        <v>120000</v>
      </c>
      <c r="P51" s="67"/>
      <c r="Q51" s="68">
        <v>20225</v>
      </c>
      <c r="R51" s="69"/>
      <c r="S51" s="526" t="s">
        <v>62</v>
      </c>
      <c r="T51" s="47"/>
      <c r="U51" s="47"/>
    </row>
    <row r="52" spans="1:21" s="48" customFormat="1" ht="36" customHeight="1">
      <c r="A52" s="280">
        <v>47</v>
      </c>
      <c r="B52" s="423" t="s">
        <v>1384</v>
      </c>
      <c r="C52" s="53"/>
      <c r="D52" s="53"/>
      <c r="E52" s="49"/>
      <c r="F52" s="49"/>
      <c r="G52" s="49"/>
      <c r="H52" s="49">
        <f>F52+(G52*31)</f>
        <v>0</v>
      </c>
      <c r="I52" s="54">
        <v>42095</v>
      </c>
      <c r="J52" s="63">
        <f t="shared" si="2"/>
        <v>11.774193548387096</v>
      </c>
      <c r="K52" s="54">
        <v>42460</v>
      </c>
      <c r="L52" s="49" t="s">
        <v>51</v>
      </c>
      <c r="M52" s="49" t="s">
        <v>90</v>
      </c>
      <c r="N52" s="45" t="s">
        <v>65</v>
      </c>
      <c r="O52" s="67">
        <v>100000</v>
      </c>
      <c r="P52" s="67"/>
      <c r="Q52" s="68">
        <v>17000</v>
      </c>
      <c r="R52" s="69"/>
      <c r="S52" s="50" t="s">
        <v>62</v>
      </c>
      <c r="T52" s="47"/>
      <c r="U52" s="56"/>
    </row>
    <row r="53" spans="1:21" s="48" customFormat="1" ht="36" customHeight="1">
      <c r="A53" s="280">
        <v>48</v>
      </c>
      <c r="B53" s="424" t="s">
        <v>1385</v>
      </c>
      <c r="C53" s="45"/>
      <c r="D53" s="45"/>
      <c r="E53" s="45"/>
      <c r="F53" s="45"/>
      <c r="G53" s="45"/>
      <c r="H53" s="45">
        <f>F53+(G53*31)</f>
        <v>0</v>
      </c>
      <c r="I53" s="54">
        <v>42095</v>
      </c>
      <c r="J53" s="63">
        <f t="shared" si="2"/>
        <v>11.774193548387096</v>
      </c>
      <c r="K53" s="54">
        <v>42460</v>
      </c>
      <c r="L53" s="49" t="s">
        <v>51</v>
      </c>
      <c r="M53" s="49" t="s">
        <v>90</v>
      </c>
      <c r="N53" s="45" t="s">
        <v>65</v>
      </c>
      <c r="O53" s="422">
        <v>155000</v>
      </c>
      <c r="P53" s="67"/>
      <c r="Q53" s="68">
        <v>6000</v>
      </c>
      <c r="R53" s="69"/>
      <c r="S53" s="50" t="s">
        <v>62</v>
      </c>
      <c r="T53" s="47"/>
      <c r="U53" s="56"/>
    </row>
    <row r="54" spans="1:21" s="48" customFormat="1" ht="36" customHeight="1">
      <c r="A54" s="280">
        <v>49</v>
      </c>
      <c r="B54" s="424" t="s">
        <v>1386</v>
      </c>
      <c r="C54" s="45"/>
      <c r="D54" s="45"/>
      <c r="E54" s="45"/>
      <c r="F54" s="45"/>
      <c r="G54" s="45"/>
      <c r="H54" s="45">
        <f>F54+(G54*31)</f>
        <v>0</v>
      </c>
      <c r="I54" s="54">
        <v>42095</v>
      </c>
      <c r="J54" s="63">
        <f t="shared" si="2"/>
        <v>11.838709677419354</v>
      </c>
      <c r="K54" s="54">
        <v>42462</v>
      </c>
      <c r="L54" s="49" t="s">
        <v>51</v>
      </c>
      <c r="M54" s="45" t="s">
        <v>83</v>
      </c>
      <c r="N54" s="45" t="s">
        <v>1399</v>
      </c>
      <c r="O54" s="71">
        <v>250000</v>
      </c>
      <c r="P54" s="67"/>
      <c r="Q54" s="68">
        <v>15000</v>
      </c>
      <c r="R54" s="69"/>
      <c r="S54" s="50" t="s">
        <v>62</v>
      </c>
      <c r="T54" s="47"/>
      <c r="U54" s="47"/>
    </row>
    <row r="55" spans="1:21" s="48" customFormat="1" ht="36" customHeight="1">
      <c r="A55" s="280">
        <v>50</v>
      </c>
      <c r="B55" s="423" t="s">
        <v>1387</v>
      </c>
      <c r="C55" s="45"/>
      <c r="D55" s="45"/>
      <c r="E55" s="49"/>
      <c r="F55" s="49"/>
      <c r="G55" s="49"/>
      <c r="H55" s="49">
        <f>F55+(G55*31)</f>
        <v>0</v>
      </c>
      <c r="I55" s="54">
        <v>42095</v>
      </c>
      <c r="J55" s="63">
        <f t="shared" si="2"/>
        <v>11.774193548387096</v>
      </c>
      <c r="K55" s="54">
        <v>42460</v>
      </c>
      <c r="L55" s="49" t="s">
        <v>51</v>
      </c>
      <c r="M55" s="49" t="s">
        <v>90</v>
      </c>
      <c r="N55" s="45" t="s">
        <v>65</v>
      </c>
      <c r="O55" s="71">
        <v>140000</v>
      </c>
      <c r="P55" s="67"/>
      <c r="Q55" s="68">
        <v>6000</v>
      </c>
      <c r="R55" s="69"/>
      <c r="S55" s="525" t="s">
        <v>62</v>
      </c>
      <c r="T55" s="47"/>
      <c r="U55" s="47"/>
    </row>
    <row r="56" spans="1:21" s="48" customFormat="1" ht="36" customHeight="1">
      <c r="A56" s="449">
        <v>51</v>
      </c>
      <c r="B56" s="423" t="s">
        <v>1388</v>
      </c>
      <c r="C56" s="45" t="s">
        <v>88</v>
      </c>
      <c r="D56" s="45"/>
      <c r="E56" s="49" t="s">
        <v>1402</v>
      </c>
      <c r="F56" s="49" t="s">
        <v>83</v>
      </c>
      <c r="G56" s="49" t="s">
        <v>83</v>
      </c>
      <c r="H56" s="398" t="s">
        <v>83</v>
      </c>
      <c r="I56" s="54">
        <v>42095</v>
      </c>
      <c r="J56" s="63">
        <f t="shared" si="2"/>
        <v>11.741935483870968</v>
      </c>
      <c r="K56" s="54">
        <v>42459</v>
      </c>
      <c r="L56" s="49" t="s">
        <v>51</v>
      </c>
      <c r="M56" s="49" t="s">
        <v>1402</v>
      </c>
      <c r="N56" s="45" t="s">
        <v>65</v>
      </c>
      <c r="O56" s="71">
        <v>755</v>
      </c>
      <c r="P56" s="67"/>
      <c r="Q56" s="68">
        <v>755</v>
      </c>
      <c r="R56" s="69"/>
      <c r="S56" s="529" t="s">
        <v>63</v>
      </c>
      <c r="T56" s="47"/>
      <c r="U56" s="47"/>
    </row>
    <row r="57" spans="1:21" s="48" customFormat="1" ht="36" customHeight="1">
      <c r="A57" s="449">
        <v>52</v>
      </c>
      <c r="B57" s="423" t="s">
        <v>1389</v>
      </c>
      <c r="C57" s="45" t="s">
        <v>578</v>
      </c>
      <c r="D57" s="45"/>
      <c r="E57" s="45" t="s">
        <v>1402</v>
      </c>
      <c r="F57" s="49" t="s">
        <v>83</v>
      </c>
      <c r="G57" s="49" t="s">
        <v>83</v>
      </c>
      <c r="H57" s="398" t="s">
        <v>83</v>
      </c>
      <c r="I57" s="54">
        <v>42095</v>
      </c>
      <c r="J57" s="451">
        <f t="shared" si="2"/>
        <v>11.741935483870968</v>
      </c>
      <c r="K57" s="54">
        <v>42459</v>
      </c>
      <c r="L57" s="49" t="s">
        <v>51</v>
      </c>
      <c r="M57" s="49" t="s">
        <v>1402</v>
      </c>
      <c r="N57" s="45" t="s">
        <v>65</v>
      </c>
      <c r="O57" s="71">
        <v>755</v>
      </c>
      <c r="P57" s="67"/>
      <c r="Q57" s="68">
        <v>755</v>
      </c>
      <c r="R57" s="69"/>
      <c r="S57" s="529" t="s">
        <v>63</v>
      </c>
      <c r="T57" s="47"/>
      <c r="U57" s="47"/>
    </row>
    <row r="58" spans="1:21" s="48" customFormat="1" ht="36" customHeight="1">
      <c r="A58" s="449">
        <v>53</v>
      </c>
      <c r="B58" s="423" t="s">
        <v>1390</v>
      </c>
      <c r="C58" s="45" t="s">
        <v>98</v>
      </c>
      <c r="D58" s="45"/>
      <c r="E58" s="45" t="s">
        <v>1402</v>
      </c>
      <c r="F58" s="49" t="s">
        <v>83</v>
      </c>
      <c r="G58" s="49" t="s">
        <v>83</v>
      </c>
      <c r="H58" s="398" t="s">
        <v>83</v>
      </c>
      <c r="I58" s="54">
        <v>42095</v>
      </c>
      <c r="J58" s="451">
        <f t="shared" si="2"/>
        <v>11.741935483870968</v>
      </c>
      <c r="K58" s="54">
        <v>42459</v>
      </c>
      <c r="L58" s="49" t="s">
        <v>51</v>
      </c>
      <c r="M58" s="49" t="s">
        <v>1402</v>
      </c>
      <c r="N58" s="45" t="s">
        <v>65</v>
      </c>
      <c r="O58" s="71">
        <v>755</v>
      </c>
      <c r="P58" s="67"/>
      <c r="Q58" s="68">
        <v>755</v>
      </c>
      <c r="R58" s="69"/>
      <c r="S58" s="529" t="s">
        <v>63</v>
      </c>
      <c r="T58" s="47"/>
      <c r="U58" s="47"/>
    </row>
    <row r="59" spans="1:21" s="48" customFormat="1" ht="36" customHeight="1">
      <c r="A59" s="449">
        <v>54</v>
      </c>
      <c r="B59" s="423" t="s">
        <v>1391</v>
      </c>
      <c r="C59" s="45" t="s">
        <v>98</v>
      </c>
      <c r="D59" s="45" t="s">
        <v>39</v>
      </c>
      <c r="E59" s="49" t="s">
        <v>89</v>
      </c>
      <c r="F59" s="49" t="s">
        <v>83</v>
      </c>
      <c r="G59" s="49" t="s">
        <v>83</v>
      </c>
      <c r="H59" s="398" t="s">
        <v>83</v>
      </c>
      <c r="I59" s="54">
        <v>42095</v>
      </c>
      <c r="J59" s="63">
        <f t="shared" si="2"/>
        <v>11.741935483870968</v>
      </c>
      <c r="K59" s="54">
        <v>42459</v>
      </c>
      <c r="L59" s="49" t="s">
        <v>51</v>
      </c>
      <c r="M59" s="45" t="s">
        <v>105</v>
      </c>
      <c r="N59" s="45" t="s">
        <v>65</v>
      </c>
      <c r="O59" s="71">
        <v>468</v>
      </c>
      <c r="P59" s="67"/>
      <c r="Q59" s="68">
        <v>0</v>
      </c>
      <c r="R59" s="69"/>
      <c r="S59" s="529" t="s">
        <v>63</v>
      </c>
      <c r="T59" s="47"/>
      <c r="U59" s="47"/>
    </row>
    <row r="60" spans="1:21" s="48" customFormat="1" ht="36" customHeight="1">
      <c r="A60" s="449">
        <v>55</v>
      </c>
      <c r="B60" s="423" t="s">
        <v>1403</v>
      </c>
      <c r="C60" s="45"/>
      <c r="D60" s="45"/>
      <c r="E60" s="49" t="s">
        <v>94</v>
      </c>
      <c r="F60" s="49" t="s">
        <v>83</v>
      </c>
      <c r="G60" s="49" t="s">
        <v>83</v>
      </c>
      <c r="H60" s="398" t="s">
        <v>83</v>
      </c>
      <c r="I60" s="54">
        <v>42095</v>
      </c>
      <c r="J60" s="63">
        <f t="shared" si="2"/>
        <v>11.741935483870968</v>
      </c>
      <c r="K60" s="54">
        <v>42459</v>
      </c>
      <c r="L60" s="49" t="s">
        <v>51</v>
      </c>
      <c r="M60" s="49" t="s">
        <v>105</v>
      </c>
      <c r="N60" s="45" t="s">
        <v>65</v>
      </c>
      <c r="O60" s="71">
        <v>402</v>
      </c>
      <c r="P60" s="67"/>
      <c r="Q60" s="68">
        <v>0</v>
      </c>
      <c r="R60" s="69"/>
      <c r="S60" s="529" t="s">
        <v>63</v>
      </c>
      <c r="T60" s="47"/>
      <c r="U60" s="47"/>
    </row>
    <row r="61" spans="1:21" s="48" customFormat="1" ht="36" customHeight="1">
      <c r="A61" s="449">
        <v>56</v>
      </c>
      <c r="B61" s="423" t="s">
        <v>1392</v>
      </c>
      <c r="C61" s="45"/>
      <c r="D61" s="45"/>
      <c r="E61" s="49" t="s">
        <v>94</v>
      </c>
      <c r="F61" s="49" t="s">
        <v>83</v>
      </c>
      <c r="G61" s="49" t="s">
        <v>83</v>
      </c>
      <c r="H61" s="398" t="s">
        <v>83</v>
      </c>
      <c r="I61" s="54">
        <v>42095</v>
      </c>
      <c r="J61" s="63">
        <f t="shared" si="2"/>
        <v>11.741935483870968</v>
      </c>
      <c r="K61" s="54">
        <v>42459</v>
      </c>
      <c r="L61" s="49" t="s">
        <v>51</v>
      </c>
      <c r="M61" s="49" t="s">
        <v>105</v>
      </c>
      <c r="N61" s="45" t="s">
        <v>65</v>
      </c>
      <c r="O61" s="71">
        <v>300</v>
      </c>
      <c r="P61" s="67"/>
      <c r="Q61" s="68">
        <v>0</v>
      </c>
      <c r="R61" s="69"/>
      <c r="S61" s="529" t="s">
        <v>63</v>
      </c>
      <c r="T61" s="47"/>
      <c r="U61" s="47"/>
    </row>
    <row r="62" spans="1:21" s="48" customFormat="1">
      <c r="A62" s="51"/>
      <c r="B62" s="46"/>
      <c r="C62" s="45"/>
      <c r="D62" s="45"/>
      <c r="E62" s="49"/>
      <c r="F62" s="49"/>
      <c r="G62" s="49"/>
      <c r="H62" s="49"/>
      <c r="I62" s="54"/>
      <c r="J62" s="54"/>
      <c r="K62" s="58"/>
      <c r="L62" s="49"/>
      <c r="M62" s="49" t="s">
        <v>180</v>
      </c>
      <c r="N62" s="63"/>
      <c r="O62" s="70"/>
      <c r="P62" s="67"/>
      <c r="Q62" s="68"/>
      <c r="R62" s="69"/>
      <c r="S62" s="530"/>
      <c r="T62" s="47"/>
      <c r="U62" s="47"/>
    </row>
    <row r="63" spans="1:21" s="48" customFormat="1" ht="13.5" thickBot="1">
      <c r="A63" s="281"/>
      <c r="B63" s="293" t="s">
        <v>1235</v>
      </c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73"/>
      <c r="P63" s="74">
        <f>SUBTOTAL(9,P6:P62)</f>
        <v>0</v>
      </c>
      <c r="Q63" s="74">
        <f>SUBTOTAL(9,Q6:Q62)</f>
        <v>462737</v>
      </c>
      <c r="R63" s="75">
        <f>SUBTOTAL(9,R6:R62)</f>
        <v>0</v>
      </c>
      <c r="S63" s="531"/>
      <c r="T63" s="41"/>
      <c r="U63" s="42"/>
    </row>
    <row r="64" spans="1:21" ht="12" thickTop="1"/>
  </sheetData>
  <autoFilter ref="A5:S62">
    <filterColumn colId="18"/>
  </autoFilter>
  <conditionalFormatting sqref="M18 L42 L22:L32 M55:M62 E35:H35 E17:H18 E45:H47 E52:H55 L45:M47 B21:B32 B17:B18 B52:B55 B35 B45:B47 M21:M37 L52:M54 E57:E58 E21:H32">
    <cfRule type="expression" dxfId="159" priority="201" stopIfTrue="1">
      <formula>IF((#REF!&lt;&gt;"")*(B17=""),TRUE,FALSE)</formula>
    </cfRule>
  </conditionalFormatting>
  <conditionalFormatting sqref="O61 O59 O36:O41 O46:O47 O53:O54 K45">
    <cfRule type="expression" dxfId="158" priority="200" stopIfTrue="1">
      <formula>ISTEXT(K36)</formula>
    </cfRule>
  </conditionalFormatting>
  <conditionalFormatting sqref="M38 E36:H36 E38:H38 L36:M36 M42:M54 B36 B38 L49:M53 L38:L54">
    <cfRule type="expression" dxfId="157" priority="199" stopIfTrue="1">
      <formula>IF((#REF!&lt;&gt;"")*(B36=""),TRUE,FALSE)</formula>
    </cfRule>
  </conditionalFormatting>
  <conditionalFormatting sqref="E37:H37 M39:M41 L36:M37 B37 B39:B41 E39:E41 F41:H41">
    <cfRule type="expression" dxfId="156" priority="198" stopIfTrue="1">
      <formula>IF((#REF!&lt;&gt;"")*(B36=""),TRUE,FALSE)</formula>
    </cfRule>
  </conditionalFormatting>
  <conditionalFormatting sqref="L22:M25 L52:M54 E57:E58 E17:H17 E19:H19 F20:H24 E52:H54 E21:H25 L17:M17 L43:M47 L19:M19 M21 B52:B54 B21:B25 B61 B17 B19 B43:B47 E61 E43:E47 F44:H47">
    <cfRule type="expression" dxfId="155" priority="197" stopIfTrue="1">
      <formula>IF((#REF!&lt;&gt;"")*(B17=""),TRUE,FALSE)</formula>
    </cfRule>
  </conditionalFormatting>
  <conditionalFormatting sqref="B34 E44:H45 E34:H34 L44:M45 B61 B44:B45 E61">
    <cfRule type="expression" dxfId="154" priority="196" stopIfTrue="1">
      <formula>IF((#REF!&lt;&gt;"")*(B34=""),TRUE,FALSE)</formula>
    </cfRule>
  </conditionalFormatting>
  <conditionalFormatting sqref="L56:L58 L6:L47 L52:L54">
    <cfRule type="expression" dxfId="153" priority="195" stopIfTrue="1">
      <formula>IF((B6&lt;&gt;"")*(L6=""),TRUE,FALSE)</formula>
    </cfRule>
  </conditionalFormatting>
  <conditionalFormatting sqref="L47 M59:M60">
    <cfRule type="expression" dxfId="152" priority="194" stopIfTrue="1">
      <formula>IF((#REF!&lt;&gt;"")*(L47=""),TRUE,FALSE)</formula>
    </cfRule>
  </conditionalFormatting>
  <conditionalFormatting sqref="L16">
    <cfRule type="expression" dxfId="151" priority="193" stopIfTrue="1">
      <formula>IF((B6&lt;&gt;"")*(L16=""),TRUE,FALSE)</formula>
    </cfRule>
  </conditionalFormatting>
  <conditionalFormatting sqref="L54 M42:M43 L16:M16 B16 B42:B43 B35 M55:M62 E42:E43 F35:H38 E16:H35">
    <cfRule type="expression" dxfId="150" priority="192" stopIfTrue="1">
      <formula>IF((#REF!&lt;&gt;"")*(B16=""),TRUE,FALSE)</formula>
    </cfRule>
  </conditionalFormatting>
  <conditionalFormatting sqref="L18">
    <cfRule type="expression" dxfId="149" priority="191" stopIfTrue="1">
      <formula>IF((B6&lt;&gt;"")*(L18=""),TRUE,FALSE)</formula>
    </cfRule>
  </conditionalFormatting>
  <conditionalFormatting sqref="L47">
    <cfRule type="expression" dxfId="148" priority="190" stopIfTrue="1">
      <formula>IF((B18&lt;&gt;"")*(L47=""),TRUE,FALSE)</formula>
    </cfRule>
  </conditionalFormatting>
  <conditionalFormatting sqref="L52:L53">
    <cfRule type="expression" dxfId="147" priority="189" stopIfTrue="1">
      <formula>IF((B19&lt;&gt;"")*(L52=""),TRUE,FALSE)</formula>
    </cfRule>
  </conditionalFormatting>
  <conditionalFormatting sqref="M33:M37 M55:M62">
    <cfRule type="expression" dxfId="146" priority="188" stopIfTrue="1">
      <formula>IF((B33&lt;&gt;"")*(M33=""),TRUE,FALSE)</formula>
    </cfRule>
  </conditionalFormatting>
  <conditionalFormatting sqref="E46:H47 E52:H54 M46:M47 M52:M54 M16 B52:B54 B35 B46:B47 B16:B17 M21 E57:E58 E16:H35 F35:H38">
    <cfRule type="expression" dxfId="145" priority="187" stopIfTrue="1">
      <formula>IF((#REF!&lt;&gt;"")*(B16=""),TRUE,FALSE)</formula>
    </cfRule>
  </conditionalFormatting>
  <conditionalFormatting sqref="L42:L43 L16 F52:H55 M52:M54 B35:B47 B52:B58 B6:B33 M62 M6:M32 L34:L37 L38:M38 M36:M47 M56:M60 E52:E58 E6:E47 F41:H41 F6:H38 F44:H47">
    <cfRule type="expression" dxfId="144" priority="178" stopIfTrue="1">
      <formula>IF((#REF!&lt;&gt;"")*(B6=""),TRUE,FALSE)</formula>
    </cfRule>
  </conditionalFormatting>
  <conditionalFormatting sqref="M59:M60">
    <cfRule type="expression" dxfId="143" priority="169" stopIfTrue="1">
      <formula>IF((B35&lt;&gt;"")*(M59=""),TRUE,FALSE)</formula>
    </cfRule>
  </conditionalFormatting>
  <conditionalFormatting sqref="L46">
    <cfRule type="expression" dxfId="142" priority="159" stopIfTrue="1">
      <formula>IF((B16&lt;&gt;"")*(L46=""),TRUE,FALSE)</formula>
    </cfRule>
  </conditionalFormatting>
  <conditionalFormatting sqref="L53">
    <cfRule type="expression" dxfId="141" priority="157" stopIfTrue="1">
      <formula>IF((B17&lt;&gt;"")*(L53=""),TRUE,FALSE)</formula>
    </cfRule>
  </conditionalFormatting>
  <conditionalFormatting sqref="M58">
    <cfRule type="expression" dxfId="140" priority="152" stopIfTrue="1">
      <formula>IF((B35&lt;&gt;"")*(M58=""),TRUE,FALSE)</formula>
    </cfRule>
  </conditionalFormatting>
  <conditionalFormatting sqref="M56:M58">
    <cfRule type="expression" dxfId="139" priority="147" stopIfTrue="1">
      <formula>IF((B34&lt;&gt;"")*(M56=""),TRUE,FALSE)</formula>
    </cfRule>
  </conditionalFormatting>
  <conditionalFormatting sqref="L52">
    <cfRule type="expression" dxfId="138" priority="139" stopIfTrue="1">
      <formula>IF((B18&lt;&gt;"")*(L52=""),TRUE,FALSE)</formula>
    </cfRule>
  </conditionalFormatting>
  <conditionalFormatting sqref="L46">
    <cfRule type="expression" dxfId="137" priority="136" stopIfTrue="1">
      <formula>IF((B43&lt;&gt;"")*(L46=""),TRUE,FALSE)</formula>
    </cfRule>
  </conditionalFormatting>
  <conditionalFormatting sqref="L53:L54">
    <cfRule type="expression" dxfId="136" priority="131" stopIfTrue="1">
      <formula>IF((B19&lt;&gt;"")*(L53=""),TRUE,FALSE)</formula>
    </cfRule>
  </conditionalFormatting>
  <conditionalFormatting sqref="M61:M62">
    <cfRule type="expression" dxfId="135" priority="128" stopIfTrue="1">
      <formula>IF((B42&lt;&gt;"")*(M61=""),TRUE,FALSE)</formula>
    </cfRule>
  </conditionalFormatting>
  <conditionalFormatting sqref="M58">
    <cfRule type="expression" dxfId="134" priority="105" stopIfTrue="1">
      <formula>IF((B36&lt;&gt;"")*(M58=""),TRUE,FALSE)</formula>
    </cfRule>
  </conditionalFormatting>
  <conditionalFormatting sqref="M59:M60 M55">
    <cfRule type="expression" dxfId="133" priority="290" stopIfTrue="1">
      <formula>IF((#REF!&lt;&gt;"")*(M55=""),TRUE,FALSE)</formula>
    </cfRule>
  </conditionalFormatting>
  <conditionalFormatting sqref="L33">
    <cfRule type="expression" dxfId="132" priority="292" stopIfTrue="1">
      <formula>IF((#REF!&lt;&gt;"")*(L33=""),TRUE,FALSE)</formula>
    </cfRule>
  </conditionalFormatting>
  <conditionalFormatting sqref="L33">
    <cfRule type="expression" dxfId="131" priority="293" stopIfTrue="1">
      <formula>IF((#REF!&lt;&gt;"")*(L33=""),TRUE,FALSE)</formula>
    </cfRule>
  </conditionalFormatting>
  <conditionalFormatting sqref="L58">
    <cfRule type="expression" dxfId="130" priority="294" stopIfTrue="1">
      <formula>IF((#REF!&lt;&gt;"")*(L58=""),TRUE,FALSE)</formula>
    </cfRule>
  </conditionalFormatting>
  <conditionalFormatting sqref="L58">
    <cfRule type="expression" dxfId="129" priority="295" stopIfTrue="1">
      <formula>IF((#REF!&lt;&gt;"")*(L58=""),TRUE,FALSE)</formula>
    </cfRule>
  </conditionalFormatting>
  <conditionalFormatting sqref="M59:M60">
    <cfRule type="expression" dxfId="128" priority="309" stopIfTrue="1">
      <formula>IF((#REF!&lt;&gt;"")*(M59=""),TRUE,FALSE)</formula>
    </cfRule>
  </conditionalFormatting>
  <conditionalFormatting sqref="L35">
    <cfRule type="expression" dxfId="127" priority="310" stopIfTrue="1">
      <formula>IF((#REF!&lt;&gt;"")*(L35=""),TRUE,FALSE)</formula>
    </cfRule>
  </conditionalFormatting>
  <conditionalFormatting sqref="L34">
    <cfRule type="expression" dxfId="126" priority="311" stopIfTrue="1">
      <formula>IF((#REF!&lt;&gt;"")*(L34=""),TRUE,FALSE)</formula>
    </cfRule>
  </conditionalFormatting>
  <conditionalFormatting sqref="M58">
    <cfRule type="expression" dxfId="125" priority="312" stopIfTrue="1">
      <formula>IF((#REF!&lt;&gt;"")*(M58=""),TRUE,FALSE)</formula>
    </cfRule>
  </conditionalFormatting>
  <conditionalFormatting sqref="M56:M58">
    <cfRule type="expression" dxfId="124" priority="313" stopIfTrue="1">
      <formula>IF((#REF!&lt;&gt;"")*(M56=""),TRUE,FALSE)</formula>
    </cfRule>
  </conditionalFormatting>
  <conditionalFormatting sqref="M58">
    <cfRule type="expression" dxfId="123" priority="314" stopIfTrue="1">
      <formula>IF((#REF!&lt;&gt;"")*(M58=""),TRUE,FALSE)</formula>
    </cfRule>
  </conditionalFormatting>
  <conditionalFormatting sqref="L56:L57">
    <cfRule type="expression" dxfId="122" priority="315" stopIfTrue="1">
      <formula>IF((#REF!&lt;&gt;"")*(L56=""),TRUE,FALSE)</formula>
    </cfRule>
  </conditionalFormatting>
  <conditionalFormatting sqref="L56:L57">
    <cfRule type="expression" dxfId="121" priority="316" stopIfTrue="1">
      <formula>IF((#REF!&lt;&gt;"")*(L56=""),TRUE,FALSE)</formula>
    </cfRule>
  </conditionalFormatting>
  <conditionalFormatting sqref="M55:M58">
    <cfRule type="expression" dxfId="120" priority="317" stopIfTrue="1">
      <formula>IF((#REF!&lt;&gt;"")*(M55=""),TRUE,FALSE)</formula>
    </cfRule>
  </conditionalFormatting>
  <conditionalFormatting sqref="L35:L37">
    <cfRule type="expression" dxfId="119" priority="97" stopIfTrue="1">
      <formula>IF((#REF!&lt;&gt;"")*(L35=""),TRUE,FALSE)</formula>
    </cfRule>
  </conditionalFormatting>
  <conditionalFormatting sqref="M38">
    <cfRule type="expression" dxfId="118" priority="96" stopIfTrue="1">
      <formula>IF((#REF!&lt;&gt;"")*(M38=""),TRUE,FALSE)</formula>
    </cfRule>
  </conditionalFormatting>
  <conditionalFormatting sqref="L38:M38">
    <cfRule type="expression" dxfId="117" priority="95" stopIfTrue="1">
      <formula>IF((#REF!&lt;&gt;"")*(L38=""),TRUE,FALSE)</formula>
    </cfRule>
  </conditionalFormatting>
  <conditionalFormatting sqref="M38">
    <cfRule type="expression" dxfId="116" priority="94" stopIfTrue="1">
      <formula>IF((B38&lt;&gt;"")*(M38=""),TRUE,FALSE)</formula>
    </cfRule>
  </conditionalFormatting>
  <conditionalFormatting sqref="L38">
    <cfRule type="expression" dxfId="115" priority="93" stopIfTrue="1">
      <formula>IF((#REF!&lt;&gt;"")*(L38=""),TRUE,FALSE)</formula>
    </cfRule>
  </conditionalFormatting>
  <conditionalFormatting sqref="M42">
    <cfRule type="expression" dxfId="114" priority="92" stopIfTrue="1">
      <formula>IF((#REF!&lt;&gt;"")*(M42=""),TRUE,FALSE)</formula>
    </cfRule>
  </conditionalFormatting>
  <conditionalFormatting sqref="M43">
    <cfRule type="expression" dxfId="113" priority="91" stopIfTrue="1">
      <formula>IF((#REF!&lt;&gt;"")*(M43=""),TRUE,FALSE)</formula>
    </cfRule>
  </conditionalFormatting>
  <conditionalFormatting sqref="M44">
    <cfRule type="expression" dxfId="112" priority="90" stopIfTrue="1">
      <formula>IF((#REF!&lt;&gt;"")*(M44=""),TRUE,FALSE)</formula>
    </cfRule>
  </conditionalFormatting>
  <conditionalFormatting sqref="M45">
    <cfRule type="expression" dxfId="111" priority="89" stopIfTrue="1">
      <formula>IF((#REF!&lt;&gt;"")*(M45=""),TRUE,FALSE)</formula>
    </cfRule>
  </conditionalFormatting>
  <conditionalFormatting sqref="M46">
    <cfRule type="expression" dxfId="110" priority="88" stopIfTrue="1">
      <formula>IF((#REF!&lt;&gt;"")*(M46=""),TRUE,FALSE)</formula>
    </cfRule>
  </conditionalFormatting>
  <conditionalFormatting sqref="M47">
    <cfRule type="expression" dxfId="109" priority="87" stopIfTrue="1">
      <formula>IF((#REF!&lt;&gt;"")*(M47=""),TRUE,FALSE)</formula>
    </cfRule>
  </conditionalFormatting>
  <conditionalFormatting sqref="M48">
    <cfRule type="expression" dxfId="108" priority="86" stopIfTrue="1">
      <formula>IF((#REF!&lt;&gt;"")*(M48=""),TRUE,FALSE)</formula>
    </cfRule>
  </conditionalFormatting>
  <conditionalFormatting sqref="L48">
    <cfRule type="expression" dxfId="107" priority="85" stopIfTrue="1">
      <formula>IF((B48&lt;&gt;"")*(L48=""),TRUE,FALSE)</formula>
    </cfRule>
  </conditionalFormatting>
  <conditionalFormatting sqref="M48">
    <cfRule type="expression" dxfId="106" priority="84" stopIfTrue="1">
      <formula>IF((#REF!&lt;&gt;"")*(M48=""),TRUE,FALSE)</formula>
    </cfRule>
  </conditionalFormatting>
  <conditionalFormatting sqref="M49">
    <cfRule type="expression" dxfId="105" priority="83" stopIfTrue="1">
      <formula>IF((#REF!&lt;&gt;"")*(M49=""),TRUE,FALSE)</formula>
    </cfRule>
  </conditionalFormatting>
  <conditionalFormatting sqref="L49">
    <cfRule type="expression" dxfId="104" priority="82" stopIfTrue="1">
      <formula>IF((B49&lt;&gt;"")*(L49=""),TRUE,FALSE)</formula>
    </cfRule>
  </conditionalFormatting>
  <conditionalFormatting sqref="M49">
    <cfRule type="expression" dxfId="103" priority="81" stopIfTrue="1">
      <formula>IF((#REF!&lt;&gt;"")*(M49=""),TRUE,FALSE)</formula>
    </cfRule>
  </conditionalFormatting>
  <conditionalFormatting sqref="M50">
    <cfRule type="expression" dxfId="102" priority="80" stopIfTrue="1">
      <formula>IF((#REF!&lt;&gt;"")*(M50=""),TRUE,FALSE)</formula>
    </cfRule>
  </conditionalFormatting>
  <conditionalFormatting sqref="L50">
    <cfRule type="expression" dxfId="101" priority="79" stopIfTrue="1">
      <formula>IF((B50&lt;&gt;"")*(L50=""),TRUE,FALSE)</formula>
    </cfRule>
  </conditionalFormatting>
  <conditionalFormatting sqref="M50">
    <cfRule type="expression" dxfId="100" priority="78" stopIfTrue="1">
      <formula>IF((#REF!&lt;&gt;"")*(M50=""),TRUE,FALSE)</formula>
    </cfRule>
  </conditionalFormatting>
  <conditionalFormatting sqref="M51">
    <cfRule type="expression" dxfId="99" priority="77" stopIfTrue="1">
      <formula>IF((#REF!&lt;&gt;"")*(M51=""),TRUE,FALSE)</formula>
    </cfRule>
  </conditionalFormatting>
  <conditionalFormatting sqref="L51">
    <cfRule type="expression" dxfId="98" priority="76" stopIfTrue="1">
      <formula>IF((B51&lt;&gt;"")*(L51=""),TRUE,FALSE)</formula>
    </cfRule>
  </conditionalFormatting>
  <conditionalFormatting sqref="M51">
    <cfRule type="expression" dxfId="97" priority="75" stopIfTrue="1">
      <formula>IF((#REF!&lt;&gt;"")*(M51=""),TRUE,FALSE)</formula>
    </cfRule>
  </conditionalFormatting>
  <conditionalFormatting sqref="M52">
    <cfRule type="expression" dxfId="96" priority="74" stopIfTrue="1">
      <formula>IF((#REF!&lt;&gt;"")*(M52=""),TRUE,FALSE)</formula>
    </cfRule>
  </conditionalFormatting>
  <conditionalFormatting sqref="L52">
    <cfRule type="expression" dxfId="95" priority="73" stopIfTrue="1">
      <formula>IF((B52&lt;&gt;"")*(L52=""),TRUE,FALSE)</formula>
    </cfRule>
  </conditionalFormatting>
  <conditionalFormatting sqref="M52">
    <cfRule type="expression" dxfId="94" priority="72" stopIfTrue="1">
      <formula>IF((#REF!&lt;&gt;"")*(M52=""),TRUE,FALSE)</formula>
    </cfRule>
  </conditionalFormatting>
  <conditionalFormatting sqref="M53">
    <cfRule type="expression" dxfId="93" priority="71" stopIfTrue="1">
      <formula>IF((#REF!&lt;&gt;"")*(M53=""),TRUE,FALSE)</formula>
    </cfRule>
  </conditionalFormatting>
  <conditionalFormatting sqref="L53">
    <cfRule type="expression" dxfId="92" priority="70" stopIfTrue="1">
      <formula>IF((B53&lt;&gt;"")*(L53=""),TRUE,FALSE)</formula>
    </cfRule>
  </conditionalFormatting>
  <conditionalFormatting sqref="M53">
    <cfRule type="expression" dxfId="91" priority="69" stopIfTrue="1">
      <formula>IF((#REF!&lt;&gt;"")*(M53=""),TRUE,FALSE)</formula>
    </cfRule>
  </conditionalFormatting>
  <conditionalFormatting sqref="L54">
    <cfRule type="expression" dxfId="90" priority="68" stopIfTrue="1">
      <formula>IF((B21&lt;&gt;"")*(L54=""),TRUE,FALSE)</formula>
    </cfRule>
  </conditionalFormatting>
  <conditionalFormatting sqref="L54">
    <cfRule type="expression" dxfId="89" priority="67" stopIfTrue="1">
      <formula>IF((B18&lt;&gt;"")*(L54=""),TRUE,FALSE)</formula>
    </cfRule>
  </conditionalFormatting>
  <conditionalFormatting sqref="L54">
    <cfRule type="expression" dxfId="88" priority="66" stopIfTrue="1">
      <formula>IF((B54&lt;&gt;"")*(L54=""),TRUE,FALSE)</formula>
    </cfRule>
  </conditionalFormatting>
  <conditionalFormatting sqref="L55">
    <cfRule type="expression" dxfId="87" priority="65" stopIfTrue="1">
      <formula>IF((#REF!&lt;&gt;"")*(L55=""),TRUE,FALSE)</formula>
    </cfRule>
  </conditionalFormatting>
  <conditionalFormatting sqref="L55">
    <cfRule type="expression" dxfId="86" priority="64" stopIfTrue="1">
      <formula>IF((#REF!&lt;&gt;"")*(L55=""),TRUE,FALSE)</formula>
    </cfRule>
  </conditionalFormatting>
  <conditionalFormatting sqref="L55">
    <cfRule type="expression" dxfId="85" priority="63" stopIfTrue="1">
      <formula>IF((#REF!&lt;&gt;"")*(L55=""),TRUE,FALSE)</formula>
    </cfRule>
  </conditionalFormatting>
  <conditionalFormatting sqref="L55">
    <cfRule type="expression" dxfId="84" priority="62" stopIfTrue="1">
      <formula>IF((B55&lt;&gt;"")*(L55=""),TRUE,FALSE)</formula>
    </cfRule>
  </conditionalFormatting>
  <conditionalFormatting sqref="L55">
    <cfRule type="expression" dxfId="83" priority="61" stopIfTrue="1">
      <formula>IF((#REF!&lt;&gt;"")*(L55=""),TRUE,FALSE)</formula>
    </cfRule>
  </conditionalFormatting>
  <conditionalFormatting sqref="L55">
    <cfRule type="expression" dxfId="82" priority="60" stopIfTrue="1">
      <formula>IF((B21&lt;&gt;"")*(L55=""),TRUE,FALSE)</formula>
    </cfRule>
  </conditionalFormatting>
  <conditionalFormatting sqref="L55">
    <cfRule type="expression" dxfId="81" priority="59" stopIfTrue="1">
      <formula>IF((B22&lt;&gt;"")*(L55=""),TRUE,FALSE)</formula>
    </cfRule>
  </conditionalFormatting>
  <conditionalFormatting sqref="L55">
    <cfRule type="expression" dxfId="80" priority="58" stopIfTrue="1">
      <formula>IF((B19&lt;&gt;"")*(L55=""),TRUE,FALSE)</formula>
    </cfRule>
  </conditionalFormatting>
  <conditionalFormatting sqref="L55">
    <cfRule type="expression" dxfId="79" priority="57" stopIfTrue="1">
      <formula>IF((B55&lt;&gt;"")*(L55=""),TRUE,FALSE)</formula>
    </cfRule>
  </conditionalFormatting>
  <conditionalFormatting sqref="L56:L58">
    <cfRule type="expression" dxfId="78" priority="56" stopIfTrue="1">
      <formula>IF((#REF!&lt;&gt;"")*(L56=""),TRUE,FALSE)</formula>
    </cfRule>
  </conditionalFormatting>
  <conditionalFormatting sqref="L56:L58">
    <cfRule type="expression" dxfId="77" priority="55" stopIfTrue="1">
      <formula>IF((#REF!&lt;&gt;"")*(L56=""),TRUE,FALSE)</formula>
    </cfRule>
  </conditionalFormatting>
  <conditionalFormatting sqref="L56:L58">
    <cfRule type="expression" dxfId="76" priority="54" stopIfTrue="1">
      <formula>IF((#REF!&lt;&gt;"")*(L56=""),TRUE,FALSE)</formula>
    </cfRule>
  </conditionalFormatting>
  <conditionalFormatting sqref="L56:L58">
    <cfRule type="expression" dxfId="75" priority="53" stopIfTrue="1">
      <formula>IF((B56&lt;&gt;"")*(L56=""),TRUE,FALSE)</formula>
    </cfRule>
  </conditionalFormatting>
  <conditionalFormatting sqref="L56:L58">
    <cfRule type="expression" dxfId="74" priority="52" stopIfTrue="1">
      <formula>IF((#REF!&lt;&gt;"")*(L56=""),TRUE,FALSE)</formula>
    </cfRule>
  </conditionalFormatting>
  <conditionalFormatting sqref="L56:L58">
    <cfRule type="expression" dxfId="73" priority="51" stopIfTrue="1">
      <formula>IF((B22&lt;&gt;"")*(L56=""),TRUE,FALSE)</formula>
    </cfRule>
  </conditionalFormatting>
  <conditionalFormatting sqref="L56:L58">
    <cfRule type="expression" dxfId="72" priority="50" stopIfTrue="1">
      <formula>IF((B23&lt;&gt;"")*(L56=""),TRUE,FALSE)</formula>
    </cfRule>
  </conditionalFormatting>
  <conditionalFormatting sqref="L56:L58">
    <cfRule type="expression" dxfId="71" priority="49" stopIfTrue="1">
      <formula>IF((B20&lt;&gt;"")*(L56=""),TRUE,FALSE)</formula>
    </cfRule>
  </conditionalFormatting>
  <conditionalFormatting sqref="L56:L58">
    <cfRule type="expression" dxfId="70" priority="48" stopIfTrue="1">
      <formula>IF((B56&lt;&gt;"")*(L56=""),TRUE,FALSE)</formula>
    </cfRule>
  </conditionalFormatting>
  <conditionalFormatting sqref="L59:L61">
    <cfRule type="expression" dxfId="69" priority="47" stopIfTrue="1">
      <formula>IF((B59&lt;&gt;"")*(L59=""),TRUE,FALSE)</formula>
    </cfRule>
  </conditionalFormatting>
  <conditionalFormatting sqref="L59:L61">
    <cfRule type="expression" dxfId="68" priority="46" stopIfTrue="1">
      <formula>IF((#REF!&lt;&gt;"")*(L59=""),TRUE,FALSE)</formula>
    </cfRule>
  </conditionalFormatting>
  <conditionalFormatting sqref="L59:L61">
    <cfRule type="expression" dxfId="67" priority="45" stopIfTrue="1">
      <formula>IF((#REF!&lt;&gt;"")*(L59=""),TRUE,FALSE)</formula>
    </cfRule>
  </conditionalFormatting>
  <conditionalFormatting sqref="L59:L61">
    <cfRule type="expression" dxfId="66" priority="44" stopIfTrue="1">
      <formula>IF((#REF!&lt;&gt;"")*(L59=""),TRUE,FALSE)</formula>
    </cfRule>
  </conditionalFormatting>
  <conditionalFormatting sqref="L59:L61">
    <cfRule type="expression" dxfId="65" priority="43" stopIfTrue="1">
      <formula>IF((#REF!&lt;&gt;"")*(L59=""),TRUE,FALSE)</formula>
    </cfRule>
  </conditionalFormatting>
  <conditionalFormatting sqref="L59:L61">
    <cfRule type="expression" dxfId="64" priority="42" stopIfTrue="1">
      <formula>IF((#REF!&lt;&gt;"")*(L59=""),TRUE,FALSE)</formula>
    </cfRule>
  </conditionalFormatting>
  <conditionalFormatting sqref="L59:L61">
    <cfRule type="expression" dxfId="63" priority="41" stopIfTrue="1">
      <formula>IF((B59&lt;&gt;"")*(L59=""),TRUE,FALSE)</formula>
    </cfRule>
  </conditionalFormatting>
  <conditionalFormatting sqref="L59:L61">
    <cfRule type="expression" dxfId="62" priority="40" stopIfTrue="1">
      <formula>IF((#REF!&lt;&gt;"")*(L59=""),TRUE,FALSE)</formula>
    </cfRule>
  </conditionalFormatting>
  <conditionalFormatting sqref="L59:L61">
    <cfRule type="expression" dxfId="61" priority="39" stopIfTrue="1">
      <formula>IF((B25&lt;&gt;"")*(L59=""),TRUE,FALSE)</formula>
    </cfRule>
  </conditionalFormatting>
  <conditionalFormatting sqref="L59:L61">
    <cfRule type="expression" dxfId="60" priority="38" stopIfTrue="1">
      <formula>IF((B26&lt;&gt;"")*(L59=""),TRUE,FALSE)</formula>
    </cfRule>
  </conditionalFormatting>
  <conditionalFormatting sqref="L59:L61">
    <cfRule type="expression" dxfId="59" priority="37" stopIfTrue="1">
      <formula>IF((B23&lt;&gt;"")*(L59=""),TRUE,FALSE)</formula>
    </cfRule>
  </conditionalFormatting>
  <conditionalFormatting sqref="L59:L61">
    <cfRule type="expression" dxfId="58" priority="36" stopIfTrue="1">
      <formula>IF((B59&lt;&gt;"")*(L59=""),TRUE,FALSE)</formula>
    </cfRule>
  </conditionalFormatting>
  <conditionalFormatting sqref="I12:K12">
    <cfRule type="expression" dxfId="57" priority="35" stopIfTrue="1">
      <formula>IF((#REF!&lt;&gt;"")*(I12=""),TRUE,FALSE)</formula>
    </cfRule>
  </conditionalFormatting>
  <conditionalFormatting sqref="I13:K13">
    <cfRule type="expression" dxfId="56" priority="34" stopIfTrue="1">
      <formula>IF((#REF!&lt;&gt;"")*(I13=""),TRUE,FALSE)</formula>
    </cfRule>
  </conditionalFormatting>
  <conditionalFormatting sqref="I14:K15">
    <cfRule type="expression" dxfId="55" priority="33" stopIfTrue="1">
      <formula>IF((#REF!&lt;&gt;"")*(I14=""),TRUE,FALSE)</formula>
    </cfRule>
  </conditionalFormatting>
  <conditionalFormatting sqref="I16:K16">
    <cfRule type="expression" dxfId="54" priority="32" stopIfTrue="1">
      <formula>IF((#REF!&lt;&gt;"")*(I16=""),TRUE,FALSE)</formula>
    </cfRule>
  </conditionalFormatting>
  <conditionalFormatting sqref="I17:K17">
    <cfRule type="expression" dxfId="53" priority="31" stopIfTrue="1">
      <formula>IF((#REF!&lt;&gt;"")*(I17=""),TRUE,FALSE)</formula>
    </cfRule>
  </conditionalFormatting>
  <conditionalFormatting sqref="I18:K18">
    <cfRule type="expression" dxfId="52" priority="30" stopIfTrue="1">
      <formula>IF((#REF!&lt;&gt;"")*(I18=""),TRUE,FALSE)</formula>
    </cfRule>
  </conditionalFormatting>
  <conditionalFormatting sqref="I13:I14">
    <cfRule type="expression" dxfId="51" priority="29" stopIfTrue="1">
      <formula>IF((#REF!&lt;&gt;"")*(I13=""),TRUE,FALSE)</formula>
    </cfRule>
  </conditionalFormatting>
  <conditionalFormatting sqref="I19:K19">
    <cfRule type="expression" dxfId="50" priority="28" stopIfTrue="1">
      <formula>IF((#REF!&lt;&gt;"")*(I19=""),TRUE,FALSE)</formula>
    </cfRule>
  </conditionalFormatting>
  <conditionalFormatting sqref="I19:K19">
    <cfRule type="expression" dxfId="49" priority="27" stopIfTrue="1">
      <formula>IF((#REF!&lt;&gt;"")*(I19=""),TRUE,FALSE)</formula>
    </cfRule>
  </conditionalFormatting>
  <conditionalFormatting sqref="I19:K19">
    <cfRule type="expression" dxfId="48" priority="26" stopIfTrue="1">
      <formula>IF((#REF!&lt;&gt;"")*(I19=""),TRUE,FALSE)</formula>
    </cfRule>
  </conditionalFormatting>
  <conditionalFormatting sqref="I19:K19">
    <cfRule type="expression" dxfId="47" priority="25" stopIfTrue="1">
      <formula>IF((#REF!&lt;&gt;"")*(I19=""),TRUE,FALSE)</formula>
    </cfRule>
  </conditionalFormatting>
  <conditionalFormatting sqref="I20:K21">
    <cfRule type="expression" dxfId="46" priority="24" stopIfTrue="1">
      <formula>IF((#REF!&lt;&gt;"")*(I20=""),TRUE,FALSE)</formula>
    </cfRule>
  </conditionalFormatting>
  <conditionalFormatting sqref="I20:K21">
    <cfRule type="expression" dxfId="45" priority="23" stopIfTrue="1">
      <formula>IF((#REF!&lt;&gt;"")*(I20=""),TRUE,FALSE)</formula>
    </cfRule>
  </conditionalFormatting>
  <conditionalFormatting sqref="I20:K21">
    <cfRule type="expression" dxfId="44" priority="22" stopIfTrue="1">
      <formula>IF((#REF!&lt;&gt;"")*(I20=""),TRUE,FALSE)</formula>
    </cfRule>
  </conditionalFormatting>
  <conditionalFormatting sqref="I20:K21">
    <cfRule type="expression" dxfId="43" priority="21" stopIfTrue="1">
      <formula>IF((#REF!&lt;&gt;"")*(I20=""),TRUE,FALSE)</formula>
    </cfRule>
  </conditionalFormatting>
  <conditionalFormatting sqref="I22:K22">
    <cfRule type="expression" dxfId="42" priority="20" stopIfTrue="1">
      <formula>IF((#REF!&lt;&gt;"")*(I22=""),TRUE,FALSE)</formula>
    </cfRule>
  </conditionalFormatting>
  <conditionalFormatting sqref="I22:K22">
    <cfRule type="expression" dxfId="41" priority="19" stopIfTrue="1">
      <formula>IF((#REF!&lt;&gt;"")*(I22=""),TRUE,FALSE)</formula>
    </cfRule>
  </conditionalFormatting>
  <conditionalFormatting sqref="I22:K22">
    <cfRule type="expression" dxfId="40" priority="18" stopIfTrue="1">
      <formula>IF((#REF!&lt;&gt;"")*(I22=""),TRUE,FALSE)</formula>
    </cfRule>
  </conditionalFormatting>
  <conditionalFormatting sqref="I22:K22">
    <cfRule type="expression" dxfId="39" priority="17" stopIfTrue="1">
      <formula>IF((#REF!&lt;&gt;"")*(I22=""),TRUE,FALSE)</formula>
    </cfRule>
  </conditionalFormatting>
  <conditionalFormatting sqref="I23:K23">
    <cfRule type="expression" dxfId="38" priority="16" stopIfTrue="1">
      <formula>IF((#REF!&lt;&gt;"")*(I23=""),TRUE,FALSE)</formula>
    </cfRule>
  </conditionalFormatting>
  <conditionalFormatting sqref="I23:K23">
    <cfRule type="expression" dxfId="37" priority="15" stopIfTrue="1">
      <formula>IF((#REF!&lt;&gt;"")*(I23=""),TRUE,FALSE)</formula>
    </cfRule>
  </conditionalFormatting>
  <conditionalFormatting sqref="I23:K23">
    <cfRule type="expression" dxfId="36" priority="14" stopIfTrue="1">
      <formula>IF((#REF!&lt;&gt;"")*(I23=""),TRUE,FALSE)</formula>
    </cfRule>
  </conditionalFormatting>
  <conditionalFormatting sqref="I23:K23">
    <cfRule type="expression" dxfId="35" priority="13" stopIfTrue="1">
      <formula>IF((#REF!&lt;&gt;"")*(I23=""),TRUE,FALSE)</formula>
    </cfRule>
  </conditionalFormatting>
  <conditionalFormatting sqref="I25:K28">
    <cfRule type="expression" dxfId="34" priority="12" stopIfTrue="1">
      <formula>IF((#REF!&lt;&gt;"")*(I25=""),TRUE,FALSE)</formula>
    </cfRule>
  </conditionalFormatting>
  <conditionalFormatting sqref="I32:K32">
    <cfRule type="expression" dxfId="33" priority="11" stopIfTrue="1">
      <formula>IF((#REF!&lt;&gt;"")*(I32=""),TRUE,FALSE)</formula>
    </cfRule>
  </conditionalFormatting>
  <conditionalFormatting sqref="I34:K34">
    <cfRule type="expression" dxfId="32" priority="10" stopIfTrue="1">
      <formula>IF((#REF!&lt;&gt;"")*(I34=""),TRUE,FALSE)</formula>
    </cfRule>
  </conditionalFormatting>
  <conditionalFormatting sqref="F35:H38">
    <cfRule type="expression" dxfId="31" priority="9" stopIfTrue="1">
      <formula>IF((#REF!&lt;&gt;"")*(F35=""),TRUE,FALSE)</formula>
    </cfRule>
  </conditionalFormatting>
  <conditionalFormatting sqref="I35:K38">
    <cfRule type="expression" dxfId="30" priority="8" stopIfTrue="1">
      <formula>IF((#REF!&lt;&gt;"")*(I35=""),TRUE,FALSE)</formula>
    </cfRule>
  </conditionalFormatting>
  <conditionalFormatting sqref="F41:H41">
    <cfRule type="expression" dxfId="29" priority="7" stopIfTrue="1">
      <formula>IF((#REF!&lt;&gt;"")*(F41=""),TRUE,FALSE)</formula>
    </cfRule>
  </conditionalFormatting>
  <conditionalFormatting sqref="F41:H41">
    <cfRule type="expression" dxfId="28" priority="6" stopIfTrue="1">
      <formula>IF((#REF!&lt;&gt;"")*(F41=""),TRUE,FALSE)</formula>
    </cfRule>
  </conditionalFormatting>
  <conditionalFormatting sqref="I41:K41">
    <cfRule type="expression" dxfId="27" priority="5" stopIfTrue="1">
      <formula>IF((#REF!&lt;&gt;"")*(I41=""),TRUE,FALSE)</formula>
    </cfRule>
  </conditionalFormatting>
  <conditionalFormatting sqref="F44:H47">
    <cfRule type="expression" dxfId="26" priority="4" stopIfTrue="1">
      <formula>IF((#REF!&lt;&gt;"")*(F44=""),TRUE,FALSE)</formula>
    </cfRule>
  </conditionalFormatting>
  <conditionalFormatting sqref="F44:H47">
    <cfRule type="expression" dxfId="25" priority="3" stopIfTrue="1">
      <formula>IF((#REF!&lt;&gt;"")*(F44=""),TRUE,FALSE)</formula>
    </cfRule>
  </conditionalFormatting>
  <conditionalFormatting sqref="F44:H47">
    <cfRule type="expression" dxfId="24" priority="2" stopIfTrue="1">
      <formula>IF((#REF!&lt;&gt;"")*(F44=""),TRUE,FALSE)</formula>
    </cfRule>
  </conditionalFormatting>
  <conditionalFormatting sqref="I44:K47">
    <cfRule type="expression" dxfId="23" priority="1" stopIfTrue="1">
      <formula>IF((#REF!&lt;&gt;"")*(I44=""),TRUE,FALSE)</formula>
    </cfRule>
  </conditionalFormatting>
  <dataValidations count="1">
    <dataValidation type="whole" operator="greaterThanOrEqual" allowBlank="1" showInputMessage="1" showErrorMessage="1" sqref="O59 O36:O41 O61">
      <formula1>0</formula1>
    </dataValidation>
  </dataValidations>
  <pageMargins left="0.62992125984251968" right="0.55118110236220474" top="0.51181102362204722" bottom="0.74803149606299213" header="0.31496062992125984" footer="0.31496062992125984"/>
  <pageSetup paperSize="8" scale="85" orientation="landscape" r:id="rId1"/>
  <headerFooter>
    <oddFooter>&amp;LBuilding Infrastructure&amp;C&amp;P of &amp;N&amp;RHealth Infrastructure Project List 2015/16 Financial Year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X50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V1" sqref="V1"/>
    </sheetView>
  </sheetViews>
  <sheetFormatPr defaultRowHeight="11.25"/>
  <cols>
    <col min="1" max="1" width="3.42578125" style="435" customWidth="1"/>
    <col min="2" max="3" width="28.7109375" style="435" customWidth="1"/>
    <col min="4" max="4" width="16.7109375" style="115" customWidth="1"/>
    <col min="5" max="5" width="16.7109375" style="455" customWidth="1"/>
    <col min="6" max="6" width="16.7109375" style="115" customWidth="1"/>
    <col min="7" max="12" width="10.7109375" style="115" customWidth="1"/>
    <col min="13" max="15" width="13.7109375" style="115" customWidth="1"/>
    <col min="16" max="16" width="13.7109375" style="435" customWidth="1"/>
    <col min="17" max="17" width="10.85546875" style="435" customWidth="1"/>
    <col min="18" max="18" width="0" style="2" hidden="1" customWidth="1"/>
    <col min="19" max="21" width="10.140625" style="435" bestFit="1" customWidth="1"/>
    <col min="22" max="22" width="9.140625" style="455"/>
    <col min="23" max="16384" width="9.140625" style="435"/>
  </cols>
  <sheetData>
    <row r="1" spans="1:22" ht="15.75">
      <c r="A1" s="452" t="s">
        <v>106</v>
      </c>
      <c r="E1" s="435"/>
      <c r="F1" s="435"/>
      <c r="G1" s="435"/>
      <c r="H1" s="435"/>
      <c r="I1" s="435"/>
      <c r="J1" s="435"/>
      <c r="K1" s="435"/>
      <c r="L1" s="435"/>
      <c r="M1" s="435"/>
      <c r="N1" s="435"/>
      <c r="T1" s="115"/>
      <c r="U1" s="462"/>
      <c r="V1" s="435"/>
    </row>
    <row r="2" spans="1:22" ht="12.75">
      <c r="A2" s="453" t="s">
        <v>107</v>
      </c>
      <c r="E2" s="435"/>
      <c r="F2" s="435"/>
      <c r="G2" s="435"/>
      <c r="H2" s="435"/>
      <c r="I2" s="435"/>
      <c r="J2" s="435"/>
      <c r="K2" s="435"/>
      <c r="L2" s="435"/>
      <c r="M2" s="435"/>
      <c r="N2" s="435"/>
      <c r="T2" s="115"/>
      <c r="U2" s="462"/>
      <c r="V2" s="435"/>
    </row>
    <row r="3" spans="1:22" ht="18.75" thickBot="1">
      <c r="A3" s="454" t="s">
        <v>108</v>
      </c>
      <c r="E3" s="435"/>
      <c r="F3" s="435"/>
      <c r="G3" s="435"/>
      <c r="H3" s="435"/>
      <c r="I3" s="435"/>
      <c r="J3" s="435"/>
      <c r="K3" s="435"/>
      <c r="L3" s="435"/>
      <c r="M3" s="435"/>
      <c r="N3" s="435"/>
      <c r="T3" s="115"/>
      <c r="U3" s="462"/>
      <c r="V3" s="435"/>
    </row>
    <row r="4" spans="1:22" ht="14.25" thickTop="1" thickBot="1">
      <c r="G4" s="456"/>
      <c r="H4" s="457" t="s">
        <v>1285</v>
      </c>
      <c r="I4" s="457"/>
      <c r="J4" s="458"/>
      <c r="K4" s="459" t="s">
        <v>65</v>
      </c>
      <c r="L4" s="460"/>
      <c r="S4" s="463">
        <f>S38</f>
        <v>72354</v>
      </c>
      <c r="T4" s="463">
        <f>T38</f>
        <v>76994</v>
      </c>
      <c r="U4" s="463">
        <f>U38</f>
        <v>84421</v>
      </c>
    </row>
    <row r="5" spans="1:22" s="115" customFormat="1" ht="45" customHeight="1" thickTop="1">
      <c r="A5" s="461" t="s">
        <v>67</v>
      </c>
      <c r="B5" s="3" t="s">
        <v>68</v>
      </c>
      <c r="C5" s="6" t="s">
        <v>1168</v>
      </c>
      <c r="D5" s="6" t="s">
        <v>1289</v>
      </c>
      <c r="E5" s="3" t="s">
        <v>1174</v>
      </c>
      <c r="F5" s="6" t="s">
        <v>1339</v>
      </c>
      <c r="G5" s="344" t="s">
        <v>0</v>
      </c>
      <c r="H5" s="345" t="s">
        <v>1284</v>
      </c>
      <c r="I5" s="344" t="s">
        <v>1</v>
      </c>
      <c r="J5" s="344" t="s">
        <v>0</v>
      </c>
      <c r="K5" s="345" t="s">
        <v>1284</v>
      </c>
      <c r="L5" s="344" t="s">
        <v>1</v>
      </c>
      <c r="M5" s="3" t="s">
        <v>70</v>
      </c>
      <c r="N5" s="3" t="s">
        <v>77</v>
      </c>
      <c r="O5" s="3" t="s">
        <v>1198</v>
      </c>
      <c r="P5" s="3" t="s">
        <v>72</v>
      </c>
      <c r="Q5" s="3" t="s">
        <v>73</v>
      </c>
      <c r="R5" s="3" t="s">
        <v>71</v>
      </c>
      <c r="S5" s="3" t="s">
        <v>74</v>
      </c>
      <c r="T5" s="3" t="s">
        <v>75</v>
      </c>
      <c r="U5" s="3" t="s">
        <v>76</v>
      </c>
      <c r="V5" s="7" t="s">
        <v>61</v>
      </c>
    </row>
    <row r="6" spans="1:22" s="17" customFormat="1" ht="22.5" hidden="1" customHeight="1">
      <c r="A6" s="13">
        <v>1</v>
      </c>
      <c r="B6" s="5" t="s">
        <v>2</v>
      </c>
      <c r="C6" s="5" t="s">
        <v>5</v>
      </c>
      <c r="D6" s="5"/>
      <c r="E6" s="14" t="s">
        <v>3</v>
      </c>
      <c r="F6" s="14" t="s">
        <v>4</v>
      </c>
      <c r="G6" s="14"/>
      <c r="H6" s="14"/>
      <c r="I6" s="14"/>
      <c r="J6" s="79">
        <v>41365</v>
      </c>
      <c r="K6" s="79"/>
      <c r="L6" s="79">
        <v>41608</v>
      </c>
      <c r="M6" s="14" t="s">
        <v>6</v>
      </c>
      <c r="N6" s="14" t="s">
        <v>78</v>
      </c>
      <c r="O6" s="14" t="s">
        <v>64</v>
      </c>
      <c r="P6" s="15">
        <v>13000</v>
      </c>
      <c r="Q6" s="19">
        <v>5802</v>
      </c>
      <c r="R6" s="20">
        <v>1000</v>
      </c>
      <c r="S6" s="32">
        <v>0</v>
      </c>
      <c r="T6" s="32">
        <v>0</v>
      </c>
      <c r="U6" s="32">
        <v>0</v>
      </c>
      <c r="V6" s="12" t="s">
        <v>62</v>
      </c>
    </row>
    <row r="7" spans="1:22" s="462" customFormat="1" ht="22.5" customHeight="1">
      <c r="A7" s="464">
        <v>1</v>
      </c>
      <c r="B7" s="465" t="s">
        <v>1283</v>
      </c>
      <c r="C7" s="465" t="s">
        <v>9</v>
      </c>
      <c r="D7" s="466" t="s">
        <v>91</v>
      </c>
      <c r="E7" s="466" t="s">
        <v>7</v>
      </c>
      <c r="F7" s="466" t="s">
        <v>8</v>
      </c>
      <c r="G7" s="64">
        <v>42060</v>
      </c>
      <c r="H7" s="49">
        <v>12</v>
      </c>
      <c r="I7" s="398">
        <f>G7+(H7*31)</f>
        <v>42432</v>
      </c>
      <c r="J7" s="64">
        <v>42240</v>
      </c>
      <c r="K7" s="49">
        <v>18</v>
      </c>
      <c r="L7" s="398">
        <f>J7+(K7*31)</f>
        <v>42798</v>
      </c>
      <c r="M7" s="466" t="s">
        <v>6</v>
      </c>
      <c r="N7" s="466" t="s">
        <v>78</v>
      </c>
      <c r="O7" s="466" t="s">
        <v>1206</v>
      </c>
      <c r="P7" s="16">
        <v>17000</v>
      </c>
      <c r="Q7" s="19">
        <v>0</v>
      </c>
      <c r="R7" s="20">
        <v>0</v>
      </c>
      <c r="S7" s="33">
        <v>2490</v>
      </c>
      <c r="T7" s="33">
        <v>1578</v>
      </c>
      <c r="U7" s="34">
        <v>7932</v>
      </c>
      <c r="V7" s="467" t="s">
        <v>63</v>
      </c>
    </row>
    <row r="8" spans="1:22" s="17" customFormat="1" ht="22.5" hidden="1" customHeight="1">
      <c r="A8" s="13">
        <v>3</v>
      </c>
      <c r="B8" s="5" t="s">
        <v>10</v>
      </c>
      <c r="C8" s="5" t="s">
        <v>12</v>
      </c>
      <c r="D8" s="5"/>
      <c r="E8" s="14" t="s">
        <v>11</v>
      </c>
      <c r="F8" s="14" t="s">
        <v>4</v>
      </c>
      <c r="G8" s="14"/>
      <c r="H8" s="14"/>
      <c r="I8" s="14"/>
      <c r="J8" s="79">
        <v>40940</v>
      </c>
      <c r="K8" s="79">
        <f t="shared" ref="K8:K26" si="0">(L8-J8)/31</f>
        <v>20.548387096774192</v>
      </c>
      <c r="L8" s="79">
        <v>41577</v>
      </c>
      <c r="M8" s="14" t="s">
        <v>6</v>
      </c>
      <c r="N8" s="14" t="s">
        <v>78</v>
      </c>
      <c r="O8" s="14" t="s">
        <v>64</v>
      </c>
      <c r="P8" s="15">
        <v>13000</v>
      </c>
      <c r="Q8" s="19">
        <v>5495</v>
      </c>
      <c r="R8" s="20">
        <v>0</v>
      </c>
      <c r="S8" s="32">
        <v>0</v>
      </c>
      <c r="T8" s="32">
        <v>0</v>
      </c>
      <c r="U8" s="32">
        <v>0</v>
      </c>
      <c r="V8" s="12" t="s">
        <v>62</v>
      </c>
    </row>
    <row r="9" spans="1:22" s="462" customFormat="1" ht="22.5" customHeight="1">
      <c r="A9" s="464">
        <v>2</v>
      </c>
      <c r="B9" s="465" t="s">
        <v>13</v>
      </c>
      <c r="C9" s="465" t="s">
        <v>16</v>
      </c>
      <c r="D9" s="466" t="s">
        <v>84</v>
      </c>
      <c r="E9" s="466" t="s">
        <v>14</v>
      </c>
      <c r="F9" s="466" t="s">
        <v>15</v>
      </c>
      <c r="G9" s="64">
        <v>42095</v>
      </c>
      <c r="H9" s="49">
        <v>11</v>
      </c>
      <c r="I9" s="398">
        <f>G9+(H9*31)</f>
        <v>42436</v>
      </c>
      <c r="J9" s="64">
        <v>42467</v>
      </c>
      <c r="K9" s="49">
        <v>12</v>
      </c>
      <c r="L9" s="398">
        <f>J9+(K9*31)</f>
        <v>42839</v>
      </c>
      <c r="M9" s="466" t="s">
        <v>6</v>
      </c>
      <c r="N9" s="466" t="s">
        <v>78</v>
      </c>
      <c r="O9" s="466" t="s">
        <v>1410</v>
      </c>
      <c r="P9" s="16">
        <v>100000</v>
      </c>
      <c r="Q9" s="19">
        <v>7617</v>
      </c>
      <c r="R9" s="20">
        <v>4392</v>
      </c>
      <c r="S9" s="33">
        <v>465</v>
      </c>
      <c r="T9" s="33">
        <v>5000</v>
      </c>
      <c r="U9" s="33">
        <v>0</v>
      </c>
      <c r="V9" s="467" t="s">
        <v>63</v>
      </c>
    </row>
    <row r="10" spans="1:22" s="17" customFormat="1" ht="22.5" hidden="1" customHeight="1">
      <c r="A10" s="13">
        <v>5</v>
      </c>
      <c r="B10" s="5" t="s">
        <v>17</v>
      </c>
      <c r="C10" s="27" t="s">
        <v>19</v>
      </c>
      <c r="D10" s="27"/>
      <c r="E10" s="14" t="s">
        <v>18</v>
      </c>
      <c r="F10" s="14" t="s">
        <v>4</v>
      </c>
      <c r="G10" s="14"/>
      <c r="H10" s="14"/>
      <c r="I10" s="14"/>
      <c r="J10" s="79">
        <v>41039</v>
      </c>
      <c r="K10" s="79">
        <f t="shared" si="0"/>
        <v>21.258064516129032</v>
      </c>
      <c r="L10" s="79">
        <v>41698</v>
      </c>
      <c r="M10" s="14" t="s">
        <v>6</v>
      </c>
      <c r="N10" s="14" t="s">
        <v>78</v>
      </c>
      <c r="O10" s="14" t="s">
        <v>64</v>
      </c>
      <c r="P10" s="15">
        <v>7791</v>
      </c>
      <c r="Q10" s="19">
        <v>3055</v>
      </c>
      <c r="R10" s="20">
        <v>2000</v>
      </c>
      <c r="S10" s="32">
        <v>0</v>
      </c>
      <c r="T10" s="32">
        <v>0</v>
      </c>
      <c r="U10" s="32">
        <v>0</v>
      </c>
      <c r="V10" s="12" t="s">
        <v>62</v>
      </c>
    </row>
    <row r="11" spans="1:22" s="462" customFormat="1" ht="22.5" customHeight="1">
      <c r="A11" s="464">
        <v>3</v>
      </c>
      <c r="B11" s="465" t="s">
        <v>20</v>
      </c>
      <c r="C11" s="465" t="s">
        <v>5</v>
      </c>
      <c r="D11" s="466" t="s">
        <v>88</v>
      </c>
      <c r="E11" s="466" t="s">
        <v>21</v>
      </c>
      <c r="F11" s="466" t="s">
        <v>4</v>
      </c>
      <c r="G11" s="64">
        <v>42095</v>
      </c>
      <c r="H11" s="49">
        <v>3</v>
      </c>
      <c r="I11" s="398">
        <f>G11+(H11*31)</f>
        <v>42188</v>
      </c>
      <c r="J11" s="64">
        <v>42209</v>
      </c>
      <c r="K11" s="49">
        <v>12</v>
      </c>
      <c r="L11" s="398">
        <f>J11+(K11*31)</f>
        <v>42581</v>
      </c>
      <c r="M11" s="466" t="s">
        <v>6</v>
      </c>
      <c r="N11" s="466" t="s">
        <v>78</v>
      </c>
      <c r="O11" s="466" t="s">
        <v>65</v>
      </c>
      <c r="P11" s="16">
        <v>26154</v>
      </c>
      <c r="Q11" s="19">
        <v>0</v>
      </c>
      <c r="R11" s="21">
        <v>1074</v>
      </c>
      <c r="S11" s="33">
        <v>11000</v>
      </c>
      <c r="T11" s="33">
        <v>10419</v>
      </c>
      <c r="U11" s="34">
        <v>3661</v>
      </c>
      <c r="V11" s="467" t="s">
        <v>63</v>
      </c>
    </row>
    <row r="12" spans="1:22" s="462" customFormat="1" ht="22.5" customHeight="1">
      <c r="A12" s="464">
        <v>4</v>
      </c>
      <c r="B12" s="465" t="s">
        <v>22</v>
      </c>
      <c r="C12" s="465" t="s">
        <v>12</v>
      </c>
      <c r="D12" s="466" t="s">
        <v>88</v>
      </c>
      <c r="E12" s="466" t="s">
        <v>23</v>
      </c>
      <c r="F12" s="466" t="s">
        <v>4</v>
      </c>
      <c r="G12" s="468" t="s">
        <v>83</v>
      </c>
      <c r="H12" s="468" t="s">
        <v>83</v>
      </c>
      <c r="I12" s="468" t="s">
        <v>83</v>
      </c>
      <c r="J12" s="468" t="s">
        <v>83</v>
      </c>
      <c r="K12" s="468" t="s">
        <v>83</v>
      </c>
      <c r="L12" s="468" t="s">
        <v>83</v>
      </c>
      <c r="M12" s="466" t="s">
        <v>6</v>
      </c>
      <c r="N12" s="466" t="s">
        <v>78</v>
      </c>
      <c r="O12" s="466" t="s">
        <v>80</v>
      </c>
      <c r="P12" s="16">
        <v>19080</v>
      </c>
      <c r="Q12" s="19">
        <v>0</v>
      </c>
      <c r="R12" s="21">
        <v>0</v>
      </c>
      <c r="S12" s="33">
        <v>0</v>
      </c>
      <c r="T12" s="33">
        <v>1000</v>
      </c>
      <c r="U12" s="34">
        <v>18080</v>
      </c>
      <c r="V12" s="467" t="s">
        <v>63</v>
      </c>
    </row>
    <row r="13" spans="1:22" s="462" customFormat="1" ht="22.5" customHeight="1">
      <c r="A13" s="464">
        <v>5</v>
      </c>
      <c r="B13" s="465" t="s">
        <v>24</v>
      </c>
      <c r="C13" s="465" t="s">
        <v>5</v>
      </c>
      <c r="D13" s="466" t="s">
        <v>88</v>
      </c>
      <c r="E13" s="466" t="s">
        <v>25</v>
      </c>
      <c r="F13" s="466" t="s">
        <v>4</v>
      </c>
      <c r="G13" s="468" t="s">
        <v>83</v>
      </c>
      <c r="H13" s="468" t="s">
        <v>83</v>
      </c>
      <c r="I13" s="468" t="s">
        <v>83</v>
      </c>
      <c r="J13" s="80">
        <v>41918</v>
      </c>
      <c r="K13" s="395">
        <f t="shared" si="0"/>
        <v>12.483870967741936</v>
      </c>
      <c r="L13" s="80">
        <v>42305</v>
      </c>
      <c r="M13" s="466" t="s">
        <v>6</v>
      </c>
      <c r="N13" s="466" t="s">
        <v>78</v>
      </c>
      <c r="O13" s="466" t="s">
        <v>65</v>
      </c>
      <c r="P13" s="16">
        <v>24746</v>
      </c>
      <c r="Q13" s="19">
        <v>80</v>
      </c>
      <c r="R13" s="21">
        <v>10581</v>
      </c>
      <c r="S13" s="33">
        <v>14165</v>
      </c>
      <c r="T13" s="35">
        <v>0</v>
      </c>
      <c r="U13" s="35">
        <v>0</v>
      </c>
      <c r="V13" s="467" t="s">
        <v>63</v>
      </c>
    </row>
    <row r="14" spans="1:22" s="462" customFormat="1" ht="22.5" customHeight="1">
      <c r="A14" s="464">
        <v>6</v>
      </c>
      <c r="B14" s="465" t="s">
        <v>26</v>
      </c>
      <c r="C14" s="465" t="s">
        <v>12</v>
      </c>
      <c r="D14" s="466" t="s">
        <v>84</v>
      </c>
      <c r="E14" s="466" t="s">
        <v>14</v>
      </c>
      <c r="F14" s="466" t="s">
        <v>4</v>
      </c>
      <c r="G14" s="468" t="s">
        <v>83</v>
      </c>
      <c r="H14" s="468" t="s">
        <v>83</v>
      </c>
      <c r="I14" s="468" t="s">
        <v>83</v>
      </c>
      <c r="J14" s="80">
        <v>41809</v>
      </c>
      <c r="K14" s="395">
        <f t="shared" si="0"/>
        <v>11.774193548387096</v>
      </c>
      <c r="L14" s="80">
        <v>42174</v>
      </c>
      <c r="M14" s="466" t="s">
        <v>6</v>
      </c>
      <c r="N14" s="466" t="s">
        <v>78</v>
      </c>
      <c r="O14" s="466" t="s">
        <v>65</v>
      </c>
      <c r="P14" s="16">
        <v>24238</v>
      </c>
      <c r="Q14" s="19">
        <v>740</v>
      </c>
      <c r="R14" s="21">
        <v>9940</v>
      </c>
      <c r="S14" s="33">
        <v>13298</v>
      </c>
      <c r="T14" s="33">
        <v>1000</v>
      </c>
      <c r="U14" s="35">
        <v>0</v>
      </c>
      <c r="V14" s="467" t="s">
        <v>63</v>
      </c>
    </row>
    <row r="15" spans="1:22" s="17" customFormat="1" ht="22.5" hidden="1" customHeight="1">
      <c r="A15" s="13">
        <v>10</v>
      </c>
      <c r="B15" s="5" t="s">
        <v>27</v>
      </c>
      <c r="C15" s="5" t="s">
        <v>29</v>
      </c>
      <c r="D15" s="5"/>
      <c r="E15" s="14" t="s">
        <v>28</v>
      </c>
      <c r="F15" s="14" t="s">
        <v>29</v>
      </c>
      <c r="G15" s="14"/>
      <c r="H15" s="14"/>
      <c r="I15" s="14"/>
      <c r="J15" s="80">
        <v>42461</v>
      </c>
      <c r="K15" s="80">
        <f t="shared" si="0"/>
        <v>17.64516129032258</v>
      </c>
      <c r="L15" s="80">
        <v>43008</v>
      </c>
      <c r="M15" s="14" t="s">
        <v>6</v>
      </c>
      <c r="N15" s="14" t="s">
        <v>78</v>
      </c>
      <c r="O15" s="14" t="s">
        <v>80</v>
      </c>
      <c r="P15" s="15">
        <v>24006</v>
      </c>
      <c r="Q15" s="19">
        <v>0</v>
      </c>
      <c r="R15" s="20">
        <v>0</v>
      </c>
      <c r="S15" s="32">
        <v>0</v>
      </c>
      <c r="T15" s="32">
        <v>2354</v>
      </c>
      <c r="U15" s="36"/>
      <c r="V15" s="12" t="s">
        <v>62</v>
      </c>
    </row>
    <row r="16" spans="1:22" s="462" customFormat="1" ht="22.5" customHeight="1">
      <c r="A16" s="464">
        <v>7</v>
      </c>
      <c r="B16" s="465" t="s">
        <v>30</v>
      </c>
      <c r="C16" s="465" t="s">
        <v>5</v>
      </c>
      <c r="D16" s="466" t="s">
        <v>91</v>
      </c>
      <c r="E16" s="466" t="s">
        <v>31</v>
      </c>
      <c r="F16" s="466" t="s">
        <v>4</v>
      </c>
      <c r="G16" s="468" t="s">
        <v>83</v>
      </c>
      <c r="H16" s="468" t="s">
        <v>83</v>
      </c>
      <c r="I16" s="468" t="s">
        <v>83</v>
      </c>
      <c r="J16" s="80">
        <v>41689</v>
      </c>
      <c r="K16" s="395">
        <f t="shared" si="0"/>
        <v>15</v>
      </c>
      <c r="L16" s="80">
        <v>42154</v>
      </c>
      <c r="M16" s="466" t="s">
        <v>6</v>
      </c>
      <c r="N16" s="466" t="s">
        <v>78</v>
      </c>
      <c r="O16" s="466" t="s">
        <v>65</v>
      </c>
      <c r="P16" s="16">
        <v>24879</v>
      </c>
      <c r="Q16" s="19">
        <v>4832</v>
      </c>
      <c r="R16" s="21">
        <v>12000</v>
      </c>
      <c r="S16" s="33">
        <v>9876</v>
      </c>
      <c r="T16" s="33">
        <v>3003</v>
      </c>
      <c r="U16" s="35">
        <v>0</v>
      </c>
      <c r="V16" s="467" t="s">
        <v>63</v>
      </c>
    </row>
    <row r="17" spans="1:24" s="462" customFormat="1" ht="22.5" customHeight="1">
      <c r="A17" s="464">
        <v>8</v>
      </c>
      <c r="B17" s="465" t="s">
        <v>32</v>
      </c>
      <c r="C17" s="465" t="s">
        <v>12</v>
      </c>
      <c r="D17" s="466" t="s">
        <v>141</v>
      </c>
      <c r="E17" s="466" t="s">
        <v>3</v>
      </c>
      <c r="F17" s="466" t="s">
        <v>4</v>
      </c>
      <c r="G17" s="468">
        <v>42461</v>
      </c>
      <c r="H17" s="466">
        <v>11</v>
      </c>
      <c r="I17" s="469">
        <f t="shared" ref="I17:I22" si="1">G17+(H17*31)</f>
        <v>42802</v>
      </c>
      <c r="J17" s="64">
        <v>42948</v>
      </c>
      <c r="K17" s="49">
        <v>12</v>
      </c>
      <c r="L17" s="398">
        <f>J17+(K17*31)</f>
        <v>43320</v>
      </c>
      <c r="M17" s="466" t="s">
        <v>6</v>
      </c>
      <c r="N17" s="466" t="s">
        <v>78</v>
      </c>
      <c r="O17" s="466" t="s">
        <v>80</v>
      </c>
      <c r="P17" s="16">
        <v>19089</v>
      </c>
      <c r="Q17" s="19">
        <v>0</v>
      </c>
      <c r="R17" s="20">
        <v>0</v>
      </c>
      <c r="S17" s="33">
        <v>0</v>
      </c>
      <c r="T17" s="33">
        <v>1000</v>
      </c>
      <c r="U17" s="34">
        <v>6803</v>
      </c>
      <c r="V17" s="467" t="s">
        <v>63</v>
      </c>
    </row>
    <row r="18" spans="1:24" s="462" customFormat="1" ht="22.5" customHeight="1">
      <c r="A18" s="464">
        <v>9</v>
      </c>
      <c r="B18" s="465" t="s">
        <v>33</v>
      </c>
      <c r="C18" s="465" t="s">
        <v>12</v>
      </c>
      <c r="D18" s="466" t="s">
        <v>141</v>
      </c>
      <c r="E18" s="466" t="s">
        <v>3</v>
      </c>
      <c r="F18" s="466" t="s">
        <v>4</v>
      </c>
      <c r="G18" s="468">
        <v>42461</v>
      </c>
      <c r="H18" s="466">
        <v>11</v>
      </c>
      <c r="I18" s="469">
        <f t="shared" si="1"/>
        <v>42802</v>
      </c>
      <c r="J18" s="64">
        <v>42917</v>
      </c>
      <c r="K18" s="49">
        <v>12</v>
      </c>
      <c r="L18" s="398">
        <f>J18+(K18*31)</f>
        <v>43289</v>
      </c>
      <c r="M18" s="466" t="s">
        <v>6</v>
      </c>
      <c r="N18" s="466" t="s">
        <v>78</v>
      </c>
      <c r="O18" s="466" t="s">
        <v>80</v>
      </c>
      <c r="P18" s="16">
        <v>19089</v>
      </c>
      <c r="Q18" s="19">
        <v>0</v>
      </c>
      <c r="R18" s="20">
        <v>0</v>
      </c>
      <c r="S18" s="33">
        <v>0</v>
      </c>
      <c r="T18" s="33">
        <v>1000</v>
      </c>
      <c r="U18" s="34">
        <v>7803</v>
      </c>
      <c r="V18" s="467" t="s">
        <v>63</v>
      </c>
    </row>
    <row r="19" spans="1:24" s="462" customFormat="1" ht="22.5" customHeight="1">
      <c r="A19" s="464">
        <v>10</v>
      </c>
      <c r="B19" s="465" t="s">
        <v>34</v>
      </c>
      <c r="C19" s="465" t="s">
        <v>36</v>
      </c>
      <c r="D19" s="466" t="s">
        <v>84</v>
      </c>
      <c r="E19" s="466" t="s">
        <v>35</v>
      </c>
      <c r="F19" s="466" t="s">
        <v>4</v>
      </c>
      <c r="G19" s="468">
        <v>42461</v>
      </c>
      <c r="H19" s="466">
        <v>11</v>
      </c>
      <c r="I19" s="469">
        <f t="shared" si="1"/>
        <v>42802</v>
      </c>
      <c r="J19" s="80" t="s">
        <v>1201</v>
      </c>
      <c r="K19" s="80" t="s">
        <v>1201</v>
      </c>
      <c r="L19" s="80" t="s">
        <v>1201</v>
      </c>
      <c r="M19" s="466" t="s">
        <v>6</v>
      </c>
      <c r="N19" s="466" t="s">
        <v>78</v>
      </c>
      <c r="O19" s="466" t="s">
        <v>80</v>
      </c>
      <c r="P19" s="16">
        <v>37000</v>
      </c>
      <c r="Q19" s="19">
        <v>0</v>
      </c>
      <c r="R19" s="20">
        <v>0</v>
      </c>
      <c r="S19" s="33">
        <v>0</v>
      </c>
      <c r="T19" s="33">
        <v>1500</v>
      </c>
      <c r="U19" s="33">
        <v>0</v>
      </c>
      <c r="V19" s="467" t="s">
        <v>63</v>
      </c>
    </row>
    <row r="20" spans="1:24" s="462" customFormat="1" ht="22.5" customHeight="1">
      <c r="A20" s="464">
        <v>11</v>
      </c>
      <c r="B20" s="465" t="s">
        <v>37</v>
      </c>
      <c r="C20" s="465" t="s">
        <v>19</v>
      </c>
      <c r="D20" s="466" t="s">
        <v>84</v>
      </c>
      <c r="E20" s="466" t="s">
        <v>14</v>
      </c>
      <c r="F20" s="466" t="s">
        <v>4</v>
      </c>
      <c r="G20" s="468">
        <v>42461</v>
      </c>
      <c r="H20" s="466">
        <v>11</v>
      </c>
      <c r="I20" s="469">
        <f t="shared" si="1"/>
        <v>42802</v>
      </c>
      <c r="J20" s="80" t="s">
        <v>1201</v>
      </c>
      <c r="K20" s="80" t="s">
        <v>1201</v>
      </c>
      <c r="L20" s="80" t="s">
        <v>1201</v>
      </c>
      <c r="M20" s="466" t="s">
        <v>6</v>
      </c>
      <c r="N20" s="466" t="s">
        <v>78</v>
      </c>
      <c r="O20" s="466" t="s">
        <v>80</v>
      </c>
      <c r="P20" s="16">
        <v>12000</v>
      </c>
      <c r="Q20" s="19">
        <v>0</v>
      </c>
      <c r="R20" s="20">
        <v>0</v>
      </c>
      <c r="S20" s="33">
        <v>0</v>
      </c>
      <c r="T20" s="33">
        <v>1500</v>
      </c>
      <c r="U20" s="33">
        <v>0</v>
      </c>
      <c r="V20" s="467" t="s">
        <v>63</v>
      </c>
    </row>
    <row r="21" spans="1:24" s="462" customFormat="1" ht="22.5" customHeight="1">
      <c r="A21" s="464">
        <v>12</v>
      </c>
      <c r="B21" s="465" t="s">
        <v>38</v>
      </c>
      <c r="C21" s="465" t="s">
        <v>19</v>
      </c>
      <c r="D21" s="466" t="s">
        <v>84</v>
      </c>
      <c r="E21" s="466" t="s">
        <v>39</v>
      </c>
      <c r="F21" s="466" t="s">
        <v>4</v>
      </c>
      <c r="G21" s="468">
        <v>42461</v>
      </c>
      <c r="H21" s="466">
        <v>11</v>
      </c>
      <c r="I21" s="469">
        <f t="shared" si="1"/>
        <v>42802</v>
      </c>
      <c r="J21" s="80" t="s">
        <v>1201</v>
      </c>
      <c r="K21" s="80" t="s">
        <v>1201</v>
      </c>
      <c r="L21" s="80" t="s">
        <v>1201</v>
      </c>
      <c r="M21" s="466" t="s">
        <v>6</v>
      </c>
      <c r="N21" s="466" t="s">
        <v>78</v>
      </c>
      <c r="O21" s="466" t="s">
        <v>80</v>
      </c>
      <c r="P21" s="16">
        <v>12000</v>
      </c>
      <c r="Q21" s="19">
        <v>0</v>
      </c>
      <c r="R21" s="20">
        <v>0</v>
      </c>
      <c r="S21" s="33">
        <v>0</v>
      </c>
      <c r="T21" s="33">
        <v>1500</v>
      </c>
      <c r="U21" s="33">
        <v>0</v>
      </c>
      <c r="V21" s="467" t="s">
        <v>63</v>
      </c>
    </row>
    <row r="22" spans="1:24" s="462" customFormat="1" ht="22.5" customHeight="1">
      <c r="A22" s="464">
        <v>13</v>
      </c>
      <c r="B22" s="465" t="s">
        <v>40</v>
      </c>
      <c r="C22" s="465" t="s">
        <v>19</v>
      </c>
      <c r="D22" s="466" t="s">
        <v>84</v>
      </c>
      <c r="E22" s="466" t="s">
        <v>14</v>
      </c>
      <c r="F22" s="466" t="s">
        <v>4</v>
      </c>
      <c r="G22" s="468">
        <v>42461</v>
      </c>
      <c r="H22" s="466">
        <v>11</v>
      </c>
      <c r="I22" s="469">
        <f t="shared" si="1"/>
        <v>42802</v>
      </c>
      <c r="J22" s="64">
        <v>42826</v>
      </c>
      <c r="K22" s="49">
        <v>12</v>
      </c>
      <c r="L22" s="398">
        <f>J22+(K22*31)</f>
        <v>43198</v>
      </c>
      <c r="M22" s="466" t="s">
        <v>6</v>
      </c>
      <c r="N22" s="466" t="s">
        <v>78</v>
      </c>
      <c r="O22" s="466" t="s">
        <v>80</v>
      </c>
      <c r="P22" s="16">
        <v>12000</v>
      </c>
      <c r="Q22" s="19">
        <v>0</v>
      </c>
      <c r="R22" s="20">
        <v>0</v>
      </c>
      <c r="S22" s="33">
        <v>0</v>
      </c>
      <c r="T22" s="33">
        <v>1500</v>
      </c>
      <c r="U22" s="34">
        <v>10500</v>
      </c>
      <c r="V22" s="467" t="s">
        <v>63</v>
      </c>
    </row>
    <row r="23" spans="1:24" s="462" customFormat="1" ht="22.5" customHeight="1">
      <c r="A23" s="464">
        <v>14</v>
      </c>
      <c r="B23" s="465" t="s">
        <v>110</v>
      </c>
      <c r="C23" s="465" t="s">
        <v>111</v>
      </c>
      <c r="D23" s="466" t="s">
        <v>141</v>
      </c>
      <c r="E23" s="466" t="s">
        <v>3</v>
      </c>
      <c r="F23" s="466" t="s">
        <v>41</v>
      </c>
      <c r="G23" s="468" t="s">
        <v>83</v>
      </c>
      <c r="H23" s="468" t="s">
        <v>83</v>
      </c>
      <c r="I23" s="468" t="s">
        <v>83</v>
      </c>
      <c r="J23" s="64">
        <v>42461</v>
      </c>
      <c r="K23" s="49">
        <v>12</v>
      </c>
      <c r="L23" s="398">
        <f>J23+(K23*31)</f>
        <v>42833</v>
      </c>
      <c r="M23" s="466" t="s">
        <v>6</v>
      </c>
      <c r="N23" s="466" t="s">
        <v>78</v>
      </c>
      <c r="O23" s="466" t="s">
        <v>180</v>
      </c>
      <c r="P23" s="16">
        <v>62133</v>
      </c>
      <c r="Q23" s="19">
        <v>0</v>
      </c>
      <c r="R23" s="21">
        <v>3000</v>
      </c>
      <c r="S23" s="33">
        <v>0</v>
      </c>
      <c r="T23" s="33">
        <v>23000</v>
      </c>
      <c r="U23" s="34">
        <v>7000</v>
      </c>
      <c r="V23" s="467" t="s">
        <v>63</v>
      </c>
    </row>
    <row r="24" spans="1:24" s="462" customFormat="1" ht="22.5" customHeight="1">
      <c r="A24" s="464">
        <v>15</v>
      </c>
      <c r="B24" s="465" t="s">
        <v>1340</v>
      </c>
      <c r="C24" s="465" t="s">
        <v>42</v>
      </c>
      <c r="D24" s="466" t="s">
        <v>84</v>
      </c>
      <c r="E24" s="466" t="s">
        <v>14</v>
      </c>
      <c r="F24" s="466" t="s">
        <v>41</v>
      </c>
      <c r="G24" s="468" t="s">
        <v>83</v>
      </c>
      <c r="H24" s="468" t="s">
        <v>83</v>
      </c>
      <c r="I24" s="468" t="s">
        <v>83</v>
      </c>
      <c r="J24" s="80">
        <v>41928</v>
      </c>
      <c r="K24" s="395">
        <f t="shared" si="0"/>
        <v>11.774193548387096</v>
      </c>
      <c r="L24" s="80">
        <v>42293</v>
      </c>
      <c r="M24" s="466" t="s">
        <v>6</v>
      </c>
      <c r="N24" s="466" t="s">
        <v>78</v>
      </c>
      <c r="O24" s="466" t="s">
        <v>65</v>
      </c>
      <c r="P24" s="16">
        <v>34136</v>
      </c>
      <c r="Q24" s="19">
        <v>0</v>
      </c>
      <c r="R24" s="21">
        <v>15498</v>
      </c>
      <c r="S24" s="33">
        <v>18638</v>
      </c>
      <c r="T24" s="33">
        <v>13994</v>
      </c>
      <c r="U24" s="34">
        <v>20142</v>
      </c>
      <c r="V24" s="467" t="s">
        <v>63</v>
      </c>
      <c r="X24" s="470"/>
    </row>
    <row r="25" spans="1:24" s="462" customFormat="1" ht="22.5" customHeight="1">
      <c r="A25" s="464">
        <v>16</v>
      </c>
      <c r="B25" s="465" t="s">
        <v>43</v>
      </c>
      <c r="C25" s="465" t="s">
        <v>44</v>
      </c>
      <c r="D25" s="466" t="s">
        <v>88</v>
      </c>
      <c r="E25" s="466" t="s">
        <v>21</v>
      </c>
      <c r="F25" s="466" t="s">
        <v>4</v>
      </c>
      <c r="G25" s="468" t="s">
        <v>83</v>
      </c>
      <c r="H25" s="468" t="s">
        <v>83</v>
      </c>
      <c r="I25" s="468" t="s">
        <v>83</v>
      </c>
      <c r="J25" s="80">
        <v>41550</v>
      </c>
      <c r="K25" s="395">
        <f t="shared" si="0"/>
        <v>11.774193548387096</v>
      </c>
      <c r="L25" s="80">
        <v>41915</v>
      </c>
      <c r="M25" s="466" t="s">
        <v>6</v>
      </c>
      <c r="N25" s="466" t="s">
        <v>78</v>
      </c>
      <c r="O25" s="466" t="s">
        <v>66</v>
      </c>
      <c r="P25" s="16">
        <v>20879</v>
      </c>
      <c r="Q25" s="19">
        <v>5902</v>
      </c>
      <c r="R25" s="21">
        <v>12555</v>
      </c>
      <c r="S25" s="33">
        <v>2422</v>
      </c>
      <c r="T25" s="33">
        <v>0</v>
      </c>
      <c r="U25" s="33">
        <v>0</v>
      </c>
      <c r="V25" s="467" t="s">
        <v>63</v>
      </c>
    </row>
    <row r="26" spans="1:24" s="462" customFormat="1" ht="22.5" customHeight="1">
      <c r="A26" s="464">
        <v>17</v>
      </c>
      <c r="B26" s="465" t="s">
        <v>45</v>
      </c>
      <c r="C26" s="465" t="s">
        <v>41</v>
      </c>
      <c r="D26" s="466" t="s">
        <v>88</v>
      </c>
      <c r="E26" s="466" t="s">
        <v>25</v>
      </c>
      <c r="F26" s="466" t="s">
        <v>41</v>
      </c>
      <c r="G26" s="466" t="s">
        <v>1201</v>
      </c>
      <c r="H26" s="466" t="s">
        <v>1201</v>
      </c>
      <c r="I26" s="469" t="s">
        <v>1201</v>
      </c>
      <c r="J26" s="80">
        <v>42461</v>
      </c>
      <c r="K26" s="395">
        <f t="shared" si="0"/>
        <v>11.709677419354838</v>
      </c>
      <c r="L26" s="80">
        <v>42824</v>
      </c>
      <c r="M26" s="466" t="s">
        <v>6</v>
      </c>
      <c r="N26" s="466" t="s">
        <v>78</v>
      </c>
      <c r="O26" s="466" t="s">
        <v>80</v>
      </c>
      <c r="P26" s="16">
        <v>3500</v>
      </c>
      <c r="Q26" s="19">
        <v>0</v>
      </c>
      <c r="R26" s="20">
        <v>0</v>
      </c>
      <c r="S26" s="33">
        <v>0</v>
      </c>
      <c r="T26" s="33">
        <v>10000</v>
      </c>
      <c r="U26" s="34">
        <v>2500</v>
      </c>
      <c r="V26" s="467" t="s">
        <v>63</v>
      </c>
    </row>
    <row r="27" spans="1:24" s="17" customFormat="1" ht="22.5" hidden="1">
      <c r="A27" s="28"/>
      <c r="B27" s="29" t="s">
        <v>79</v>
      </c>
      <c r="C27" s="10"/>
      <c r="D27" s="10"/>
      <c r="E27" s="30"/>
      <c r="F27" s="11"/>
      <c r="G27" s="11"/>
      <c r="H27" s="11"/>
      <c r="I27" s="11"/>
      <c r="J27" s="81"/>
      <c r="K27" s="81"/>
      <c r="L27" s="81"/>
      <c r="M27" s="11"/>
      <c r="N27" s="11" t="s">
        <v>79</v>
      </c>
      <c r="O27" s="11"/>
      <c r="P27" s="18"/>
      <c r="Q27" s="22"/>
      <c r="R27" s="24">
        <v>4877</v>
      </c>
      <c r="S27" s="37">
        <v>4578</v>
      </c>
      <c r="T27" s="37">
        <v>5342</v>
      </c>
      <c r="U27" s="34">
        <v>5324</v>
      </c>
      <c r="V27" s="12" t="s">
        <v>62</v>
      </c>
    </row>
    <row r="28" spans="1:24" s="17" customFormat="1" ht="22.5" hidden="1">
      <c r="A28" s="13">
        <v>22</v>
      </c>
      <c r="B28" s="5" t="s">
        <v>46</v>
      </c>
      <c r="C28" s="15">
        <v>0</v>
      </c>
      <c r="D28" s="15"/>
      <c r="E28" s="14" t="s">
        <v>47</v>
      </c>
      <c r="F28" s="14" t="s">
        <v>48</v>
      </c>
      <c r="G28" s="14"/>
      <c r="H28" s="14"/>
      <c r="I28" s="14"/>
      <c r="J28" s="79" t="s">
        <v>49</v>
      </c>
      <c r="K28" s="79"/>
      <c r="L28" s="79" t="s">
        <v>50</v>
      </c>
      <c r="M28" s="14" t="s">
        <v>51</v>
      </c>
      <c r="N28" s="11" t="s">
        <v>79</v>
      </c>
      <c r="O28" s="14"/>
      <c r="P28" s="15">
        <v>14797</v>
      </c>
      <c r="Q28" s="23">
        <v>4102</v>
      </c>
      <c r="R28" s="20">
        <v>489</v>
      </c>
      <c r="S28" s="38">
        <v>0</v>
      </c>
      <c r="T28" s="38">
        <v>0</v>
      </c>
      <c r="U28" s="32">
        <v>0</v>
      </c>
      <c r="V28" s="12" t="s">
        <v>62</v>
      </c>
    </row>
    <row r="29" spans="1:24" s="17" customFormat="1" ht="22.5" hidden="1">
      <c r="A29" s="13">
        <v>23</v>
      </c>
      <c r="B29" s="5" t="s">
        <v>46</v>
      </c>
      <c r="C29" s="15">
        <v>0</v>
      </c>
      <c r="D29" s="15"/>
      <c r="E29" s="31" t="s">
        <v>52</v>
      </c>
      <c r="F29" s="14" t="s">
        <v>48</v>
      </c>
      <c r="G29" s="14"/>
      <c r="H29" s="14"/>
      <c r="I29" s="14"/>
      <c r="J29" s="79" t="s">
        <v>49</v>
      </c>
      <c r="K29" s="79"/>
      <c r="L29" s="79" t="s">
        <v>50</v>
      </c>
      <c r="M29" s="14" t="s">
        <v>51</v>
      </c>
      <c r="N29" s="11" t="s">
        <v>79</v>
      </c>
      <c r="O29" s="14"/>
      <c r="P29" s="15">
        <v>0</v>
      </c>
      <c r="Q29" s="23">
        <v>0</v>
      </c>
      <c r="R29" s="25">
        <v>220</v>
      </c>
      <c r="S29" s="32">
        <v>0</v>
      </c>
      <c r="T29" s="32">
        <v>0</v>
      </c>
      <c r="U29" s="32">
        <v>0</v>
      </c>
      <c r="V29" s="12" t="s">
        <v>62</v>
      </c>
    </row>
    <row r="30" spans="1:24" s="17" customFormat="1" ht="22.5" hidden="1">
      <c r="A30" s="13">
        <v>24</v>
      </c>
      <c r="B30" s="5" t="s">
        <v>46</v>
      </c>
      <c r="C30" s="15">
        <v>0</v>
      </c>
      <c r="D30" s="15"/>
      <c r="E30" s="31" t="s">
        <v>53</v>
      </c>
      <c r="F30" s="14" t="s">
        <v>48</v>
      </c>
      <c r="G30" s="14"/>
      <c r="H30" s="14"/>
      <c r="I30" s="14"/>
      <c r="J30" s="79" t="s">
        <v>49</v>
      </c>
      <c r="K30" s="79"/>
      <c r="L30" s="79" t="s">
        <v>50</v>
      </c>
      <c r="M30" s="14" t="s">
        <v>51</v>
      </c>
      <c r="N30" s="11" t="s">
        <v>79</v>
      </c>
      <c r="O30" s="14"/>
      <c r="P30" s="15">
        <v>0</v>
      </c>
      <c r="Q30" s="23">
        <v>0</v>
      </c>
      <c r="R30" s="25">
        <v>520</v>
      </c>
      <c r="S30" s="32">
        <v>0</v>
      </c>
      <c r="T30" s="32">
        <v>0</v>
      </c>
      <c r="U30" s="32">
        <v>0</v>
      </c>
      <c r="V30" s="12" t="s">
        <v>62</v>
      </c>
    </row>
    <row r="31" spans="1:24" s="17" customFormat="1" ht="22.5" hidden="1">
      <c r="A31" s="13">
        <v>25</v>
      </c>
      <c r="B31" s="5" t="s">
        <v>46</v>
      </c>
      <c r="C31" s="15">
        <v>0</v>
      </c>
      <c r="D31" s="15"/>
      <c r="E31" s="31" t="s">
        <v>54</v>
      </c>
      <c r="F31" s="14" t="s">
        <v>48</v>
      </c>
      <c r="G31" s="14"/>
      <c r="H31" s="14"/>
      <c r="I31" s="14"/>
      <c r="J31" s="79" t="s">
        <v>49</v>
      </c>
      <c r="K31" s="79"/>
      <c r="L31" s="79" t="s">
        <v>50</v>
      </c>
      <c r="M31" s="14" t="s">
        <v>51</v>
      </c>
      <c r="N31" s="11" t="s">
        <v>79</v>
      </c>
      <c r="O31" s="14"/>
      <c r="P31" s="15">
        <v>0</v>
      </c>
      <c r="Q31" s="23">
        <v>0</v>
      </c>
      <c r="R31" s="25">
        <v>350</v>
      </c>
      <c r="S31" s="32">
        <v>0</v>
      </c>
      <c r="T31" s="32">
        <v>0</v>
      </c>
      <c r="U31" s="32">
        <v>0</v>
      </c>
      <c r="V31" s="12" t="s">
        <v>62</v>
      </c>
    </row>
    <row r="32" spans="1:24" s="17" customFormat="1" ht="22.5" hidden="1">
      <c r="A32" s="13">
        <v>26</v>
      </c>
      <c r="B32" s="5" t="s">
        <v>46</v>
      </c>
      <c r="C32" s="15">
        <v>0</v>
      </c>
      <c r="D32" s="15"/>
      <c r="E32" s="31" t="s">
        <v>55</v>
      </c>
      <c r="F32" s="14" t="s">
        <v>48</v>
      </c>
      <c r="G32" s="14"/>
      <c r="H32" s="14"/>
      <c r="I32" s="14"/>
      <c r="J32" s="79" t="s">
        <v>49</v>
      </c>
      <c r="K32" s="79"/>
      <c r="L32" s="79" t="s">
        <v>50</v>
      </c>
      <c r="M32" s="14" t="s">
        <v>51</v>
      </c>
      <c r="N32" s="11" t="s">
        <v>79</v>
      </c>
      <c r="O32" s="14"/>
      <c r="P32" s="15">
        <v>0</v>
      </c>
      <c r="Q32" s="23">
        <v>0</v>
      </c>
      <c r="R32" s="25">
        <v>210</v>
      </c>
      <c r="S32" s="32">
        <v>0</v>
      </c>
      <c r="T32" s="32">
        <v>0</v>
      </c>
      <c r="U32" s="32">
        <v>0</v>
      </c>
      <c r="V32" s="12" t="s">
        <v>62</v>
      </c>
    </row>
    <row r="33" spans="1:22" s="17" customFormat="1" ht="22.5" hidden="1">
      <c r="A33" s="13">
        <v>27</v>
      </c>
      <c r="B33" s="5" t="s">
        <v>46</v>
      </c>
      <c r="C33" s="15">
        <v>0</v>
      </c>
      <c r="D33" s="15"/>
      <c r="E33" s="31" t="s">
        <v>56</v>
      </c>
      <c r="F33" s="14" t="s">
        <v>48</v>
      </c>
      <c r="G33" s="14"/>
      <c r="H33" s="14"/>
      <c r="I33" s="14"/>
      <c r="J33" s="79" t="s">
        <v>49</v>
      </c>
      <c r="K33" s="79"/>
      <c r="L33" s="79" t="s">
        <v>50</v>
      </c>
      <c r="M33" s="14" t="s">
        <v>51</v>
      </c>
      <c r="N33" s="11" t="s">
        <v>79</v>
      </c>
      <c r="O33" s="14"/>
      <c r="P33" s="15">
        <v>0</v>
      </c>
      <c r="Q33" s="23">
        <v>0</v>
      </c>
      <c r="R33" s="25">
        <v>350</v>
      </c>
      <c r="S33" s="32">
        <v>0</v>
      </c>
      <c r="T33" s="32">
        <v>0</v>
      </c>
      <c r="U33" s="32">
        <v>0</v>
      </c>
      <c r="V33" s="12" t="s">
        <v>62</v>
      </c>
    </row>
    <row r="34" spans="1:22" s="17" customFormat="1" ht="22.5" hidden="1">
      <c r="A34" s="13">
        <v>28</v>
      </c>
      <c r="B34" s="5" t="s">
        <v>46</v>
      </c>
      <c r="C34" s="15">
        <v>0</v>
      </c>
      <c r="D34" s="15"/>
      <c r="E34" s="31" t="s">
        <v>57</v>
      </c>
      <c r="F34" s="14" t="s">
        <v>48</v>
      </c>
      <c r="G34" s="14"/>
      <c r="H34" s="14"/>
      <c r="I34" s="14"/>
      <c r="J34" s="79" t="s">
        <v>49</v>
      </c>
      <c r="K34" s="79"/>
      <c r="L34" s="79" t="s">
        <v>50</v>
      </c>
      <c r="M34" s="14" t="s">
        <v>51</v>
      </c>
      <c r="N34" s="11" t="s">
        <v>79</v>
      </c>
      <c r="O34" s="14"/>
      <c r="P34" s="15">
        <v>0</v>
      </c>
      <c r="Q34" s="23">
        <v>0</v>
      </c>
      <c r="R34" s="25">
        <v>914</v>
      </c>
      <c r="S34" s="32">
        <v>0</v>
      </c>
      <c r="T34" s="32">
        <v>0</v>
      </c>
      <c r="U34" s="32">
        <v>0</v>
      </c>
      <c r="V34" s="12" t="s">
        <v>62</v>
      </c>
    </row>
    <row r="35" spans="1:22" s="17" customFormat="1" ht="22.5" hidden="1">
      <c r="A35" s="13">
        <v>29</v>
      </c>
      <c r="B35" s="5" t="s">
        <v>46</v>
      </c>
      <c r="C35" s="15">
        <v>0</v>
      </c>
      <c r="D35" s="15"/>
      <c r="E35" s="31" t="s">
        <v>58</v>
      </c>
      <c r="F35" s="14" t="s">
        <v>48</v>
      </c>
      <c r="G35" s="14"/>
      <c r="H35" s="14"/>
      <c r="I35" s="14"/>
      <c r="J35" s="79" t="s">
        <v>49</v>
      </c>
      <c r="K35" s="79"/>
      <c r="L35" s="79" t="s">
        <v>50</v>
      </c>
      <c r="M35" s="14" t="s">
        <v>51</v>
      </c>
      <c r="N35" s="11" t="s">
        <v>79</v>
      </c>
      <c r="O35" s="14"/>
      <c r="P35" s="15">
        <v>0</v>
      </c>
      <c r="Q35" s="23">
        <v>0</v>
      </c>
      <c r="R35" s="26">
        <v>987</v>
      </c>
      <c r="S35" s="32">
        <v>0</v>
      </c>
      <c r="T35" s="32">
        <v>0</v>
      </c>
      <c r="U35" s="32">
        <v>0</v>
      </c>
      <c r="V35" s="12" t="s">
        <v>62</v>
      </c>
    </row>
    <row r="36" spans="1:22" s="17" customFormat="1" ht="22.5" hidden="1">
      <c r="A36" s="13">
        <v>30</v>
      </c>
      <c r="B36" s="5" t="s">
        <v>46</v>
      </c>
      <c r="C36" s="15">
        <v>0</v>
      </c>
      <c r="D36" s="15"/>
      <c r="E36" s="31" t="s">
        <v>59</v>
      </c>
      <c r="F36" s="14" t="s">
        <v>48</v>
      </c>
      <c r="G36" s="14"/>
      <c r="H36" s="14"/>
      <c r="I36" s="14"/>
      <c r="J36" s="79" t="s">
        <v>49</v>
      </c>
      <c r="K36" s="79"/>
      <c r="L36" s="79" t="s">
        <v>50</v>
      </c>
      <c r="M36" s="14" t="s">
        <v>51</v>
      </c>
      <c r="N36" s="11" t="s">
        <v>79</v>
      </c>
      <c r="O36" s="14"/>
      <c r="P36" s="15">
        <v>0</v>
      </c>
      <c r="Q36" s="23">
        <v>0</v>
      </c>
      <c r="R36" s="26">
        <v>351</v>
      </c>
      <c r="S36" s="32">
        <v>0</v>
      </c>
      <c r="T36" s="32">
        <v>0</v>
      </c>
      <c r="U36" s="32">
        <v>0</v>
      </c>
      <c r="V36" s="12" t="s">
        <v>62</v>
      </c>
    </row>
    <row r="37" spans="1:22" s="17" customFormat="1" ht="22.5" hidden="1">
      <c r="A37" s="13">
        <v>31</v>
      </c>
      <c r="B37" s="5" t="s">
        <v>46</v>
      </c>
      <c r="C37" s="15">
        <v>0</v>
      </c>
      <c r="D37" s="15"/>
      <c r="E37" s="31" t="s">
        <v>60</v>
      </c>
      <c r="F37" s="14" t="s">
        <v>48</v>
      </c>
      <c r="G37" s="14"/>
      <c r="H37" s="14"/>
      <c r="I37" s="14"/>
      <c r="J37" s="79" t="s">
        <v>49</v>
      </c>
      <c r="K37" s="79"/>
      <c r="L37" s="79" t="s">
        <v>50</v>
      </c>
      <c r="M37" s="14" t="s">
        <v>51</v>
      </c>
      <c r="N37" s="11" t="s">
        <v>79</v>
      </c>
      <c r="O37" s="14"/>
      <c r="P37" s="15">
        <v>0</v>
      </c>
      <c r="Q37" s="23">
        <v>0</v>
      </c>
      <c r="R37" s="26">
        <v>486</v>
      </c>
      <c r="S37" s="32">
        <v>0</v>
      </c>
      <c r="T37" s="32">
        <v>0</v>
      </c>
      <c r="U37" s="32">
        <v>0</v>
      </c>
      <c r="V37" s="12" t="s">
        <v>62</v>
      </c>
    </row>
    <row r="38" spans="1:22" s="453" customFormat="1" ht="13.5" thickBot="1">
      <c r="A38" s="471" t="s">
        <v>1234</v>
      </c>
      <c r="B38" s="472"/>
      <c r="C38" s="472"/>
      <c r="D38" s="472"/>
      <c r="E38" s="472"/>
      <c r="F38" s="472"/>
      <c r="G38" s="472"/>
      <c r="H38" s="472"/>
      <c r="I38" s="472"/>
      <c r="J38" s="472"/>
      <c r="K38" s="472"/>
      <c r="L38" s="472"/>
      <c r="M38" s="472"/>
      <c r="N38" s="472"/>
      <c r="O38" s="472"/>
      <c r="P38" s="473">
        <f t="shared" ref="P38:U38" si="2">SUBTOTAL(9,P6:P26)</f>
        <v>467923</v>
      </c>
      <c r="Q38" s="473">
        <f t="shared" si="2"/>
        <v>19171</v>
      </c>
      <c r="R38" s="8">
        <f t="shared" si="2"/>
        <v>69040</v>
      </c>
      <c r="S38" s="473">
        <f t="shared" si="2"/>
        <v>72354</v>
      </c>
      <c r="T38" s="473">
        <f t="shared" si="2"/>
        <v>76994</v>
      </c>
      <c r="U38" s="9">
        <f t="shared" si="2"/>
        <v>84421</v>
      </c>
      <c r="V38" s="474"/>
    </row>
    <row r="39" spans="1:22" ht="12" thickTop="1"/>
    <row r="50" spans="13:13">
      <c r="M50" s="115" t="s">
        <v>81</v>
      </c>
    </row>
  </sheetData>
  <autoFilter ref="A5:V37">
    <filterColumn colId="11"/>
    <filterColumn colId="21">
      <filters>
        <filter val="In"/>
      </filters>
    </filterColumn>
  </autoFilter>
  <conditionalFormatting sqref="G7:I7">
    <cfRule type="expression" dxfId="22" priority="19" stopIfTrue="1">
      <formula>IF((#REF!&lt;&gt;"")*(G7=""),TRUE,FALSE)</formula>
    </cfRule>
  </conditionalFormatting>
  <conditionalFormatting sqref="G7:I7">
    <cfRule type="expression" dxfId="21" priority="18" stopIfTrue="1">
      <formula>IF((#REF!&lt;&gt;"")*(G7=""),TRUE,FALSE)</formula>
    </cfRule>
  </conditionalFormatting>
  <conditionalFormatting sqref="G7:I7">
    <cfRule type="expression" dxfId="20" priority="17" stopIfTrue="1">
      <formula>IF((#REF!&lt;&gt;"")*(G7=""),TRUE,FALSE)</formula>
    </cfRule>
  </conditionalFormatting>
  <conditionalFormatting sqref="G7:I7">
    <cfRule type="expression" dxfId="19" priority="16" stopIfTrue="1">
      <formula>IF((#REF!&lt;&gt;"")*(G7=""),TRUE,FALSE)</formula>
    </cfRule>
  </conditionalFormatting>
  <conditionalFormatting sqref="G7:I7">
    <cfRule type="expression" dxfId="18" priority="15" stopIfTrue="1">
      <formula>IF((#REF!&lt;&gt;"")*(G7=""),TRUE,FALSE)</formula>
    </cfRule>
  </conditionalFormatting>
  <conditionalFormatting sqref="G7:I7">
    <cfRule type="expression" dxfId="17" priority="14" stopIfTrue="1">
      <formula>IF((#REF!&lt;&gt;"")*(G7=""),TRUE,FALSE)</formula>
    </cfRule>
  </conditionalFormatting>
  <conditionalFormatting sqref="G7:I7">
    <cfRule type="expression" dxfId="16" priority="13" stopIfTrue="1">
      <formula>IF((#REF!&lt;&gt;"")*(G7=""),TRUE,FALSE)</formula>
    </cfRule>
  </conditionalFormatting>
  <conditionalFormatting sqref="J7:L7">
    <cfRule type="expression" dxfId="15" priority="12" stopIfTrue="1">
      <formula>IF((#REF!&lt;&gt;"")*(J7=""),TRUE,FALSE)</formula>
    </cfRule>
  </conditionalFormatting>
  <conditionalFormatting sqref="G9:I9 G11:I11">
    <cfRule type="expression" dxfId="14" priority="11" stopIfTrue="1">
      <formula>IF((#REF!&lt;&gt;"")*(G9=""),TRUE,FALSE)</formula>
    </cfRule>
  </conditionalFormatting>
  <conditionalFormatting sqref="G9:I9 G11:I11">
    <cfRule type="expression" dxfId="13" priority="10" stopIfTrue="1">
      <formula>IF((#REF!&lt;&gt;"")*(G9=""),TRUE,FALSE)</formula>
    </cfRule>
  </conditionalFormatting>
  <conditionalFormatting sqref="G9:I9 G11:I11">
    <cfRule type="expression" dxfId="12" priority="9" stopIfTrue="1">
      <formula>IF((#REF!&lt;&gt;"")*(G9=""),TRUE,FALSE)</formula>
    </cfRule>
  </conditionalFormatting>
  <conditionalFormatting sqref="G9:I9 G11:I11">
    <cfRule type="expression" dxfId="11" priority="8" stopIfTrue="1">
      <formula>IF((#REF!&lt;&gt;"")*(G9=""),TRUE,FALSE)</formula>
    </cfRule>
  </conditionalFormatting>
  <conditionalFormatting sqref="G9:I9 G11:I11">
    <cfRule type="expression" dxfId="10" priority="7" stopIfTrue="1">
      <formula>IF((#REF!&lt;&gt;"")*(G9=""),TRUE,FALSE)</formula>
    </cfRule>
  </conditionalFormatting>
  <conditionalFormatting sqref="G9:I9 G11:I11">
    <cfRule type="expression" dxfId="9" priority="6" stopIfTrue="1">
      <formula>IF((#REF!&lt;&gt;"")*(G9=""),TRUE,FALSE)</formula>
    </cfRule>
  </conditionalFormatting>
  <conditionalFormatting sqref="G9:I9 G11:I11">
    <cfRule type="expression" dxfId="8" priority="5" stopIfTrue="1">
      <formula>IF((#REF!&lt;&gt;"")*(G9=""),TRUE,FALSE)</formula>
    </cfRule>
  </conditionalFormatting>
  <conditionalFormatting sqref="J9:L9 J11:L11">
    <cfRule type="expression" dxfId="7" priority="4" stopIfTrue="1">
      <formula>IF((#REF!&lt;&gt;"")*(J9=""),TRUE,FALSE)</formula>
    </cfRule>
  </conditionalFormatting>
  <conditionalFormatting sqref="J17:L18">
    <cfRule type="expression" dxfId="6" priority="3" stopIfTrue="1">
      <formula>IF((#REF!&lt;&gt;"")*(J17=""),TRUE,FALSE)</formula>
    </cfRule>
  </conditionalFormatting>
  <conditionalFormatting sqref="J22:L22">
    <cfRule type="expression" dxfId="5" priority="2" stopIfTrue="1">
      <formula>IF((#REF!&lt;&gt;"")*(J22=""),TRUE,FALSE)</formula>
    </cfRule>
  </conditionalFormatting>
  <conditionalFormatting sqref="J23:L23">
    <cfRule type="expression" dxfId="4" priority="1" stopIfTrue="1">
      <formula>IF((#REF!&lt;&gt;"")*(J23=""),TRUE,FALSE)</formula>
    </cfRule>
  </conditionalFormatting>
  <pageMargins left="0.55118110236220474" right="0.43307086614173229" top="0.74803149606299213" bottom="0.74803149606299213" header="0.31496062992125984" footer="0.31496062992125984"/>
  <pageSetup paperSize="8" scale="70" orientation="landscape" r:id="rId1"/>
  <headerFooter>
    <oddFooter>&amp;L&amp;12Building Infrastructuere&amp;C&amp;12&amp;P of &amp;N&amp;R&amp;12Social Development Infrastructure Project List 2015/16 Financial Year</oddFooter>
  </headerFooter>
  <ignoredErrors>
    <ignoredError sqref="I17:I22 K10 K14:K16" unlocked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31"/>
  <sheetViews>
    <sheetView workbookViewId="0">
      <pane xSplit="2" ySplit="5" topLeftCell="D6" activePane="bottomRight" state="frozen"/>
      <selection pane="topRight" activeCell="C1" sqref="C1"/>
      <selection pane="bottomLeft" activeCell="A6" sqref="A6"/>
      <selection pane="bottomRight" activeCell="E7" sqref="E7"/>
    </sheetView>
  </sheetViews>
  <sheetFormatPr defaultRowHeight="15"/>
  <cols>
    <col min="1" max="1" width="3.85546875" customWidth="1"/>
    <col min="2" max="2" width="28" customWidth="1"/>
    <col min="3" max="3" width="28.42578125" bestFit="1" customWidth="1"/>
    <col min="4" max="5" width="16.7109375" style="285" customWidth="1"/>
    <col min="6" max="11" width="10.7109375" style="285" customWidth="1"/>
    <col min="12" max="13" width="14.42578125" customWidth="1"/>
    <col min="14" max="14" width="15" style="285" customWidth="1"/>
    <col min="15" max="15" width="11.140625" customWidth="1"/>
    <col min="16" max="16" width="10.140625" customWidth="1"/>
    <col min="17" max="17" width="9.7109375" customWidth="1"/>
    <col min="18" max="18" width="15" hidden="1" customWidth="1"/>
  </cols>
  <sheetData>
    <row r="1" spans="1:256" s="275" customFormat="1" ht="15.75">
      <c r="A1" s="452" t="s">
        <v>106</v>
      </c>
      <c r="B1" s="475"/>
      <c r="C1" s="475"/>
      <c r="D1" s="476"/>
      <c r="E1" s="476"/>
      <c r="F1" s="476"/>
      <c r="G1" s="476"/>
      <c r="H1" s="476"/>
      <c r="I1" s="476"/>
      <c r="J1" s="476"/>
      <c r="K1" s="476"/>
      <c r="L1" s="475"/>
      <c r="M1" s="475"/>
      <c r="N1" s="476"/>
      <c r="O1" s="475"/>
      <c r="P1" s="475"/>
      <c r="Q1" s="475"/>
      <c r="R1" s="477"/>
      <c r="S1" s="276"/>
      <c r="T1" s="277"/>
      <c r="U1" s="277"/>
    </row>
    <row r="2" spans="1:256" s="275" customFormat="1" ht="14.25">
      <c r="A2" s="453" t="s">
        <v>107</v>
      </c>
      <c r="B2" s="475"/>
      <c r="C2" s="475"/>
      <c r="D2" s="476"/>
      <c r="E2" s="476"/>
      <c r="F2" s="476"/>
      <c r="G2" s="476"/>
      <c r="H2" s="476"/>
      <c r="I2" s="476"/>
      <c r="J2" s="476"/>
      <c r="K2" s="476"/>
      <c r="L2" s="475"/>
      <c r="M2" s="475"/>
      <c r="N2" s="476"/>
      <c r="O2" s="475"/>
      <c r="P2" s="475"/>
      <c r="Q2" s="475"/>
      <c r="R2" s="477"/>
      <c r="S2" s="276"/>
      <c r="T2" s="277"/>
      <c r="U2" s="277"/>
    </row>
    <row r="3" spans="1:256" s="274" customFormat="1" ht="21" thickBot="1">
      <c r="A3" s="454" t="s">
        <v>1200</v>
      </c>
      <c r="B3" s="266"/>
      <c r="C3" s="266"/>
      <c r="D3" s="267"/>
      <c r="E3" s="267"/>
      <c r="F3" s="267"/>
      <c r="G3" s="267"/>
      <c r="H3" s="267"/>
      <c r="I3" s="267"/>
      <c r="J3" s="267"/>
      <c r="K3" s="267"/>
      <c r="L3" s="266"/>
      <c r="M3" s="266"/>
      <c r="N3" s="267"/>
      <c r="O3" s="266"/>
      <c r="P3" s="266"/>
      <c r="Q3" s="266"/>
      <c r="R3" s="267"/>
      <c r="S3" s="267"/>
      <c r="T3" s="268"/>
      <c r="U3" s="269"/>
      <c r="V3" s="269"/>
      <c r="W3" s="270"/>
      <c r="X3" s="269"/>
      <c r="Y3" s="271"/>
      <c r="Z3" s="272"/>
      <c r="AA3" s="534"/>
      <c r="AB3" s="534"/>
      <c r="AC3" s="273"/>
      <c r="AD3" s="273"/>
      <c r="AE3" s="273"/>
      <c r="AF3" s="273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6"/>
      <c r="AY3" s="266"/>
      <c r="AZ3" s="266"/>
      <c r="BA3" s="266"/>
      <c r="BB3" s="266"/>
      <c r="BC3" s="266"/>
      <c r="BD3" s="266"/>
      <c r="BE3" s="266"/>
      <c r="BF3" s="266"/>
      <c r="BG3" s="266"/>
      <c r="BH3" s="266"/>
      <c r="BI3" s="266"/>
      <c r="BJ3" s="266"/>
      <c r="BK3" s="266"/>
      <c r="BL3" s="266"/>
      <c r="BM3" s="266"/>
      <c r="BN3" s="266"/>
      <c r="BO3" s="266"/>
      <c r="BP3" s="266"/>
      <c r="BQ3" s="266"/>
      <c r="BR3" s="266"/>
      <c r="BS3" s="266"/>
      <c r="BT3" s="266"/>
      <c r="BU3" s="266"/>
      <c r="BV3" s="266"/>
      <c r="BW3" s="266"/>
      <c r="BX3" s="266"/>
      <c r="BY3" s="266"/>
      <c r="BZ3" s="266"/>
      <c r="CA3" s="266"/>
      <c r="CB3" s="266"/>
      <c r="CC3" s="266"/>
      <c r="CD3" s="266"/>
      <c r="CE3" s="266"/>
      <c r="CF3" s="266"/>
      <c r="CG3" s="266"/>
      <c r="CH3" s="266"/>
      <c r="CI3" s="266"/>
      <c r="CJ3" s="266"/>
      <c r="CK3" s="266"/>
      <c r="CL3" s="266"/>
      <c r="CM3" s="266"/>
      <c r="CN3" s="266"/>
      <c r="CO3" s="266"/>
      <c r="CP3" s="266"/>
      <c r="CQ3" s="266"/>
      <c r="CR3" s="266"/>
      <c r="CS3" s="266"/>
      <c r="CT3" s="266"/>
      <c r="CU3" s="266"/>
      <c r="CV3" s="266"/>
      <c r="CW3" s="266"/>
      <c r="CX3" s="266"/>
      <c r="CY3" s="266"/>
      <c r="CZ3" s="266"/>
      <c r="DA3" s="266"/>
      <c r="DB3" s="266"/>
      <c r="DC3" s="266"/>
      <c r="DD3" s="266"/>
      <c r="DE3" s="266"/>
      <c r="DF3" s="266"/>
      <c r="DG3" s="266"/>
      <c r="DH3" s="266"/>
      <c r="DI3" s="266"/>
      <c r="DJ3" s="266"/>
      <c r="DK3" s="266"/>
      <c r="DL3" s="266"/>
      <c r="DM3" s="266"/>
      <c r="DN3" s="266"/>
      <c r="DO3" s="266"/>
      <c r="DP3" s="266"/>
      <c r="DQ3" s="266"/>
      <c r="DR3" s="266"/>
      <c r="DS3" s="266"/>
      <c r="DT3" s="266"/>
      <c r="DU3" s="266"/>
      <c r="DV3" s="266"/>
      <c r="DW3" s="266"/>
      <c r="DX3" s="266"/>
      <c r="DY3" s="266"/>
      <c r="DZ3" s="266"/>
      <c r="EA3" s="266"/>
      <c r="EB3" s="266"/>
      <c r="EC3" s="266"/>
      <c r="ED3" s="266"/>
      <c r="EE3" s="266"/>
      <c r="EF3" s="266"/>
      <c r="EG3" s="266"/>
      <c r="EH3" s="266"/>
      <c r="EI3" s="266"/>
      <c r="EJ3" s="266"/>
      <c r="EK3" s="266"/>
      <c r="EL3" s="266"/>
      <c r="EM3" s="266"/>
      <c r="EN3" s="266"/>
      <c r="EO3" s="266"/>
      <c r="EP3" s="266"/>
      <c r="EQ3" s="266"/>
      <c r="ER3" s="266"/>
      <c r="ES3" s="266"/>
      <c r="ET3" s="266"/>
      <c r="EU3" s="266"/>
      <c r="EV3" s="266"/>
      <c r="EW3" s="266"/>
      <c r="EX3" s="266"/>
      <c r="EY3" s="266"/>
      <c r="EZ3" s="266"/>
      <c r="FA3" s="266"/>
      <c r="FB3" s="266"/>
      <c r="FC3" s="266"/>
      <c r="FD3" s="266"/>
      <c r="FE3" s="266"/>
      <c r="FF3" s="266"/>
      <c r="FG3" s="266"/>
      <c r="FH3" s="266"/>
      <c r="FI3" s="266"/>
      <c r="FJ3" s="266"/>
      <c r="FK3" s="266"/>
      <c r="FL3" s="266"/>
      <c r="FM3" s="266"/>
      <c r="FN3" s="266"/>
      <c r="FO3" s="266"/>
      <c r="FP3" s="266"/>
      <c r="FQ3" s="266"/>
      <c r="FR3" s="266"/>
      <c r="FS3" s="266"/>
      <c r="FT3" s="266"/>
      <c r="FU3" s="266"/>
      <c r="FV3" s="266"/>
      <c r="FW3" s="266"/>
      <c r="FX3" s="266"/>
      <c r="FY3" s="266"/>
      <c r="FZ3" s="266"/>
      <c r="GA3" s="266"/>
      <c r="GB3" s="266"/>
      <c r="GC3" s="266"/>
      <c r="GD3" s="266"/>
      <c r="GE3" s="266"/>
      <c r="GF3" s="266"/>
      <c r="GG3" s="266"/>
      <c r="GH3" s="266"/>
      <c r="GI3" s="266"/>
      <c r="GJ3" s="266"/>
      <c r="GK3" s="266"/>
      <c r="GL3" s="266"/>
      <c r="GM3" s="266"/>
      <c r="GN3" s="266"/>
      <c r="GO3" s="266"/>
      <c r="GP3" s="266"/>
      <c r="GQ3" s="266"/>
      <c r="GR3" s="266"/>
      <c r="GS3" s="266"/>
      <c r="GT3" s="266"/>
      <c r="GU3" s="266"/>
      <c r="GV3" s="266"/>
      <c r="GW3" s="266"/>
      <c r="GX3" s="266"/>
      <c r="GY3" s="266"/>
      <c r="GZ3" s="266"/>
      <c r="HA3" s="266"/>
      <c r="HB3" s="266"/>
      <c r="HC3" s="266"/>
      <c r="HD3" s="266"/>
      <c r="HE3" s="266"/>
      <c r="HF3" s="266"/>
      <c r="HG3" s="266"/>
      <c r="HH3" s="266"/>
      <c r="HI3" s="266"/>
      <c r="HJ3" s="266"/>
      <c r="HK3" s="266"/>
      <c r="HL3" s="266"/>
      <c r="HM3" s="266"/>
      <c r="HN3" s="266"/>
      <c r="HO3" s="266"/>
      <c r="HP3" s="266"/>
      <c r="HQ3" s="266"/>
      <c r="HR3" s="266"/>
      <c r="HS3" s="266"/>
      <c r="HT3" s="266"/>
      <c r="HU3" s="266"/>
      <c r="HV3" s="266"/>
      <c r="HW3" s="266"/>
      <c r="HX3" s="266"/>
      <c r="HY3" s="266"/>
      <c r="HZ3" s="266"/>
      <c r="IA3" s="266"/>
      <c r="IB3" s="266"/>
      <c r="IC3" s="266"/>
      <c r="ID3" s="266"/>
      <c r="IE3" s="266"/>
      <c r="IF3" s="266"/>
      <c r="IG3" s="266"/>
      <c r="IH3" s="266"/>
      <c r="II3" s="266"/>
      <c r="IJ3" s="266"/>
      <c r="IK3" s="266"/>
      <c r="IL3" s="266"/>
      <c r="IM3" s="266"/>
      <c r="IN3" s="266"/>
      <c r="IO3" s="266"/>
      <c r="IP3" s="266"/>
      <c r="IQ3" s="266"/>
      <c r="IR3" s="266"/>
      <c r="IS3" s="266"/>
      <c r="IT3" s="266"/>
      <c r="IU3" s="266"/>
      <c r="IV3" s="266"/>
    </row>
    <row r="4" spans="1:256" ht="16.5" thickTop="1" thickBot="1">
      <c r="A4" s="478"/>
      <c r="B4" s="478"/>
      <c r="C4" s="478"/>
      <c r="D4" s="479"/>
      <c r="E4" s="479"/>
      <c r="F4" s="480"/>
      <c r="G4" s="459" t="s">
        <v>1285</v>
      </c>
      <c r="H4" s="459"/>
      <c r="I4" s="458"/>
      <c r="J4" s="459" t="s">
        <v>65</v>
      </c>
      <c r="K4" s="460"/>
      <c r="L4" s="478"/>
      <c r="M4" s="478"/>
      <c r="N4" s="479"/>
      <c r="O4" s="481">
        <v>118862</v>
      </c>
      <c r="P4" s="481">
        <f>P30</f>
        <v>118372</v>
      </c>
      <c r="Q4" s="481">
        <f>Q30</f>
        <v>116556</v>
      </c>
      <c r="R4" s="478"/>
    </row>
    <row r="5" spans="1:256" s="285" customFormat="1" ht="48" customHeight="1" thickTop="1">
      <c r="A5" s="482" t="s">
        <v>67</v>
      </c>
      <c r="B5" s="483" t="s">
        <v>1167</v>
      </c>
      <c r="C5" s="483" t="s">
        <v>1168</v>
      </c>
      <c r="D5" s="483" t="s">
        <v>1290</v>
      </c>
      <c r="E5" s="483" t="s">
        <v>1291</v>
      </c>
      <c r="F5" s="344" t="s">
        <v>0</v>
      </c>
      <c r="G5" s="345" t="s">
        <v>1284</v>
      </c>
      <c r="H5" s="344" t="s">
        <v>1</v>
      </c>
      <c r="I5" s="344" t="s">
        <v>0</v>
      </c>
      <c r="J5" s="345" t="s">
        <v>1284</v>
      </c>
      <c r="K5" s="344" t="s">
        <v>1</v>
      </c>
      <c r="L5" s="483" t="s">
        <v>70</v>
      </c>
      <c r="M5" s="483" t="s">
        <v>77</v>
      </c>
      <c r="N5" s="289" t="s">
        <v>1198</v>
      </c>
      <c r="O5" s="286" t="s">
        <v>1199</v>
      </c>
      <c r="P5" s="286" t="s">
        <v>1183</v>
      </c>
      <c r="Q5" s="304" t="s">
        <v>1229</v>
      </c>
      <c r="R5" s="484" t="s">
        <v>1184</v>
      </c>
    </row>
    <row r="6" spans="1:256" s="282" customFormat="1" ht="22.5">
      <c r="A6" s="485">
        <v>1</v>
      </c>
      <c r="B6" s="486" t="s">
        <v>1185</v>
      </c>
      <c r="C6" s="486" t="s">
        <v>1186</v>
      </c>
      <c r="D6" s="487" t="s">
        <v>91</v>
      </c>
      <c r="E6" s="487" t="s">
        <v>92</v>
      </c>
      <c r="F6" s="487" t="s">
        <v>83</v>
      </c>
      <c r="G6" s="487" t="s">
        <v>83</v>
      </c>
      <c r="H6" s="487" t="s">
        <v>83</v>
      </c>
      <c r="I6" s="488">
        <v>41844</v>
      </c>
      <c r="J6" s="396">
        <f>(K6-I6)/31</f>
        <v>8.8387096774193541</v>
      </c>
      <c r="K6" s="488">
        <v>42118</v>
      </c>
      <c r="L6" s="487" t="s">
        <v>1233</v>
      </c>
      <c r="M6" s="486" t="s">
        <v>1232</v>
      </c>
      <c r="N6" s="487" t="s">
        <v>65</v>
      </c>
      <c r="O6" s="489">
        <v>800</v>
      </c>
      <c r="P6" s="489">
        <v>0</v>
      </c>
      <c r="Q6" s="490">
        <v>0</v>
      </c>
      <c r="R6" s="491" t="s">
        <v>66</v>
      </c>
    </row>
    <row r="7" spans="1:256" s="282" customFormat="1" ht="15" customHeight="1">
      <c r="A7" s="485">
        <v>2</v>
      </c>
      <c r="B7" s="486" t="s">
        <v>1230</v>
      </c>
      <c r="C7" s="486" t="s">
        <v>1186</v>
      </c>
      <c r="D7" s="487" t="s">
        <v>88</v>
      </c>
      <c r="E7" s="487" t="s">
        <v>25</v>
      </c>
      <c r="F7" s="487" t="s">
        <v>83</v>
      </c>
      <c r="G7" s="487" t="s">
        <v>83</v>
      </c>
      <c r="H7" s="487" t="s">
        <v>83</v>
      </c>
      <c r="I7" s="488">
        <v>41723</v>
      </c>
      <c r="J7" s="396">
        <f>(K7-I7)/31</f>
        <v>11.35483870967742</v>
      </c>
      <c r="K7" s="488">
        <v>42075</v>
      </c>
      <c r="L7" s="487" t="s">
        <v>1233</v>
      </c>
      <c r="M7" s="486" t="s">
        <v>1232</v>
      </c>
      <c r="N7" s="487" t="s">
        <v>65</v>
      </c>
      <c r="O7" s="489">
        <v>700</v>
      </c>
      <c r="P7" s="489">
        <v>0</v>
      </c>
      <c r="Q7" s="490">
        <v>0</v>
      </c>
      <c r="R7" s="491" t="s">
        <v>66</v>
      </c>
    </row>
    <row r="8" spans="1:256" s="282" customFormat="1" ht="22.5">
      <c r="A8" s="485">
        <v>3</v>
      </c>
      <c r="B8" s="486" t="s">
        <v>1188</v>
      </c>
      <c r="C8" s="486" t="s">
        <v>1186</v>
      </c>
      <c r="D8" s="487" t="s">
        <v>84</v>
      </c>
      <c r="E8" s="487" t="s">
        <v>39</v>
      </c>
      <c r="F8" s="487" t="s">
        <v>83</v>
      </c>
      <c r="G8" s="487" t="s">
        <v>83</v>
      </c>
      <c r="H8" s="487" t="s">
        <v>83</v>
      </c>
      <c r="I8" s="488">
        <v>41556</v>
      </c>
      <c r="J8" s="396">
        <f>(K8-I8)/31</f>
        <v>9.193548387096774</v>
      </c>
      <c r="K8" s="488">
        <v>41841</v>
      </c>
      <c r="L8" s="487" t="s">
        <v>1233</v>
      </c>
      <c r="M8" s="486" t="s">
        <v>1232</v>
      </c>
      <c r="N8" s="487" t="s">
        <v>1181</v>
      </c>
      <c r="O8" s="489">
        <v>800</v>
      </c>
      <c r="P8" s="489">
        <v>0</v>
      </c>
      <c r="Q8" s="490">
        <v>0</v>
      </c>
      <c r="R8" s="491" t="s">
        <v>66</v>
      </c>
    </row>
    <row r="9" spans="1:256" s="282" customFormat="1" ht="22.5">
      <c r="A9" s="485">
        <v>4</v>
      </c>
      <c r="B9" s="486" t="s">
        <v>1231</v>
      </c>
      <c r="C9" s="486" t="s">
        <v>1186</v>
      </c>
      <c r="D9" s="487" t="s">
        <v>88</v>
      </c>
      <c r="E9" s="487" t="s">
        <v>21</v>
      </c>
      <c r="F9" s="468">
        <v>42037</v>
      </c>
      <c r="G9" s="466">
        <v>3</v>
      </c>
      <c r="H9" s="469">
        <f>F9+(G9*31)</f>
        <v>42130</v>
      </c>
      <c r="I9" s="64">
        <v>42158</v>
      </c>
      <c r="J9" s="49">
        <v>12</v>
      </c>
      <c r="K9" s="398">
        <f>I9+(J9*31)</f>
        <v>42530</v>
      </c>
      <c r="L9" s="487" t="s">
        <v>1233</v>
      </c>
      <c r="M9" s="486" t="s">
        <v>1232</v>
      </c>
      <c r="N9" s="487" t="s">
        <v>65</v>
      </c>
      <c r="O9" s="489">
        <v>800</v>
      </c>
      <c r="P9" s="489">
        <v>0</v>
      </c>
      <c r="Q9" s="490">
        <v>0</v>
      </c>
      <c r="R9" s="491" t="s">
        <v>66</v>
      </c>
    </row>
    <row r="10" spans="1:256" s="282" customFormat="1" ht="22.5" customHeight="1">
      <c r="A10" s="485">
        <v>5</v>
      </c>
      <c r="B10" s="486" t="s">
        <v>1189</v>
      </c>
      <c r="C10" s="486" t="s">
        <v>1186</v>
      </c>
      <c r="D10" s="487" t="s">
        <v>141</v>
      </c>
      <c r="E10" s="487" t="s">
        <v>3</v>
      </c>
      <c r="F10" s="468">
        <v>42096</v>
      </c>
      <c r="G10" s="466">
        <v>3</v>
      </c>
      <c r="H10" s="469">
        <f>F10+(G10*31)</f>
        <v>42189</v>
      </c>
      <c r="I10" s="64">
        <v>42209</v>
      </c>
      <c r="J10" s="49">
        <v>12</v>
      </c>
      <c r="K10" s="398">
        <f>I10+(J10*31)</f>
        <v>42581</v>
      </c>
      <c r="L10" s="487" t="s">
        <v>1233</v>
      </c>
      <c r="M10" s="486" t="s">
        <v>1232</v>
      </c>
      <c r="N10" s="487" t="s">
        <v>65</v>
      </c>
      <c r="O10" s="489">
        <v>10500</v>
      </c>
      <c r="P10" s="489">
        <v>800</v>
      </c>
      <c r="Q10" s="490">
        <v>0</v>
      </c>
      <c r="R10" s="491" t="s">
        <v>1187</v>
      </c>
    </row>
    <row r="11" spans="1:256" s="282" customFormat="1" ht="22.5">
      <c r="A11" s="485">
        <v>6</v>
      </c>
      <c r="B11" s="486" t="s">
        <v>1286</v>
      </c>
      <c r="C11" s="486" t="s">
        <v>1186</v>
      </c>
      <c r="D11" s="487" t="s">
        <v>84</v>
      </c>
      <c r="E11" s="487" t="s">
        <v>96</v>
      </c>
      <c r="F11" s="487" t="s">
        <v>83</v>
      </c>
      <c r="G11" s="487" t="s">
        <v>83</v>
      </c>
      <c r="H11" s="487" t="s">
        <v>83</v>
      </c>
      <c r="I11" s="488">
        <v>41927</v>
      </c>
      <c r="J11" s="396">
        <f>(K11-I11)/31</f>
        <v>9.0967741935483879</v>
      </c>
      <c r="K11" s="488">
        <v>42209</v>
      </c>
      <c r="L11" s="487" t="s">
        <v>1233</v>
      </c>
      <c r="M11" s="486" t="s">
        <v>1232</v>
      </c>
      <c r="N11" s="487" t="s">
        <v>65</v>
      </c>
      <c r="O11" s="489">
        <v>10472</v>
      </c>
      <c r="P11" s="489">
        <v>800</v>
      </c>
      <c r="Q11" s="490">
        <v>0</v>
      </c>
      <c r="R11" s="491" t="s">
        <v>1187</v>
      </c>
    </row>
    <row r="12" spans="1:256" s="282" customFormat="1" ht="22.5">
      <c r="A12" s="485">
        <v>7</v>
      </c>
      <c r="B12" s="486" t="s">
        <v>1287</v>
      </c>
      <c r="C12" s="486" t="s">
        <v>1186</v>
      </c>
      <c r="D12" s="487" t="s">
        <v>88</v>
      </c>
      <c r="E12" s="487" t="s">
        <v>240</v>
      </c>
      <c r="F12" s="468">
        <v>42096</v>
      </c>
      <c r="G12" s="466">
        <v>3</v>
      </c>
      <c r="H12" s="469">
        <f t="shared" ref="H12:H22" si="0">F12+(G12*31)</f>
        <v>42189</v>
      </c>
      <c r="I12" s="64">
        <v>42209</v>
      </c>
      <c r="J12" s="49">
        <v>12</v>
      </c>
      <c r="K12" s="398">
        <f t="shared" ref="K12:K22" si="1">I12+(J12*31)</f>
        <v>42581</v>
      </c>
      <c r="L12" s="487" t="s">
        <v>1233</v>
      </c>
      <c r="M12" s="486" t="s">
        <v>1232</v>
      </c>
      <c r="N12" s="487" t="s">
        <v>65</v>
      </c>
      <c r="O12" s="489">
        <v>10500</v>
      </c>
      <c r="P12" s="489">
        <v>800</v>
      </c>
      <c r="Q12" s="490">
        <v>0</v>
      </c>
      <c r="R12" s="491" t="s">
        <v>1187</v>
      </c>
    </row>
    <row r="13" spans="1:256" s="282" customFormat="1" ht="23.1" customHeight="1">
      <c r="A13" s="485">
        <v>8</v>
      </c>
      <c r="B13" s="486" t="s">
        <v>1288</v>
      </c>
      <c r="C13" s="486" t="s">
        <v>1186</v>
      </c>
      <c r="D13" s="487" t="s">
        <v>84</v>
      </c>
      <c r="E13" s="487" t="s">
        <v>14</v>
      </c>
      <c r="F13" s="468">
        <v>42096</v>
      </c>
      <c r="G13" s="466">
        <v>3</v>
      </c>
      <c r="H13" s="469">
        <f t="shared" si="0"/>
        <v>42189</v>
      </c>
      <c r="I13" s="64">
        <v>42209</v>
      </c>
      <c r="J13" s="49">
        <v>12</v>
      </c>
      <c r="K13" s="398">
        <f t="shared" si="1"/>
        <v>42581</v>
      </c>
      <c r="L13" s="487" t="s">
        <v>1233</v>
      </c>
      <c r="M13" s="486" t="s">
        <v>1232</v>
      </c>
      <c r="N13" s="487" t="s">
        <v>65</v>
      </c>
      <c r="O13" s="489">
        <v>10000</v>
      </c>
      <c r="P13" s="489">
        <v>800</v>
      </c>
      <c r="Q13" s="490">
        <v>0</v>
      </c>
      <c r="R13" s="491" t="s">
        <v>1187</v>
      </c>
    </row>
    <row r="14" spans="1:256" s="282" customFormat="1" ht="23.1" customHeight="1">
      <c r="A14" s="485">
        <v>9</v>
      </c>
      <c r="B14" s="486" t="s">
        <v>1192</v>
      </c>
      <c r="C14" s="486" t="s">
        <v>1186</v>
      </c>
      <c r="D14" s="487" t="s">
        <v>91</v>
      </c>
      <c r="E14" s="487" t="s">
        <v>189</v>
      </c>
      <c r="F14" s="488">
        <v>42165</v>
      </c>
      <c r="G14" s="487">
        <v>9</v>
      </c>
      <c r="H14" s="492">
        <f t="shared" si="0"/>
        <v>42444</v>
      </c>
      <c r="I14" s="492">
        <v>42522</v>
      </c>
      <c r="J14" s="396">
        <v>12</v>
      </c>
      <c r="K14" s="492">
        <f t="shared" si="1"/>
        <v>42894</v>
      </c>
      <c r="L14" s="487" t="s">
        <v>1233</v>
      </c>
      <c r="M14" s="486" t="s">
        <v>1232</v>
      </c>
      <c r="N14" s="487" t="s">
        <v>1410</v>
      </c>
      <c r="O14" s="489">
        <v>1100</v>
      </c>
      <c r="P14" s="489">
        <v>11000</v>
      </c>
      <c r="Q14" s="490">
        <v>900</v>
      </c>
      <c r="R14" s="491" t="s">
        <v>1190</v>
      </c>
    </row>
    <row r="15" spans="1:256" s="282" customFormat="1" ht="23.1" customHeight="1">
      <c r="A15" s="485">
        <v>10</v>
      </c>
      <c r="B15" s="486" t="s">
        <v>1193</v>
      </c>
      <c r="C15" s="486" t="s">
        <v>1186</v>
      </c>
      <c r="D15" s="487" t="s">
        <v>88</v>
      </c>
      <c r="E15" s="487" t="s">
        <v>309</v>
      </c>
      <c r="F15" s="488">
        <v>42165</v>
      </c>
      <c r="G15" s="487">
        <v>9</v>
      </c>
      <c r="H15" s="492">
        <f t="shared" si="0"/>
        <v>42444</v>
      </c>
      <c r="I15" s="492">
        <v>42522</v>
      </c>
      <c r="J15" s="396">
        <v>12</v>
      </c>
      <c r="K15" s="492">
        <f t="shared" si="1"/>
        <v>42894</v>
      </c>
      <c r="L15" s="487" t="s">
        <v>1233</v>
      </c>
      <c r="M15" s="486" t="s">
        <v>1232</v>
      </c>
      <c r="N15" s="487" t="s">
        <v>1410</v>
      </c>
      <c r="O15" s="489">
        <v>1100</v>
      </c>
      <c r="P15" s="489">
        <v>11000</v>
      </c>
      <c r="Q15" s="490">
        <v>900</v>
      </c>
      <c r="R15" s="491" t="s">
        <v>1191</v>
      </c>
    </row>
    <row r="16" spans="1:256" s="282" customFormat="1" ht="23.1" customHeight="1">
      <c r="A16" s="485">
        <v>11</v>
      </c>
      <c r="B16" s="486" t="s">
        <v>1236</v>
      </c>
      <c r="C16" s="486" t="s">
        <v>1186</v>
      </c>
      <c r="D16" s="487" t="s">
        <v>141</v>
      </c>
      <c r="E16" s="487" t="s">
        <v>35</v>
      </c>
      <c r="F16" s="488">
        <v>42165</v>
      </c>
      <c r="G16" s="487">
        <v>9</v>
      </c>
      <c r="H16" s="492">
        <f t="shared" si="0"/>
        <v>42444</v>
      </c>
      <c r="I16" s="492">
        <v>42522</v>
      </c>
      <c r="J16" s="396">
        <v>12</v>
      </c>
      <c r="K16" s="492">
        <f t="shared" si="1"/>
        <v>42894</v>
      </c>
      <c r="L16" s="487" t="s">
        <v>1233</v>
      </c>
      <c r="M16" s="486" t="s">
        <v>1232</v>
      </c>
      <c r="N16" s="487" t="s">
        <v>1410</v>
      </c>
      <c r="O16" s="489">
        <v>1100</v>
      </c>
      <c r="P16" s="489">
        <v>11000</v>
      </c>
      <c r="Q16" s="490">
        <v>900</v>
      </c>
      <c r="R16" s="491" t="s">
        <v>1191</v>
      </c>
    </row>
    <row r="17" spans="1:18" s="282" customFormat="1" ht="23.1" customHeight="1">
      <c r="A17" s="485">
        <v>12</v>
      </c>
      <c r="B17" s="486" t="s">
        <v>1237</v>
      </c>
      <c r="C17" s="486" t="s">
        <v>1186</v>
      </c>
      <c r="D17" s="487" t="s">
        <v>141</v>
      </c>
      <c r="E17" s="487" t="s">
        <v>3</v>
      </c>
      <c r="F17" s="488">
        <v>42165</v>
      </c>
      <c r="G17" s="487">
        <v>9</v>
      </c>
      <c r="H17" s="492">
        <f t="shared" si="0"/>
        <v>42444</v>
      </c>
      <c r="I17" s="492">
        <v>42522</v>
      </c>
      <c r="J17" s="396">
        <v>12</v>
      </c>
      <c r="K17" s="492">
        <f t="shared" si="1"/>
        <v>42894</v>
      </c>
      <c r="L17" s="487" t="s">
        <v>1233</v>
      </c>
      <c r="M17" s="486" t="s">
        <v>1232</v>
      </c>
      <c r="N17" s="487" t="s">
        <v>1410</v>
      </c>
      <c r="O17" s="489">
        <v>1100</v>
      </c>
      <c r="P17" s="489">
        <v>7000</v>
      </c>
      <c r="Q17" s="490">
        <v>500</v>
      </c>
      <c r="R17" s="491" t="s">
        <v>1208</v>
      </c>
    </row>
    <row r="18" spans="1:18" s="282" customFormat="1" ht="23.1" customHeight="1">
      <c r="A18" s="485">
        <v>13</v>
      </c>
      <c r="B18" s="486" t="s">
        <v>1209</v>
      </c>
      <c r="C18" s="486" t="s">
        <v>180</v>
      </c>
      <c r="D18" s="487" t="s">
        <v>91</v>
      </c>
      <c r="E18" s="487" t="s">
        <v>200</v>
      </c>
      <c r="F18" s="488">
        <v>42461</v>
      </c>
      <c r="G18" s="487">
        <v>9</v>
      </c>
      <c r="H18" s="492">
        <f t="shared" si="0"/>
        <v>42740</v>
      </c>
      <c r="I18" s="488">
        <v>42826</v>
      </c>
      <c r="J18" s="487">
        <v>12</v>
      </c>
      <c r="K18" s="492">
        <f t="shared" si="1"/>
        <v>43198</v>
      </c>
      <c r="L18" s="486"/>
      <c r="M18" s="486" t="s">
        <v>1232</v>
      </c>
      <c r="N18" s="487" t="s">
        <v>80</v>
      </c>
      <c r="O18" s="489">
        <v>0</v>
      </c>
      <c r="P18" s="489">
        <v>500</v>
      </c>
      <c r="Q18" s="490">
        <v>12000</v>
      </c>
      <c r="R18" s="491" t="s">
        <v>1190</v>
      </c>
    </row>
    <row r="19" spans="1:18" s="282" customFormat="1" ht="23.1" customHeight="1">
      <c r="A19" s="485">
        <v>14</v>
      </c>
      <c r="B19" s="486" t="s">
        <v>1210</v>
      </c>
      <c r="C19" s="486" t="s">
        <v>180</v>
      </c>
      <c r="D19" s="487" t="s">
        <v>88</v>
      </c>
      <c r="E19" s="487" t="s">
        <v>1211</v>
      </c>
      <c r="F19" s="488">
        <v>42461</v>
      </c>
      <c r="G19" s="487">
        <v>9</v>
      </c>
      <c r="H19" s="492">
        <f t="shared" si="0"/>
        <v>42740</v>
      </c>
      <c r="I19" s="488">
        <v>42826</v>
      </c>
      <c r="J19" s="487">
        <v>12</v>
      </c>
      <c r="K19" s="492">
        <f t="shared" si="1"/>
        <v>43198</v>
      </c>
      <c r="L19" s="486"/>
      <c r="M19" s="486" t="s">
        <v>1232</v>
      </c>
      <c r="N19" s="487" t="s">
        <v>80</v>
      </c>
      <c r="O19" s="489">
        <v>0</v>
      </c>
      <c r="P19" s="489">
        <v>500</v>
      </c>
      <c r="Q19" s="490">
        <v>12000</v>
      </c>
      <c r="R19" s="491" t="s">
        <v>1190</v>
      </c>
    </row>
    <row r="20" spans="1:18" s="282" customFormat="1" ht="23.1" customHeight="1">
      <c r="A20" s="485">
        <v>15</v>
      </c>
      <c r="B20" s="486" t="s">
        <v>1212</v>
      </c>
      <c r="C20" s="486" t="s">
        <v>180</v>
      </c>
      <c r="D20" s="487" t="s">
        <v>84</v>
      </c>
      <c r="E20" s="487" t="s">
        <v>96</v>
      </c>
      <c r="F20" s="488">
        <v>42461</v>
      </c>
      <c r="G20" s="487">
        <v>9</v>
      </c>
      <c r="H20" s="492">
        <f t="shared" si="0"/>
        <v>42740</v>
      </c>
      <c r="I20" s="488">
        <v>42826</v>
      </c>
      <c r="J20" s="487">
        <v>12</v>
      </c>
      <c r="K20" s="492">
        <f t="shared" si="1"/>
        <v>43198</v>
      </c>
      <c r="L20" s="486"/>
      <c r="M20" s="486" t="s">
        <v>1232</v>
      </c>
      <c r="N20" s="487" t="s">
        <v>80</v>
      </c>
      <c r="O20" s="489">
        <v>0</v>
      </c>
      <c r="P20" s="489">
        <v>500</v>
      </c>
      <c r="Q20" s="490">
        <v>12000</v>
      </c>
      <c r="R20" s="491" t="s">
        <v>1190</v>
      </c>
    </row>
    <row r="21" spans="1:18" s="282" customFormat="1" ht="23.1" customHeight="1">
      <c r="A21" s="485">
        <v>16</v>
      </c>
      <c r="B21" s="486" t="s">
        <v>1194</v>
      </c>
      <c r="C21" s="486" t="s">
        <v>1195</v>
      </c>
      <c r="D21" s="487" t="s">
        <v>84</v>
      </c>
      <c r="E21" s="487" t="s">
        <v>14</v>
      </c>
      <c r="F21" s="488">
        <v>41000</v>
      </c>
      <c r="G21" s="466">
        <v>40</v>
      </c>
      <c r="H21" s="469">
        <f t="shared" si="0"/>
        <v>42240</v>
      </c>
      <c r="I21" s="492">
        <v>42268</v>
      </c>
      <c r="J21" s="396">
        <v>48</v>
      </c>
      <c r="K21" s="492">
        <f t="shared" si="1"/>
        <v>43756</v>
      </c>
      <c r="L21" s="487" t="s">
        <v>51</v>
      </c>
      <c r="M21" s="486" t="s">
        <v>1232</v>
      </c>
      <c r="N21" s="487" t="s">
        <v>65</v>
      </c>
      <c r="O21" s="489">
        <v>41080</v>
      </c>
      <c r="P21" s="489">
        <v>43278</v>
      </c>
      <c r="Q21" s="490">
        <v>45442</v>
      </c>
      <c r="R21" s="491" t="s">
        <v>1213</v>
      </c>
    </row>
    <row r="22" spans="1:18" s="282" customFormat="1" ht="23.1" customHeight="1">
      <c r="A22" s="485">
        <v>17</v>
      </c>
      <c r="B22" s="486" t="s">
        <v>1214</v>
      </c>
      <c r="C22" s="486" t="s">
        <v>1196</v>
      </c>
      <c r="D22" s="487" t="s">
        <v>91</v>
      </c>
      <c r="E22" s="487" t="s">
        <v>92</v>
      </c>
      <c r="F22" s="488">
        <v>40634</v>
      </c>
      <c r="G22" s="487">
        <v>54</v>
      </c>
      <c r="H22" s="469">
        <f t="shared" si="0"/>
        <v>42308</v>
      </c>
      <c r="I22" s="492">
        <v>42461</v>
      </c>
      <c r="J22" s="396">
        <v>48</v>
      </c>
      <c r="K22" s="492">
        <f t="shared" si="1"/>
        <v>43949</v>
      </c>
      <c r="L22" s="487" t="s">
        <v>51</v>
      </c>
      <c r="M22" s="486" t="s">
        <v>1232</v>
      </c>
      <c r="N22" s="487" t="s">
        <v>80</v>
      </c>
      <c r="O22" s="489">
        <v>25810</v>
      </c>
      <c r="P22" s="489">
        <v>27194</v>
      </c>
      <c r="Q22" s="490">
        <v>28554</v>
      </c>
      <c r="R22" s="491" t="s">
        <v>1215</v>
      </c>
    </row>
    <row r="23" spans="1:18" s="282" customFormat="1" ht="23.1" customHeight="1">
      <c r="A23" s="485">
        <v>18</v>
      </c>
      <c r="B23" s="486" t="s">
        <v>1216</v>
      </c>
      <c r="C23" s="486" t="s">
        <v>1217</v>
      </c>
      <c r="D23" s="487" t="s">
        <v>91</v>
      </c>
      <c r="E23" s="487" t="s">
        <v>91</v>
      </c>
      <c r="F23" s="487" t="s">
        <v>1201</v>
      </c>
      <c r="G23" s="487" t="s">
        <v>1201</v>
      </c>
      <c r="H23" s="492" t="s">
        <v>1201</v>
      </c>
      <c r="I23" s="492" t="s">
        <v>1201</v>
      </c>
      <c r="J23" s="396" t="s">
        <v>1201</v>
      </c>
      <c r="K23" s="492" t="s">
        <v>1201</v>
      </c>
      <c r="L23" s="486"/>
      <c r="M23" s="486" t="s">
        <v>1232</v>
      </c>
      <c r="N23" s="487" t="s">
        <v>80</v>
      </c>
      <c r="O23" s="489">
        <v>0</v>
      </c>
      <c r="P23" s="489">
        <v>0</v>
      </c>
      <c r="Q23" s="490">
        <v>0</v>
      </c>
      <c r="R23" s="491" t="s">
        <v>1218</v>
      </c>
    </row>
    <row r="24" spans="1:18" s="282" customFormat="1" ht="23.1" customHeight="1">
      <c r="A24" s="485">
        <v>19</v>
      </c>
      <c r="B24" s="486" t="s">
        <v>1219</v>
      </c>
      <c r="C24" s="486" t="s">
        <v>1219</v>
      </c>
      <c r="D24" s="487" t="s">
        <v>84</v>
      </c>
      <c r="E24" s="487" t="s">
        <v>1220</v>
      </c>
      <c r="F24" s="487" t="s">
        <v>1201</v>
      </c>
      <c r="G24" s="487" t="s">
        <v>1201</v>
      </c>
      <c r="H24" s="492" t="s">
        <v>1201</v>
      </c>
      <c r="I24" s="492" t="s">
        <v>1201</v>
      </c>
      <c r="J24" s="396" t="s">
        <v>1201</v>
      </c>
      <c r="K24" s="492" t="s">
        <v>1201</v>
      </c>
      <c r="L24" s="486"/>
      <c r="M24" s="486" t="s">
        <v>1232</v>
      </c>
      <c r="N24" s="487" t="s">
        <v>80</v>
      </c>
      <c r="O24" s="489">
        <v>0</v>
      </c>
      <c r="P24" s="489">
        <v>0</v>
      </c>
      <c r="Q24" s="490">
        <v>0</v>
      </c>
      <c r="R24" s="491" t="s">
        <v>1221</v>
      </c>
    </row>
    <row r="25" spans="1:18" s="282" customFormat="1" ht="23.1" customHeight="1">
      <c r="A25" s="485">
        <v>20</v>
      </c>
      <c r="B25" s="486" t="s">
        <v>1222</v>
      </c>
      <c r="C25" s="486" t="s">
        <v>1197</v>
      </c>
      <c r="D25" s="487" t="s">
        <v>88</v>
      </c>
      <c r="E25" s="487" t="s">
        <v>1223</v>
      </c>
      <c r="F25" s="488">
        <v>42095</v>
      </c>
      <c r="G25" s="396">
        <f>(H25-F25)/31</f>
        <v>1.935483870967742</v>
      </c>
      <c r="H25" s="492">
        <v>42155</v>
      </c>
      <c r="I25" s="535">
        <v>42230</v>
      </c>
      <c r="J25" s="396">
        <v>6</v>
      </c>
      <c r="K25" s="535">
        <v>42460</v>
      </c>
      <c r="L25" s="486"/>
      <c r="M25" s="486" t="s">
        <v>1232</v>
      </c>
      <c r="N25" s="532" t="s">
        <v>1180</v>
      </c>
      <c r="O25" s="537">
        <v>3000</v>
      </c>
      <c r="P25" s="537">
        <v>0</v>
      </c>
      <c r="Q25" s="539">
        <v>0</v>
      </c>
      <c r="R25" s="541" t="s">
        <v>1225</v>
      </c>
    </row>
    <row r="26" spans="1:18" s="282" customFormat="1" ht="23.1" customHeight="1">
      <c r="A26" s="485">
        <v>21</v>
      </c>
      <c r="B26" s="486" t="s">
        <v>1222</v>
      </c>
      <c r="C26" s="486" t="s">
        <v>1197</v>
      </c>
      <c r="D26" s="487" t="s">
        <v>141</v>
      </c>
      <c r="E26" s="487" t="s">
        <v>1224</v>
      </c>
      <c r="F26" s="488">
        <v>42095</v>
      </c>
      <c r="G26" s="396">
        <f>(H26-F26)/31</f>
        <v>1.935483870967742</v>
      </c>
      <c r="H26" s="492">
        <v>42155</v>
      </c>
      <c r="I26" s="535"/>
      <c r="J26" s="396">
        <v>6</v>
      </c>
      <c r="K26" s="535"/>
      <c r="L26" s="486"/>
      <c r="M26" s="486" t="s">
        <v>1232</v>
      </c>
      <c r="N26" s="532"/>
      <c r="O26" s="537"/>
      <c r="P26" s="537"/>
      <c r="Q26" s="539"/>
      <c r="R26" s="541"/>
    </row>
    <row r="27" spans="1:18" s="282" customFormat="1" ht="23.1" customHeight="1">
      <c r="A27" s="485">
        <v>22</v>
      </c>
      <c r="B27" s="486" t="s">
        <v>1222</v>
      </c>
      <c r="C27" s="486" t="s">
        <v>1197</v>
      </c>
      <c r="D27" s="487" t="s">
        <v>91</v>
      </c>
      <c r="E27" s="487" t="s">
        <v>1226</v>
      </c>
      <c r="F27" s="488">
        <v>42461</v>
      </c>
      <c r="G27" s="487">
        <v>2</v>
      </c>
      <c r="H27" s="469">
        <f>F27+(G27*31)</f>
        <v>42523</v>
      </c>
      <c r="I27" s="492">
        <v>42596</v>
      </c>
      <c r="J27" s="396">
        <v>6</v>
      </c>
      <c r="K27" s="492">
        <v>42825</v>
      </c>
      <c r="L27" s="486"/>
      <c r="M27" s="486" t="s">
        <v>1232</v>
      </c>
      <c r="N27" s="487" t="s">
        <v>80</v>
      </c>
      <c r="O27" s="489">
        <v>0</v>
      </c>
      <c r="P27" s="489">
        <v>3200</v>
      </c>
      <c r="Q27" s="490">
        <v>0</v>
      </c>
      <c r="R27" s="491"/>
    </row>
    <row r="28" spans="1:18" s="282" customFormat="1" ht="23.1" customHeight="1">
      <c r="A28" s="485">
        <v>23</v>
      </c>
      <c r="B28" s="486" t="s">
        <v>1222</v>
      </c>
      <c r="C28" s="486" t="s">
        <v>1197</v>
      </c>
      <c r="D28" s="487" t="s">
        <v>88</v>
      </c>
      <c r="E28" s="487" t="s">
        <v>1227</v>
      </c>
      <c r="F28" s="488">
        <v>42826</v>
      </c>
      <c r="G28" s="487">
        <v>2</v>
      </c>
      <c r="H28" s="469">
        <f>F28+(G28*31)</f>
        <v>42888</v>
      </c>
      <c r="I28" s="535">
        <v>42961</v>
      </c>
      <c r="J28" s="396">
        <v>6</v>
      </c>
      <c r="K28" s="535">
        <v>43159</v>
      </c>
      <c r="L28" s="486"/>
      <c r="M28" s="486" t="s">
        <v>1232</v>
      </c>
      <c r="N28" s="532" t="s">
        <v>80</v>
      </c>
      <c r="O28" s="537">
        <v>0</v>
      </c>
      <c r="P28" s="537">
        <v>0</v>
      </c>
      <c r="Q28" s="539">
        <v>3360</v>
      </c>
      <c r="R28" s="541"/>
    </row>
    <row r="29" spans="1:18" s="282" customFormat="1" ht="23.1" customHeight="1">
      <c r="A29" s="493">
        <v>24</v>
      </c>
      <c r="B29" s="494" t="s">
        <v>1222</v>
      </c>
      <c r="C29" s="494" t="s">
        <v>1197</v>
      </c>
      <c r="D29" s="495" t="s">
        <v>91</v>
      </c>
      <c r="E29" s="495" t="s">
        <v>1228</v>
      </c>
      <c r="F29" s="488">
        <v>42826</v>
      </c>
      <c r="G29" s="487">
        <v>2</v>
      </c>
      <c r="H29" s="469">
        <f>F29+(G29*31)</f>
        <v>42888</v>
      </c>
      <c r="I29" s="536"/>
      <c r="J29" s="397">
        <v>6</v>
      </c>
      <c r="K29" s="536"/>
      <c r="L29" s="494"/>
      <c r="M29" s="494" t="s">
        <v>1232</v>
      </c>
      <c r="N29" s="533"/>
      <c r="O29" s="538"/>
      <c r="P29" s="538"/>
      <c r="Q29" s="540"/>
      <c r="R29" s="542"/>
    </row>
    <row r="30" spans="1:18" s="1" customFormat="1" ht="13.5" thickBot="1">
      <c r="A30" s="496"/>
      <c r="B30" s="497" t="s">
        <v>1292</v>
      </c>
      <c r="C30" s="498"/>
      <c r="D30" s="497"/>
      <c r="E30" s="499"/>
      <c r="F30" s="499"/>
      <c r="G30" s="499"/>
      <c r="H30" s="499"/>
      <c r="I30" s="499"/>
      <c r="J30" s="500"/>
      <c r="K30" s="499"/>
      <c r="L30" s="498"/>
      <c r="M30" s="498"/>
      <c r="N30" s="499"/>
      <c r="O30" s="501">
        <f>SUBTOTAL(9,O6:O29)</f>
        <v>118862</v>
      </c>
      <c r="P30" s="501">
        <f>SUBTOTAL(9,P6:P29)</f>
        <v>118372</v>
      </c>
      <c r="Q30" s="502">
        <f>SUBTOTAL(9,Q6:Q29)</f>
        <v>116556</v>
      </c>
      <c r="R30" s="503"/>
    </row>
    <row r="31" spans="1:18" ht="15.75" thickTop="1"/>
  </sheetData>
  <autoFilter ref="A5:Q29">
    <filterColumn colId="10"/>
  </autoFilter>
  <mergeCells count="15">
    <mergeCell ref="N28:N29"/>
    <mergeCell ref="AA3:AB3"/>
    <mergeCell ref="I28:I29"/>
    <mergeCell ref="K28:K29"/>
    <mergeCell ref="O28:O29"/>
    <mergeCell ref="P28:P29"/>
    <mergeCell ref="Q28:Q29"/>
    <mergeCell ref="R28:R29"/>
    <mergeCell ref="I25:I26"/>
    <mergeCell ref="K25:K26"/>
    <mergeCell ref="O25:O26"/>
    <mergeCell ref="P25:P26"/>
    <mergeCell ref="Q25:Q26"/>
    <mergeCell ref="R25:R26"/>
    <mergeCell ref="N25:N26"/>
  </mergeCells>
  <conditionalFormatting sqref="I9:K9">
    <cfRule type="expression" dxfId="3" priority="4" stopIfTrue="1">
      <formula>IF((#REF!&lt;&gt;"")*(I9=""),TRUE,FALSE)</formula>
    </cfRule>
  </conditionalFormatting>
  <conditionalFormatting sqref="I10:K10">
    <cfRule type="expression" dxfId="2" priority="3" stopIfTrue="1">
      <formula>IF((#REF!&lt;&gt;"")*(I10=""),TRUE,FALSE)</formula>
    </cfRule>
  </conditionalFormatting>
  <conditionalFormatting sqref="I12:K12">
    <cfRule type="expression" dxfId="1" priority="2" stopIfTrue="1">
      <formula>IF((#REF!&lt;&gt;"")*(I12=""),TRUE,FALSE)</formula>
    </cfRule>
  </conditionalFormatting>
  <conditionalFormatting sqref="I13:K13">
    <cfRule type="expression" dxfId="0" priority="1" stopIfTrue="1">
      <formula>IF((#REF!&lt;&gt;"")*(I13=""),TRUE,FALSE)</formula>
    </cfRule>
  </conditionalFormatting>
  <pageMargins left="0.43307086614173229" right="0.51181102362204722" top="0.55000000000000004" bottom="0.74803149606299213" header="0.31496062992125984" footer="0.31496062992125984"/>
  <pageSetup paperSize="8" scale="85" orientation="landscape" r:id="rId1"/>
  <headerFooter>
    <oddFooter>&amp;L&amp;12Building Infrastructure&amp;C&amp;12&amp;P of &amp;N&amp;R&amp;12Culture, Sport and Recreation Infrastructure Project List 2015/16 Financial Year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10"/>
  <sheetViews>
    <sheetView workbookViewId="0">
      <selection activeCell="D13" sqref="D13"/>
    </sheetView>
  </sheetViews>
  <sheetFormatPr defaultRowHeight="15"/>
  <cols>
    <col min="1" max="1" width="3.85546875" customWidth="1"/>
    <col min="2" max="2" width="29.85546875" customWidth="1"/>
    <col min="3" max="3" width="28.42578125" bestFit="1" customWidth="1"/>
    <col min="4" max="5" width="16.7109375" style="285" customWidth="1"/>
    <col min="6" max="7" width="10.7109375" style="285" customWidth="1"/>
    <col min="8" max="9" width="14.42578125" customWidth="1"/>
    <col min="10" max="10" width="15" style="285" customWidth="1"/>
    <col min="11" max="11" width="11.140625" customWidth="1"/>
    <col min="12" max="12" width="10.140625" customWidth="1"/>
    <col min="13" max="13" width="9.7109375" customWidth="1"/>
    <col min="14" max="14" width="15" hidden="1" customWidth="1"/>
  </cols>
  <sheetData>
    <row r="1" spans="1:256" s="275" customFormat="1" ht="15.75">
      <c r="A1" s="76" t="s">
        <v>106</v>
      </c>
      <c r="D1" s="277"/>
      <c r="E1" s="277"/>
      <c r="F1" s="277"/>
      <c r="G1" s="277"/>
      <c r="J1" s="277"/>
      <c r="N1" s="276"/>
      <c r="O1" s="276"/>
      <c r="P1" s="277"/>
      <c r="Q1" s="277"/>
    </row>
    <row r="2" spans="1:256" s="275" customFormat="1" ht="14.25">
      <c r="A2" s="1" t="s">
        <v>107</v>
      </c>
      <c r="D2" s="277"/>
      <c r="E2" s="277"/>
      <c r="F2" s="277"/>
      <c r="G2" s="277"/>
      <c r="J2" s="277"/>
      <c r="N2" s="276"/>
      <c r="O2" s="276"/>
      <c r="P2" s="277"/>
      <c r="Q2" s="277"/>
    </row>
    <row r="3" spans="1:256" s="274" customFormat="1" ht="20.25">
      <c r="A3" s="78" t="s">
        <v>1238</v>
      </c>
      <c r="B3" s="266"/>
      <c r="C3" s="266"/>
      <c r="D3" s="267"/>
      <c r="E3" s="267"/>
      <c r="F3" s="267"/>
      <c r="G3" s="267"/>
      <c r="H3" s="266"/>
      <c r="I3" s="266"/>
      <c r="J3" s="267"/>
      <c r="K3" s="266"/>
      <c r="L3" s="266"/>
      <c r="M3" s="266"/>
      <c r="N3" s="267"/>
      <c r="O3" s="267"/>
      <c r="P3" s="268"/>
      <c r="Q3" s="269"/>
      <c r="R3" s="269"/>
      <c r="S3" s="270"/>
      <c r="T3" s="269"/>
      <c r="U3" s="271"/>
      <c r="V3" s="272"/>
      <c r="W3" s="534"/>
      <c r="X3" s="534"/>
      <c r="Y3" s="273"/>
      <c r="Z3" s="273"/>
      <c r="AA3" s="273"/>
      <c r="AB3" s="273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6"/>
      <c r="AY3" s="266"/>
      <c r="AZ3" s="266"/>
      <c r="BA3" s="266"/>
      <c r="BB3" s="266"/>
      <c r="BC3" s="266"/>
      <c r="BD3" s="266"/>
      <c r="BE3" s="266"/>
      <c r="BF3" s="266"/>
      <c r="BG3" s="266"/>
      <c r="BH3" s="266"/>
      <c r="BI3" s="266"/>
      <c r="BJ3" s="266"/>
      <c r="BK3" s="266"/>
      <c r="BL3" s="266"/>
      <c r="BM3" s="266"/>
      <c r="BN3" s="266"/>
      <c r="BO3" s="266"/>
      <c r="BP3" s="266"/>
      <c r="BQ3" s="266"/>
      <c r="BR3" s="266"/>
      <c r="BS3" s="266"/>
      <c r="BT3" s="266"/>
      <c r="BU3" s="266"/>
      <c r="BV3" s="266"/>
      <c r="BW3" s="266"/>
      <c r="BX3" s="266"/>
      <c r="BY3" s="266"/>
      <c r="BZ3" s="266"/>
      <c r="CA3" s="266"/>
      <c r="CB3" s="266"/>
      <c r="CC3" s="266"/>
      <c r="CD3" s="266"/>
      <c r="CE3" s="266"/>
      <c r="CF3" s="266"/>
      <c r="CG3" s="266"/>
      <c r="CH3" s="266"/>
      <c r="CI3" s="266"/>
      <c r="CJ3" s="266"/>
      <c r="CK3" s="266"/>
      <c r="CL3" s="266"/>
      <c r="CM3" s="266"/>
      <c r="CN3" s="266"/>
      <c r="CO3" s="266"/>
      <c r="CP3" s="266"/>
      <c r="CQ3" s="266"/>
      <c r="CR3" s="266"/>
      <c r="CS3" s="266"/>
      <c r="CT3" s="266"/>
      <c r="CU3" s="266"/>
      <c r="CV3" s="266"/>
      <c r="CW3" s="266"/>
      <c r="CX3" s="266"/>
      <c r="CY3" s="266"/>
      <c r="CZ3" s="266"/>
      <c r="DA3" s="266"/>
      <c r="DB3" s="266"/>
      <c r="DC3" s="266"/>
      <c r="DD3" s="266"/>
      <c r="DE3" s="266"/>
      <c r="DF3" s="266"/>
      <c r="DG3" s="266"/>
      <c r="DH3" s="266"/>
      <c r="DI3" s="266"/>
      <c r="DJ3" s="266"/>
      <c r="DK3" s="266"/>
      <c r="DL3" s="266"/>
      <c r="DM3" s="266"/>
      <c r="DN3" s="266"/>
      <c r="DO3" s="266"/>
      <c r="DP3" s="266"/>
      <c r="DQ3" s="266"/>
      <c r="DR3" s="266"/>
      <c r="DS3" s="266"/>
      <c r="DT3" s="266"/>
      <c r="DU3" s="266"/>
      <c r="DV3" s="266"/>
      <c r="DW3" s="266"/>
      <c r="DX3" s="266"/>
      <c r="DY3" s="266"/>
      <c r="DZ3" s="266"/>
      <c r="EA3" s="266"/>
      <c r="EB3" s="266"/>
      <c r="EC3" s="266"/>
      <c r="ED3" s="266"/>
      <c r="EE3" s="266"/>
      <c r="EF3" s="266"/>
      <c r="EG3" s="266"/>
      <c r="EH3" s="266"/>
      <c r="EI3" s="266"/>
      <c r="EJ3" s="266"/>
      <c r="EK3" s="266"/>
      <c r="EL3" s="266"/>
      <c r="EM3" s="266"/>
      <c r="EN3" s="266"/>
      <c r="EO3" s="266"/>
      <c r="EP3" s="266"/>
      <c r="EQ3" s="266"/>
      <c r="ER3" s="266"/>
      <c r="ES3" s="266"/>
      <c r="ET3" s="266"/>
      <c r="EU3" s="266"/>
      <c r="EV3" s="266"/>
      <c r="EW3" s="266"/>
      <c r="EX3" s="266"/>
      <c r="EY3" s="266"/>
      <c r="EZ3" s="266"/>
      <c r="FA3" s="266"/>
      <c r="FB3" s="266"/>
      <c r="FC3" s="266"/>
      <c r="FD3" s="266"/>
      <c r="FE3" s="266"/>
      <c r="FF3" s="266"/>
      <c r="FG3" s="266"/>
      <c r="FH3" s="266"/>
      <c r="FI3" s="266"/>
      <c r="FJ3" s="266"/>
      <c r="FK3" s="266"/>
      <c r="FL3" s="266"/>
      <c r="FM3" s="266"/>
      <c r="FN3" s="266"/>
      <c r="FO3" s="266"/>
      <c r="FP3" s="266"/>
      <c r="FQ3" s="266"/>
      <c r="FR3" s="266"/>
      <c r="FS3" s="266"/>
      <c r="FT3" s="266"/>
      <c r="FU3" s="266"/>
      <c r="FV3" s="266"/>
      <c r="FW3" s="266"/>
      <c r="FX3" s="266"/>
      <c r="FY3" s="266"/>
      <c r="FZ3" s="266"/>
      <c r="GA3" s="266"/>
      <c r="GB3" s="266"/>
      <c r="GC3" s="266"/>
      <c r="GD3" s="266"/>
      <c r="GE3" s="266"/>
      <c r="GF3" s="266"/>
      <c r="GG3" s="266"/>
      <c r="GH3" s="266"/>
      <c r="GI3" s="266"/>
      <c r="GJ3" s="266"/>
      <c r="GK3" s="266"/>
      <c r="GL3" s="266"/>
      <c r="GM3" s="266"/>
      <c r="GN3" s="266"/>
      <c r="GO3" s="266"/>
      <c r="GP3" s="266"/>
      <c r="GQ3" s="266"/>
      <c r="GR3" s="266"/>
      <c r="GS3" s="266"/>
      <c r="GT3" s="266"/>
      <c r="GU3" s="266"/>
      <c r="GV3" s="266"/>
      <c r="GW3" s="266"/>
      <c r="GX3" s="266"/>
      <c r="GY3" s="266"/>
      <c r="GZ3" s="266"/>
      <c r="HA3" s="266"/>
      <c r="HB3" s="266"/>
      <c r="HC3" s="266"/>
      <c r="HD3" s="266"/>
      <c r="HE3" s="266"/>
      <c r="HF3" s="266"/>
      <c r="HG3" s="266"/>
      <c r="HH3" s="266"/>
      <c r="HI3" s="266"/>
      <c r="HJ3" s="266"/>
      <c r="HK3" s="266"/>
      <c r="HL3" s="266"/>
      <c r="HM3" s="266"/>
      <c r="HN3" s="266"/>
      <c r="HO3" s="266"/>
      <c r="HP3" s="266"/>
      <c r="HQ3" s="266"/>
      <c r="HR3" s="266"/>
      <c r="HS3" s="266"/>
      <c r="HT3" s="266"/>
      <c r="HU3" s="266"/>
      <c r="HV3" s="266"/>
      <c r="HW3" s="266"/>
      <c r="HX3" s="266"/>
      <c r="HY3" s="266"/>
      <c r="HZ3" s="266"/>
      <c r="IA3" s="266"/>
      <c r="IB3" s="266"/>
      <c r="IC3" s="266"/>
      <c r="ID3" s="266"/>
      <c r="IE3" s="266"/>
      <c r="IF3" s="266"/>
      <c r="IG3" s="266"/>
      <c r="IH3" s="266"/>
      <c r="II3" s="266"/>
      <c r="IJ3" s="266"/>
      <c r="IK3" s="266"/>
      <c r="IL3" s="266"/>
      <c r="IM3" s="266"/>
      <c r="IN3" s="266"/>
      <c r="IO3" s="266"/>
      <c r="IP3" s="266"/>
      <c r="IQ3" s="266"/>
      <c r="IR3" s="266"/>
      <c r="IS3" s="266"/>
      <c r="IT3" s="266"/>
      <c r="IU3" s="266"/>
      <c r="IV3" s="266"/>
    </row>
    <row r="4" spans="1:256" ht="15.75" thickBot="1">
      <c r="K4" s="300">
        <v>114735</v>
      </c>
      <c r="L4" s="300">
        <v>20000</v>
      </c>
      <c r="M4" s="300">
        <f>M9</f>
        <v>0</v>
      </c>
    </row>
    <row r="5" spans="1:256" s="285" customFormat="1" ht="48" customHeight="1" thickTop="1">
      <c r="A5" s="283" t="s">
        <v>67</v>
      </c>
      <c r="B5" s="284" t="s">
        <v>1167</v>
      </c>
      <c r="C5" s="284" t="s">
        <v>1168</v>
      </c>
      <c r="D5" s="284" t="s">
        <v>1294</v>
      </c>
      <c r="E5" s="284" t="s">
        <v>1174</v>
      </c>
      <c r="F5" s="284" t="s">
        <v>0</v>
      </c>
      <c r="G5" s="284" t="s">
        <v>1</v>
      </c>
      <c r="H5" s="284" t="s">
        <v>70</v>
      </c>
      <c r="I5" s="284" t="s">
        <v>77</v>
      </c>
      <c r="J5" s="289" t="s">
        <v>1198</v>
      </c>
      <c r="K5" s="286" t="s">
        <v>1199</v>
      </c>
      <c r="L5" s="286" t="s">
        <v>1183</v>
      </c>
      <c r="M5" s="304" t="s">
        <v>1229</v>
      </c>
      <c r="N5" s="301" t="s">
        <v>1184</v>
      </c>
    </row>
    <row r="6" spans="1:256" s="282" customFormat="1" ht="22.5">
      <c r="A6" s="287">
        <v>1</v>
      </c>
      <c r="B6" s="288" t="s">
        <v>1240</v>
      </c>
      <c r="C6" s="288" t="s">
        <v>1239</v>
      </c>
      <c r="D6" s="307" t="s">
        <v>141</v>
      </c>
      <c r="E6" s="307" t="s">
        <v>3</v>
      </c>
      <c r="F6" s="290">
        <v>41851</v>
      </c>
      <c r="G6" s="290">
        <v>42146</v>
      </c>
      <c r="H6" s="291" t="s">
        <v>51</v>
      </c>
      <c r="I6" s="288" t="s">
        <v>1232</v>
      </c>
      <c r="J6" s="291" t="s">
        <v>65</v>
      </c>
      <c r="K6" s="292">
        <v>0</v>
      </c>
      <c r="L6" s="292">
        <v>0</v>
      </c>
      <c r="M6" s="305">
        <v>0</v>
      </c>
      <c r="N6" s="302" t="s">
        <v>66</v>
      </c>
    </row>
    <row r="7" spans="1:256" s="282" customFormat="1" ht="22.5">
      <c r="A7" s="287">
        <v>2</v>
      </c>
      <c r="B7" s="288" t="s">
        <v>1242</v>
      </c>
      <c r="C7" s="288" t="s">
        <v>1241</v>
      </c>
      <c r="D7" s="291" t="s">
        <v>141</v>
      </c>
      <c r="E7" s="307" t="s">
        <v>3</v>
      </c>
      <c r="F7" s="290">
        <v>41926</v>
      </c>
      <c r="G7" s="290">
        <v>42657</v>
      </c>
      <c r="H7" s="291" t="s">
        <v>51</v>
      </c>
      <c r="I7" s="288" t="s">
        <v>1232</v>
      </c>
      <c r="J7" s="291" t="s">
        <v>65</v>
      </c>
      <c r="K7" s="292">
        <v>0</v>
      </c>
      <c r="L7" s="292">
        <v>0</v>
      </c>
      <c r="M7" s="305">
        <v>0</v>
      </c>
      <c r="N7" s="302" t="s">
        <v>66</v>
      </c>
    </row>
    <row r="8" spans="1:256" s="282" customFormat="1" ht="22.5">
      <c r="A8" s="287">
        <v>3</v>
      </c>
      <c r="B8" s="288" t="s">
        <v>1244</v>
      </c>
      <c r="C8" s="288" t="s">
        <v>1243</v>
      </c>
      <c r="D8" s="291" t="s">
        <v>141</v>
      </c>
      <c r="E8" s="307" t="s">
        <v>3</v>
      </c>
      <c r="F8" s="290">
        <v>42018</v>
      </c>
      <c r="G8" s="290" t="s">
        <v>1201</v>
      </c>
      <c r="H8" s="291" t="s">
        <v>51</v>
      </c>
      <c r="I8" s="288" t="s">
        <v>1232</v>
      </c>
      <c r="J8" s="291" t="s">
        <v>65</v>
      </c>
      <c r="K8" s="292">
        <v>0</v>
      </c>
      <c r="L8" s="292">
        <v>0</v>
      </c>
      <c r="M8" s="305">
        <v>0</v>
      </c>
      <c r="N8" s="302" t="s">
        <v>66</v>
      </c>
    </row>
    <row r="9" spans="1:256" s="1" customFormat="1" ht="13.5" thickBot="1">
      <c r="A9" s="294"/>
      <c r="B9" s="296" t="s">
        <v>1293</v>
      </c>
      <c r="C9" s="295"/>
      <c r="D9" s="306"/>
      <c r="E9" s="297"/>
      <c r="F9" s="297"/>
      <c r="G9" s="297"/>
      <c r="H9" s="295"/>
      <c r="I9" s="295"/>
      <c r="J9" s="297"/>
      <c r="K9" s="298">
        <f>SUBTOTAL(9,K6:K8)</f>
        <v>0</v>
      </c>
      <c r="L9" s="298">
        <f>SUBTOTAL(9,L6:L8)</f>
        <v>0</v>
      </c>
      <c r="M9" s="299">
        <f>SUBTOTAL(9,M6:M8)</f>
        <v>0</v>
      </c>
      <c r="N9" s="303"/>
    </row>
    <row r="10" spans="1:256" ht="15.75" thickTop="1"/>
  </sheetData>
  <mergeCells count="1">
    <mergeCell ref="W3:X3"/>
  </mergeCells>
  <pageMargins left="1.0236220472440944" right="0.70866141732283472" top="0.74803149606299213" bottom="0.74803149606299213" header="0.31496062992125984" footer="0.31496062992125984"/>
  <pageSetup paperSize="8" scale="95" orientation="landscape" r:id="rId1"/>
  <headerFooter>
    <oddFooter>&amp;L&amp;12Building Infrastructure&amp;C&amp;12&amp;P of &amp;N&amp;R&amp;12Community, Safety, Security and Liaison Project List 2015/16 Financial Year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Summary</vt:lpstr>
      <vt:lpstr>DoE</vt:lpstr>
      <vt:lpstr>DoH</vt:lpstr>
      <vt:lpstr>DSD</vt:lpstr>
      <vt:lpstr>DCSR</vt:lpstr>
      <vt:lpstr>DCSSL</vt:lpstr>
      <vt:lpstr>DCSSL!Print_Area</vt:lpstr>
      <vt:lpstr>DoE!Print_Area</vt:lpstr>
      <vt:lpstr>DoH!Print_Area</vt:lpstr>
      <vt:lpstr>DoE!Print_Titles</vt:lpstr>
      <vt:lpstr>DoH!Print_Titles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elmons</dc:creator>
  <cp:lastModifiedBy>ukono</cp:lastModifiedBy>
  <cp:lastPrinted>2015-03-24T13:26:43Z</cp:lastPrinted>
  <dcterms:created xsi:type="dcterms:W3CDTF">2014-11-07T10:15:07Z</dcterms:created>
  <dcterms:modified xsi:type="dcterms:W3CDTF">2015-03-25T13:15:31Z</dcterms:modified>
</cp:coreProperties>
</file>